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35.xml" ContentType="application/vnd.openxmlformats-officedocument.drawing+xml"/>
  <Override PartName="/xl/comments35.xml" ContentType="application/vnd.openxmlformats-officedocument.spreadsheetml.comments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0\"/>
    </mc:Choice>
  </mc:AlternateContent>
  <xr:revisionPtr revIDLastSave="0" documentId="13_ncr:1_{0AAE445E-6776-4CE8-88EC-7719F6662CFC}" xr6:coauthVersionLast="47" xr6:coauthVersionMax="47" xr10:uidLastSave="{00000000-0000-0000-0000-000000000000}"/>
  <bookViews>
    <workbookView xWindow="28680" yWindow="-120" windowWidth="20730" windowHeight="11040" firstSheet="16" activeTab="17" xr2:uid="{340AB4D8-7F14-4FE9-ABA7-1C738A10E42C}"/>
  </bookViews>
  <sheets>
    <sheet name="0" sheetId="1" r:id="rId1"/>
    <sheet name="1" sheetId="2" r:id="rId2"/>
    <sheet name="2" sheetId="4" r:id="rId3"/>
    <sheet name="3" sheetId="5" r:id="rId4"/>
    <sheet name="4" sheetId="7" r:id="rId5"/>
    <sheet name="5" sheetId="8" r:id="rId6"/>
    <sheet name="6" sheetId="9" r:id="rId7"/>
    <sheet name="7" sheetId="10" r:id="rId8"/>
    <sheet name="8" sheetId="11" r:id="rId9"/>
    <sheet name="9" sheetId="12" r:id="rId10"/>
    <sheet name="10" sheetId="13" r:id="rId11"/>
    <sheet name="11" sheetId="15" r:id="rId12"/>
    <sheet name="12" sheetId="16" r:id="rId13"/>
    <sheet name="13" sheetId="17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  <sheet name="24" sheetId="28" r:id="rId25"/>
    <sheet name="25" sheetId="29" r:id="rId26"/>
    <sheet name="26" sheetId="30" r:id="rId27"/>
    <sheet name="27" sheetId="31" r:id="rId28"/>
    <sheet name="28" sheetId="32" r:id="rId29"/>
    <sheet name="29" sheetId="33" r:id="rId30"/>
    <sheet name="30" sheetId="34" r:id="rId31"/>
    <sheet name="31" sheetId="35" r:id="rId32"/>
    <sheet name="32" sheetId="36" r:id="rId33"/>
    <sheet name="bhadra1" sheetId="37" r:id="rId34"/>
    <sheet name="sample" sheetId="6" r:id="rId35"/>
    <sheet name="Sheet1" sheetId="3" r:id="rId36"/>
    <sheet name="phcal" sheetId="14" r:id="rId37"/>
  </sheets>
  <externalReferences>
    <externalReference r:id="rId38"/>
  </externalReferences>
  <definedNames>
    <definedName name="IPP" localSheetId="0">#REF!</definedName>
    <definedName name="IPP" localSheetId="1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3">#REF!</definedName>
    <definedName name="IPP" localSheetId="30">#REF!</definedName>
    <definedName name="IPP" localSheetId="31">#REF!</definedName>
    <definedName name="IPP" localSheetId="32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33">#REF!</definedName>
    <definedName name="IPP" localSheetId="34">#REF!</definedName>
    <definedName name="IPP">#REF!</definedName>
    <definedName name="ippp" localSheetId="0">#REF!</definedName>
    <definedName name="ippp" localSheetId="1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3">#REF!</definedName>
    <definedName name="ippp" localSheetId="30">#REF!</definedName>
    <definedName name="ippp" localSheetId="31">#REF!</definedName>
    <definedName name="ippp" localSheetId="32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33">#REF!</definedName>
    <definedName name="ippp" localSheetId="34">#REF!</definedName>
    <definedName name="ippp">#REF!</definedName>
    <definedName name="sdasdf" localSheetId="0">#REF!</definedName>
    <definedName name="sdasdf" localSheetId="1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">#REF!</definedName>
    <definedName name="sdasdf" localSheetId="30">#REF!</definedName>
    <definedName name="sdasdf" localSheetId="31">#REF!</definedName>
    <definedName name="sdasdf" localSheetId="32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33">#REF!</definedName>
    <definedName name="sdasdf" localSheetId="34">#REF!</definedName>
    <definedName name="sdas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3" i="37" l="1"/>
  <c r="K113" i="37"/>
  <c r="I113" i="37"/>
  <c r="J113" i="37"/>
  <c r="I100" i="37"/>
  <c r="J100" i="37"/>
  <c r="K100" i="37"/>
  <c r="H113" i="37"/>
  <c r="AF274" i="37"/>
  <c r="AE274" i="37"/>
  <c r="AD274" i="37"/>
  <c r="AC274" i="37"/>
  <c r="AB274" i="37"/>
  <c r="AA274" i="37"/>
  <c r="Z274" i="37"/>
  <c r="Y274" i="37"/>
  <c r="X274" i="37"/>
  <c r="W274" i="37"/>
  <c r="V274" i="37"/>
  <c r="U274" i="37"/>
  <c r="T274" i="37"/>
  <c r="S274" i="37"/>
  <c r="R274" i="37"/>
  <c r="Q274" i="37"/>
  <c r="P274" i="37"/>
  <c r="O274" i="37"/>
  <c r="N274" i="37"/>
  <c r="M274" i="37"/>
  <c r="L274" i="37"/>
  <c r="K274" i="37"/>
  <c r="J274" i="37"/>
  <c r="I274" i="37"/>
  <c r="H274" i="37"/>
  <c r="G274" i="37"/>
  <c r="F274" i="37"/>
  <c r="E274" i="37"/>
  <c r="D274" i="37"/>
  <c r="C274" i="37"/>
  <c r="B274" i="37"/>
  <c r="A274" i="37"/>
  <c r="AF273" i="37"/>
  <c r="AE273" i="37"/>
  <c r="AD273" i="37"/>
  <c r="AC273" i="37"/>
  <c r="AB273" i="37"/>
  <c r="AA273" i="37"/>
  <c r="Z273" i="37"/>
  <c r="Y273" i="37"/>
  <c r="X273" i="37"/>
  <c r="W273" i="37"/>
  <c r="V273" i="37"/>
  <c r="U273" i="37"/>
  <c r="T273" i="37"/>
  <c r="S273" i="37"/>
  <c r="R273" i="37"/>
  <c r="Q273" i="37"/>
  <c r="P273" i="37"/>
  <c r="O273" i="37"/>
  <c r="N273" i="37"/>
  <c r="M273" i="37"/>
  <c r="L273" i="37"/>
  <c r="K273" i="37"/>
  <c r="J273" i="37"/>
  <c r="I273" i="37"/>
  <c r="H273" i="37"/>
  <c r="G273" i="37"/>
  <c r="F273" i="37"/>
  <c r="E273" i="37"/>
  <c r="D273" i="37"/>
  <c r="C273" i="37"/>
  <c r="B273" i="37"/>
  <c r="A273" i="37"/>
  <c r="AF272" i="37"/>
  <c r="AE272" i="37"/>
  <c r="AD272" i="37"/>
  <c r="AC272" i="37"/>
  <c r="AB272" i="37"/>
  <c r="AA272" i="37"/>
  <c r="Z272" i="37"/>
  <c r="Y272" i="37"/>
  <c r="X272" i="37"/>
  <c r="W272" i="37"/>
  <c r="V272" i="37"/>
  <c r="U272" i="37"/>
  <c r="T272" i="37"/>
  <c r="S272" i="37"/>
  <c r="R272" i="37"/>
  <c r="Q272" i="37"/>
  <c r="P272" i="37"/>
  <c r="O272" i="37"/>
  <c r="N272" i="37"/>
  <c r="M272" i="37"/>
  <c r="L272" i="37"/>
  <c r="K272" i="37"/>
  <c r="J272" i="37"/>
  <c r="I272" i="37"/>
  <c r="H272" i="37"/>
  <c r="G272" i="37"/>
  <c r="F272" i="37"/>
  <c r="E272" i="37"/>
  <c r="D272" i="37"/>
  <c r="C272" i="37"/>
  <c r="B272" i="37"/>
  <c r="A272" i="37"/>
  <c r="AF271" i="37"/>
  <c r="AE271" i="37"/>
  <c r="AD271" i="37"/>
  <c r="AC271" i="37"/>
  <c r="AB271" i="37"/>
  <c r="AA271" i="37"/>
  <c r="Z271" i="37"/>
  <c r="Y271" i="37"/>
  <c r="X271" i="37"/>
  <c r="W271" i="37"/>
  <c r="V271" i="37"/>
  <c r="U271" i="37"/>
  <c r="T271" i="37"/>
  <c r="S271" i="37"/>
  <c r="R271" i="37"/>
  <c r="Q271" i="37"/>
  <c r="P271" i="37"/>
  <c r="O271" i="37"/>
  <c r="N271" i="37"/>
  <c r="M271" i="37"/>
  <c r="L271" i="37"/>
  <c r="K271" i="37"/>
  <c r="J271" i="37"/>
  <c r="I271" i="37"/>
  <c r="H271" i="37"/>
  <c r="G271" i="37"/>
  <c r="F271" i="37"/>
  <c r="E271" i="37"/>
  <c r="D271" i="37"/>
  <c r="C271" i="37"/>
  <c r="B271" i="37"/>
  <c r="A271" i="37"/>
  <c r="AE270" i="37"/>
  <c r="AD270" i="37"/>
  <c r="AC270" i="37"/>
  <c r="AB270" i="37"/>
  <c r="AA270" i="37"/>
  <c r="Z270" i="37"/>
  <c r="Y270" i="37"/>
  <c r="X270" i="37"/>
  <c r="W270" i="37"/>
  <c r="V270" i="37"/>
  <c r="U270" i="37"/>
  <c r="T270" i="37"/>
  <c r="S270" i="37"/>
  <c r="R270" i="37"/>
  <c r="Q270" i="37"/>
  <c r="P270" i="37"/>
  <c r="B270" i="37"/>
  <c r="S245" i="37"/>
  <c r="AG235" i="37"/>
  <c r="AF235" i="37"/>
  <c r="AE235" i="37"/>
  <c r="AD235" i="37"/>
  <c r="AC235" i="37"/>
  <c r="AB235" i="37"/>
  <c r="AA235" i="37"/>
  <c r="Z235" i="37"/>
  <c r="Y235" i="37"/>
  <c r="X235" i="37"/>
  <c r="W235" i="37"/>
  <c r="V235" i="37"/>
  <c r="U235" i="37"/>
  <c r="T235" i="37"/>
  <c r="S235" i="37"/>
  <c r="R235" i="37"/>
  <c r="Q235" i="37"/>
  <c r="C235" i="37"/>
  <c r="D234" i="37"/>
  <c r="C270" i="37" s="1"/>
  <c r="B234" i="37"/>
  <c r="AF270" i="37" s="1"/>
  <c r="E233" i="37"/>
  <c r="F233" i="37" s="1"/>
  <c r="G233" i="37" s="1"/>
  <c r="H233" i="37" s="1"/>
  <c r="I233" i="37" s="1"/>
  <c r="J233" i="37" s="1"/>
  <c r="K233" i="37" s="1"/>
  <c r="L233" i="37" s="1"/>
  <c r="M233" i="37" s="1"/>
  <c r="N233" i="37" s="1"/>
  <c r="O233" i="37" s="1"/>
  <c r="P233" i="37" s="1"/>
  <c r="D233" i="37"/>
  <c r="B233" i="37"/>
  <c r="H232" i="37"/>
  <c r="I232" i="37" s="1"/>
  <c r="G232" i="37"/>
  <c r="F232" i="37"/>
  <c r="E232" i="37"/>
  <c r="D232" i="37"/>
  <c r="B232" i="37"/>
  <c r="F231" i="37"/>
  <c r="G231" i="37" s="1"/>
  <c r="H231" i="37" s="1"/>
  <c r="E231" i="37"/>
  <c r="D231" i="37"/>
  <c r="B231" i="37"/>
  <c r="D230" i="37"/>
  <c r="D235" i="37" s="1"/>
  <c r="B230" i="37"/>
  <c r="E229" i="37"/>
  <c r="F229" i="37" s="1"/>
  <c r="D229" i="37"/>
  <c r="B229" i="37"/>
  <c r="B235" i="37" s="1"/>
  <c r="AG227" i="37"/>
  <c r="AF227" i="37"/>
  <c r="AE227" i="37"/>
  <c r="AD227" i="37"/>
  <c r="AC227" i="37"/>
  <c r="AB227" i="37"/>
  <c r="AA227" i="37"/>
  <c r="Z227" i="37"/>
  <c r="Y227" i="37"/>
  <c r="X227" i="37"/>
  <c r="W227" i="37"/>
  <c r="V227" i="37"/>
  <c r="U227" i="37"/>
  <c r="T227" i="37"/>
  <c r="S227" i="37"/>
  <c r="R227" i="37"/>
  <c r="Q227" i="37"/>
  <c r="P227" i="37"/>
  <c r="O227" i="37"/>
  <c r="N227" i="37"/>
  <c r="M227" i="37"/>
  <c r="L227" i="37"/>
  <c r="K227" i="37"/>
  <c r="J227" i="37"/>
  <c r="I227" i="37"/>
  <c r="H227" i="37"/>
  <c r="G227" i="37"/>
  <c r="F227" i="37"/>
  <c r="E227" i="37"/>
  <c r="D227" i="37"/>
  <c r="C227" i="37"/>
  <c r="B227" i="37"/>
  <c r="AI120" i="37"/>
  <c r="AH120" i="37"/>
  <c r="AI119" i="37"/>
  <c r="AH119" i="37"/>
  <c r="AI118" i="37"/>
  <c r="AH118" i="37"/>
  <c r="AI117" i="37"/>
  <c r="AH117" i="37"/>
  <c r="AI116" i="37"/>
  <c r="AH116" i="37"/>
  <c r="AI115" i="37"/>
  <c r="AH115" i="37"/>
  <c r="AI114" i="37"/>
  <c r="AH114" i="37"/>
  <c r="AI113" i="37"/>
  <c r="AH113" i="37"/>
  <c r="AI112" i="37"/>
  <c r="AH112" i="37"/>
  <c r="AI111" i="37"/>
  <c r="AH111" i="37"/>
  <c r="AF110" i="37"/>
  <c r="AE110" i="37"/>
  <c r="AC110" i="37"/>
  <c r="AB110" i="37"/>
  <c r="AA110" i="37"/>
  <c r="Z110" i="37"/>
  <c r="Y110" i="37"/>
  <c r="X110" i="37"/>
  <c r="W110" i="37"/>
  <c r="V110" i="37"/>
  <c r="U110" i="37"/>
  <c r="T110" i="37"/>
  <c r="S110" i="37"/>
  <c r="R110" i="37"/>
  <c r="Q110" i="37"/>
  <c r="D110" i="37"/>
  <c r="C110" i="37"/>
  <c r="AI109" i="37"/>
  <c r="AH109" i="37"/>
  <c r="AI108" i="37"/>
  <c r="AH108" i="37"/>
  <c r="AI107" i="37"/>
  <c r="AH107" i="37"/>
  <c r="AI106" i="37"/>
  <c r="AH106" i="37"/>
  <c r="AI105" i="37"/>
  <c r="AH105" i="37"/>
  <c r="AI104" i="37"/>
  <c r="AH104" i="37"/>
  <c r="AI103" i="37"/>
  <c r="AH103" i="37"/>
  <c r="AI102" i="37"/>
  <c r="AH102" i="37"/>
  <c r="AI101" i="37"/>
  <c r="AH101" i="37"/>
  <c r="AE100" i="37"/>
  <c r="Z100" i="37"/>
  <c r="W100" i="37"/>
  <c r="R100" i="37"/>
  <c r="O100" i="37"/>
  <c r="AI99" i="37"/>
  <c r="AH99" i="37"/>
  <c r="AI98" i="37"/>
  <c r="AH98" i="37"/>
  <c r="AI97" i="37"/>
  <c r="AH97" i="37"/>
  <c r="AI96" i="37"/>
  <c r="AH96" i="37"/>
  <c r="AI95" i="37"/>
  <c r="AH95" i="37"/>
  <c r="AI94" i="37"/>
  <c r="AH94" i="37"/>
  <c r="AI93" i="37"/>
  <c r="AH93" i="37"/>
  <c r="AI90" i="37"/>
  <c r="AH90" i="37"/>
  <c r="AB89" i="37"/>
  <c r="AB91" i="37" s="1"/>
  <c r="T89" i="37"/>
  <c r="T91" i="37" s="1"/>
  <c r="AI88" i="37"/>
  <c r="AH88" i="37"/>
  <c r="AG88" i="37"/>
  <c r="AG91" i="37" s="1"/>
  <c r="AI87" i="37"/>
  <c r="AH87" i="37"/>
  <c r="AI86" i="37"/>
  <c r="AH86" i="37"/>
  <c r="AI85" i="37"/>
  <c r="AH85" i="37"/>
  <c r="AN84" i="37"/>
  <c r="AG84" i="37"/>
  <c r="AF84" i="37"/>
  <c r="AF100" i="37" s="1"/>
  <c r="AE84" i="37"/>
  <c r="AD84" i="37"/>
  <c r="AD100" i="37" s="1"/>
  <c r="AC84" i="37"/>
  <c r="AC100" i="37" s="1"/>
  <c r="AB84" i="37"/>
  <c r="AB100" i="37" s="1"/>
  <c r="AA84" i="37"/>
  <c r="AA100" i="37" s="1"/>
  <c r="Z84" i="37"/>
  <c r="Y84" i="37"/>
  <c r="Y100" i="37" s="1"/>
  <c r="X84" i="37"/>
  <c r="X100" i="37" s="1"/>
  <c r="W84" i="37"/>
  <c r="V84" i="37"/>
  <c r="V100" i="37" s="1"/>
  <c r="U84" i="37"/>
  <c r="U100" i="37" s="1"/>
  <c r="T84" i="37"/>
  <c r="T100" i="37" s="1"/>
  <c r="S84" i="37"/>
  <c r="S100" i="37" s="1"/>
  <c r="R84" i="37"/>
  <c r="Q84" i="37"/>
  <c r="Q100" i="37" s="1"/>
  <c r="P84" i="37"/>
  <c r="P100" i="37" s="1"/>
  <c r="O84" i="37"/>
  <c r="N84" i="37"/>
  <c r="N100" i="37" s="1"/>
  <c r="M84" i="37"/>
  <c r="M100" i="37" s="1"/>
  <c r="L84" i="37"/>
  <c r="L100" i="37" s="1"/>
  <c r="K84" i="37"/>
  <c r="J84" i="37"/>
  <c r="I5" i="37" s="1"/>
  <c r="I84" i="37"/>
  <c r="H84" i="37"/>
  <c r="H100" i="37" s="1"/>
  <c r="G84" i="37"/>
  <c r="G100" i="37" s="1"/>
  <c r="F84" i="37"/>
  <c r="F100" i="37" s="1"/>
  <c r="E84" i="37"/>
  <c r="E100" i="37" s="1"/>
  <c r="D84" i="37"/>
  <c r="D100" i="37" s="1"/>
  <c r="C84" i="37"/>
  <c r="C100" i="37" s="1"/>
  <c r="AI83" i="37"/>
  <c r="AH83" i="37"/>
  <c r="AN82" i="37"/>
  <c r="AI82" i="37"/>
  <c r="AH82" i="37"/>
  <c r="AN81" i="37"/>
  <c r="AN83" i="37" s="1"/>
  <c r="AI81" i="37"/>
  <c r="AH81" i="37"/>
  <c r="AI80" i="37"/>
  <c r="AH80" i="37"/>
  <c r="AI79" i="37"/>
  <c r="AH79" i="37"/>
  <c r="AI78" i="37"/>
  <c r="AH78" i="37"/>
  <c r="AI77" i="37"/>
  <c r="AH77" i="37"/>
  <c r="AI76" i="37"/>
  <c r="AH76" i="37"/>
  <c r="AI75" i="37"/>
  <c r="AH75" i="37"/>
  <c r="AI74" i="37"/>
  <c r="AH74" i="37"/>
  <c r="AI73" i="37"/>
  <c r="AH73" i="37"/>
  <c r="AG72" i="37"/>
  <c r="AF72" i="37"/>
  <c r="AE72" i="37"/>
  <c r="AD72" i="37"/>
  <c r="AC72" i="37"/>
  <c r="AB72" i="37"/>
  <c r="AA72" i="37"/>
  <c r="Z72" i="37"/>
  <c r="Y72" i="37"/>
  <c r="X72" i="37"/>
  <c r="W72" i="37"/>
  <c r="V72" i="37"/>
  <c r="U72" i="37"/>
  <c r="T72" i="37"/>
  <c r="S72" i="37"/>
  <c r="R72" i="37"/>
  <c r="Q72" i="37"/>
  <c r="P72" i="37"/>
  <c r="O72" i="37"/>
  <c r="N72" i="37"/>
  <c r="M72" i="37"/>
  <c r="L72" i="37"/>
  <c r="AH72" i="37"/>
  <c r="AI71" i="37"/>
  <c r="AH71" i="37"/>
  <c r="AI70" i="37"/>
  <c r="AH70" i="37"/>
  <c r="AI69" i="37"/>
  <c r="AH69" i="37"/>
  <c r="AG68" i="37"/>
  <c r="AF68" i="37"/>
  <c r="AE68" i="37"/>
  <c r="AD68" i="37"/>
  <c r="AC68" i="37"/>
  <c r="AB68" i="37"/>
  <c r="AA68" i="37"/>
  <c r="Z68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AI67" i="37"/>
  <c r="AH67" i="37"/>
  <c r="AG67" i="37"/>
  <c r="AI66" i="37"/>
  <c r="AH66" i="37"/>
  <c r="AI65" i="37"/>
  <c r="AH65" i="37"/>
  <c r="AI64" i="37"/>
  <c r="AH64" i="37"/>
  <c r="AI63" i="37"/>
  <c r="AH63" i="37"/>
  <c r="AI62" i="37"/>
  <c r="AH62" i="37"/>
  <c r="AI61" i="37"/>
  <c r="AH61" i="37"/>
  <c r="AI60" i="37"/>
  <c r="AH60" i="37"/>
  <c r="AI59" i="37"/>
  <c r="AH59" i="37"/>
  <c r="AI58" i="37"/>
  <c r="AH58" i="37"/>
  <c r="AI57" i="37"/>
  <c r="AH57" i="37"/>
  <c r="AI56" i="37"/>
  <c r="AH56" i="37"/>
  <c r="AI55" i="37"/>
  <c r="AH55" i="37"/>
  <c r="AG54" i="37"/>
  <c r="AF54" i="37"/>
  <c r="AE54" i="37"/>
  <c r="AD54" i="37"/>
  <c r="AC54" i="37"/>
  <c r="AB54" i="37"/>
  <c r="AA54" i="37"/>
  <c r="Z54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AI53" i="37"/>
  <c r="AH53" i="37"/>
  <c r="AI52" i="37"/>
  <c r="AH52" i="37"/>
  <c r="AI51" i="37"/>
  <c r="AH51" i="37"/>
  <c r="AG50" i="37"/>
  <c r="AG89" i="37" s="1"/>
  <c r="AF50" i="37"/>
  <c r="AF89" i="37" s="1"/>
  <c r="AF91" i="37" s="1"/>
  <c r="AE50" i="37"/>
  <c r="AE89" i="37" s="1"/>
  <c r="AE91" i="37" s="1"/>
  <c r="AD50" i="37"/>
  <c r="AD89" i="37" s="1"/>
  <c r="AD91" i="37" s="1"/>
  <c r="AC50" i="37"/>
  <c r="AC89" i="37" s="1"/>
  <c r="AC91" i="37" s="1"/>
  <c r="AB50" i="37"/>
  <c r="AA50" i="37"/>
  <c r="AA89" i="37" s="1"/>
  <c r="AA91" i="37" s="1"/>
  <c r="Z50" i="37"/>
  <c r="Z89" i="37" s="1"/>
  <c r="Z91" i="37" s="1"/>
  <c r="Y50" i="37"/>
  <c r="Y89" i="37" s="1"/>
  <c r="Y91" i="37" s="1"/>
  <c r="X50" i="37"/>
  <c r="X89" i="37" s="1"/>
  <c r="X91" i="37" s="1"/>
  <c r="W50" i="37"/>
  <c r="W89" i="37" s="1"/>
  <c r="W91" i="37" s="1"/>
  <c r="V50" i="37"/>
  <c r="V89" i="37" s="1"/>
  <c r="V91" i="37" s="1"/>
  <c r="U50" i="37"/>
  <c r="U89" i="37" s="1"/>
  <c r="U91" i="37" s="1"/>
  <c r="T50" i="37"/>
  <c r="S50" i="37"/>
  <c r="S89" i="37" s="1"/>
  <c r="S91" i="37" s="1"/>
  <c r="R50" i="37"/>
  <c r="R89" i="37" s="1"/>
  <c r="R91" i="37" s="1"/>
  <c r="Q50" i="37"/>
  <c r="Q89" i="37" s="1"/>
  <c r="Q91" i="37" s="1"/>
  <c r="P50" i="37"/>
  <c r="P89" i="37" s="1"/>
  <c r="P91" i="37" s="1"/>
  <c r="O50" i="37"/>
  <c r="O89" i="37" s="1"/>
  <c r="O91" i="37" s="1"/>
  <c r="N50" i="37"/>
  <c r="N89" i="37" s="1"/>
  <c r="N91" i="37" s="1"/>
  <c r="M50" i="37"/>
  <c r="L50" i="37"/>
  <c r="K50" i="37"/>
  <c r="J50" i="37"/>
  <c r="I50" i="37"/>
  <c r="H50" i="37"/>
  <c r="G50" i="37"/>
  <c r="F50" i="37"/>
  <c r="E50" i="37"/>
  <c r="D50" i="37"/>
  <c r="C50" i="37"/>
  <c r="AI49" i="37"/>
  <c r="AH49" i="37"/>
  <c r="AI48" i="37"/>
  <c r="AH48" i="37"/>
  <c r="AI47" i="37"/>
  <c r="AH47" i="37"/>
  <c r="AI46" i="37"/>
  <c r="AH46" i="37"/>
  <c r="AI45" i="37"/>
  <c r="AH45" i="37"/>
  <c r="AI44" i="37"/>
  <c r="AH44" i="37"/>
  <c r="AI43" i="37"/>
  <c r="AH43" i="37"/>
  <c r="AI42" i="37"/>
  <c r="AH42" i="37"/>
  <c r="AI41" i="37"/>
  <c r="AH41" i="37"/>
  <c r="AI40" i="37"/>
  <c r="AH40" i="37"/>
  <c r="AI39" i="37"/>
  <c r="AH39" i="37"/>
  <c r="AI38" i="37"/>
  <c r="AH38" i="37"/>
  <c r="AI37" i="37"/>
  <c r="AH37" i="37"/>
  <c r="AI36" i="37"/>
  <c r="AH36" i="37"/>
  <c r="AI35" i="37"/>
  <c r="AH35" i="37"/>
  <c r="AI34" i="37"/>
  <c r="AH34" i="37"/>
  <c r="AI33" i="37"/>
  <c r="AH33" i="37"/>
  <c r="AI32" i="37"/>
  <c r="AH32" i="37"/>
  <c r="AI31" i="37"/>
  <c r="AH31" i="37"/>
  <c r="AI30" i="37"/>
  <c r="AH30" i="37"/>
  <c r="AI29" i="37"/>
  <c r="AH29" i="37"/>
  <c r="AI28" i="37"/>
  <c r="AH28" i="37"/>
  <c r="AI27" i="37"/>
  <c r="AH27" i="37"/>
  <c r="AI26" i="37"/>
  <c r="AH26" i="37"/>
  <c r="AI25" i="37"/>
  <c r="AH25" i="37"/>
  <c r="AI24" i="37"/>
  <c r="AH24" i="37"/>
  <c r="AI23" i="37"/>
  <c r="AH23" i="37"/>
  <c r="AI22" i="37"/>
  <c r="AH22" i="37"/>
  <c r="AI21" i="37"/>
  <c r="AH21" i="37"/>
  <c r="AI20" i="37"/>
  <c r="AH20" i="37"/>
  <c r="AI19" i="37"/>
  <c r="AH19" i="37"/>
  <c r="AI18" i="37"/>
  <c r="AH18" i="37"/>
  <c r="AI17" i="37"/>
  <c r="AH17" i="37"/>
  <c r="AI16" i="37"/>
  <c r="AH16" i="37"/>
  <c r="AI15" i="37"/>
  <c r="AH15" i="37"/>
  <c r="AI14" i="37"/>
  <c r="AH14" i="37"/>
  <c r="AI13" i="37"/>
  <c r="AH13" i="37"/>
  <c r="AI12" i="37"/>
  <c r="AH12" i="37"/>
  <c r="AI11" i="37"/>
  <c r="AH11" i="37"/>
  <c r="AF5" i="37"/>
  <c r="AD5" i="37"/>
  <c r="AC5" i="37"/>
  <c r="AB5" i="37"/>
  <c r="AA5" i="37"/>
  <c r="Y5" i="37"/>
  <c r="X5" i="37"/>
  <c r="V5" i="37"/>
  <c r="U5" i="37"/>
  <c r="T5" i="37"/>
  <c r="S5" i="37"/>
  <c r="Q5" i="37"/>
  <c r="P5" i="37"/>
  <c r="N5" i="37"/>
  <c r="M5" i="37"/>
  <c r="C5" i="37"/>
  <c r="AG4" i="37"/>
  <c r="AG6" i="37" s="1"/>
  <c r="K4" i="37"/>
  <c r="E4" i="37"/>
  <c r="H4" i="37" s="1"/>
  <c r="B4" i="37"/>
  <c r="S246" i="37" s="1"/>
  <c r="AG3" i="37"/>
  <c r="AG2" i="37"/>
  <c r="AF50" i="36"/>
  <c r="AF54" i="36"/>
  <c r="AC50" i="36"/>
  <c r="AC54" i="36"/>
  <c r="L5" i="37" l="1"/>
  <c r="M89" i="37"/>
  <c r="M91" i="37" s="1"/>
  <c r="AE249" i="37" s="1"/>
  <c r="K5" i="37"/>
  <c r="L89" i="37"/>
  <c r="L91" i="37" s="1"/>
  <c r="H5" i="37"/>
  <c r="J89" i="37"/>
  <c r="J91" i="37" s="1"/>
  <c r="J7" i="37" s="1"/>
  <c r="K89" i="37"/>
  <c r="K91" i="37" s="1"/>
  <c r="K92" i="37" s="1"/>
  <c r="I89" i="37"/>
  <c r="I91" i="37" s="1"/>
  <c r="I92" i="37" s="1"/>
  <c r="F5" i="37"/>
  <c r="E5" i="37"/>
  <c r="D5" i="37"/>
  <c r="F89" i="37"/>
  <c r="F91" i="37" s="1"/>
  <c r="F92" i="37" s="1"/>
  <c r="H89" i="37"/>
  <c r="H91" i="37" s="1"/>
  <c r="Z249" i="37" s="1"/>
  <c r="E89" i="37"/>
  <c r="E91" i="37" s="1"/>
  <c r="E92" i="37" s="1"/>
  <c r="AH68" i="37"/>
  <c r="G89" i="37"/>
  <c r="G91" i="37" s="1"/>
  <c r="G92" i="37" s="1"/>
  <c r="D89" i="37"/>
  <c r="D91" i="37" s="1"/>
  <c r="D92" i="37" s="1"/>
  <c r="AH54" i="37"/>
  <c r="AH84" i="37"/>
  <c r="C89" i="37"/>
  <c r="C91" i="37" s="1"/>
  <c r="C7" i="37" s="1"/>
  <c r="D246" i="37"/>
  <c r="P7" i="37"/>
  <c r="P92" i="37"/>
  <c r="AH249" i="37"/>
  <c r="AA249" i="37"/>
  <c r="D7" i="37"/>
  <c r="V249" i="37"/>
  <c r="AO249" i="37"/>
  <c r="W7" i="37"/>
  <c r="W92" i="37"/>
  <c r="X7" i="37"/>
  <c r="X92" i="37"/>
  <c r="AP249" i="37"/>
  <c r="Y7" i="37"/>
  <c r="Y92" i="37"/>
  <c r="AQ249" i="37"/>
  <c r="Z7" i="37"/>
  <c r="Z92" i="37"/>
  <c r="AR249" i="37"/>
  <c r="C92" i="37"/>
  <c r="U249" i="37"/>
  <c r="S7" i="37"/>
  <c r="S92" i="37"/>
  <c r="AK249" i="37"/>
  <c r="AA7" i="37"/>
  <c r="AA92" i="37"/>
  <c r="AS249" i="37"/>
  <c r="L92" i="37"/>
  <c r="AD249" i="37"/>
  <c r="L7" i="37"/>
  <c r="AG249" i="37"/>
  <c r="O7" i="37"/>
  <c r="O92" i="37"/>
  <c r="AF7" i="37"/>
  <c r="AF92" i="37"/>
  <c r="AX249" i="37"/>
  <c r="G229" i="37"/>
  <c r="Q7" i="37"/>
  <c r="Q92" i="37"/>
  <c r="AI249" i="37"/>
  <c r="R7" i="37"/>
  <c r="R92" i="37"/>
  <c r="AJ249" i="37"/>
  <c r="T92" i="37"/>
  <c r="AL249" i="37"/>
  <c r="T7" i="37"/>
  <c r="J232" i="37"/>
  <c r="K232" i="37" s="1"/>
  <c r="L232" i="37" s="1"/>
  <c r="M232" i="37" s="1"/>
  <c r="N232" i="37" s="1"/>
  <c r="O232" i="37" s="1"/>
  <c r="P232" i="37" s="1"/>
  <c r="U92" i="37"/>
  <c r="AM249" i="37"/>
  <c r="U7" i="37"/>
  <c r="AW249" i="37"/>
  <c r="AE7" i="37"/>
  <c r="AE92" i="37"/>
  <c r="M92" i="37"/>
  <c r="AC92" i="37"/>
  <c r="AU249" i="37"/>
  <c r="AC7" i="37"/>
  <c r="AB92" i="37"/>
  <c r="AB7" i="37"/>
  <c r="AT249" i="37"/>
  <c r="X249" i="37"/>
  <c r="F7" i="37"/>
  <c r="AF249" i="37"/>
  <c r="N7" i="37"/>
  <c r="N92" i="37"/>
  <c r="AN249" i="37"/>
  <c r="V7" i="37"/>
  <c r="V92" i="37"/>
  <c r="AV249" i="37"/>
  <c r="AD92" i="37"/>
  <c r="AD7" i="37"/>
  <c r="AI100" i="37"/>
  <c r="G5" i="37"/>
  <c r="O5" i="37"/>
  <c r="W5" i="37"/>
  <c r="AE5" i="37"/>
  <c r="AI68" i="37"/>
  <c r="E110" i="37"/>
  <c r="E230" i="37"/>
  <c r="E234" i="37"/>
  <c r="AI72" i="37"/>
  <c r="AH100" i="37"/>
  <c r="AI84" i="37"/>
  <c r="B5" i="37"/>
  <c r="J5" i="37"/>
  <c r="R5" i="37"/>
  <c r="Z5" i="37"/>
  <c r="AI50" i="37"/>
  <c r="AI54" i="37"/>
  <c r="AH50" i="37"/>
  <c r="M7" i="37" l="1"/>
  <c r="I7" i="37"/>
  <c r="K7" i="37"/>
  <c r="AC249" i="37"/>
  <c r="J92" i="37"/>
  <c r="AB249" i="37"/>
  <c r="E7" i="37"/>
  <c r="C244" i="37"/>
  <c r="AI89" i="37"/>
  <c r="W249" i="37"/>
  <c r="H92" i="37"/>
  <c r="Y249" i="37"/>
  <c r="G7" i="37"/>
  <c r="B244" i="37"/>
  <c r="AH89" i="37"/>
  <c r="H7" i="37"/>
  <c r="D270" i="37"/>
  <c r="F234" i="37"/>
  <c r="H229" i="37"/>
  <c r="B7" i="37"/>
  <c r="AI91" i="37"/>
  <c r="T249" i="37"/>
  <c r="AH91" i="37"/>
  <c r="F230" i="37"/>
  <c r="E235" i="37"/>
  <c r="K6" i="37" l="1"/>
  <c r="A7" i="37"/>
  <c r="AH92" i="37"/>
  <c r="AI92" i="37"/>
  <c r="G230" i="37"/>
  <c r="F235" i="37"/>
  <c r="I229" i="37"/>
  <c r="E270" i="37"/>
  <c r="G234" i="37"/>
  <c r="F110" i="37"/>
  <c r="J229" i="37" l="1"/>
  <c r="H230" i="37"/>
  <c r="G235" i="37"/>
  <c r="F270" i="37"/>
  <c r="H234" i="37"/>
  <c r="G110" i="37"/>
  <c r="I230" i="37" l="1"/>
  <c r="H235" i="37"/>
  <c r="K229" i="37"/>
  <c r="G270" i="37"/>
  <c r="I234" i="37"/>
  <c r="H110" i="37"/>
  <c r="H270" i="37" l="1"/>
  <c r="J234" i="37"/>
  <c r="I110" i="37"/>
  <c r="L229" i="37"/>
  <c r="J230" i="37"/>
  <c r="M229" i="37" l="1"/>
  <c r="K234" i="37"/>
  <c r="I270" i="37"/>
  <c r="J110" i="37"/>
  <c r="K230" i="37"/>
  <c r="L230" i="37" l="1"/>
  <c r="L234" i="37"/>
  <c r="J270" i="37"/>
  <c r="K110" i="37"/>
  <c r="N229" i="37"/>
  <c r="O229" i="37" l="1"/>
  <c r="K270" i="37"/>
  <c r="M234" i="37"/>
  <c r="L110" i="37"/>
  <c r="M230" i="37"/>
  <c r="N230" i="37" l="1"/>
  <c r="L270" i="37"/>
  <c r="N234" i="37"/>
  <c r="M110" i="37"/>
  <c r="P229" i="37"/>
  <c r="M270" i="37" l="1"/>
  <c r="O234" i="37"/>
  <c r="N110" i="37"/>
  <c r="O230" i="37"/>
  <c r="P230" i="37" l="1"/>
  <c r="N270" i="37"/>
  <c r="P234" i="37"/>
  <c r="O270" i="37" s="1"/>
  <c r="O110" i="37"/>
  <c r="AI110" i="37" l="1"/>
  <c r="AH110" i="37"/>
  <c r="X113" i="36" l="1"/>
  <c r="X49" i="36"/>
  <c r="U113" i="36"/>
  <c r="S49" i="36"/>
  <c r="R113" i="36"/>
  <c r="R49" i="36"/>
  <c r="R50" i="36"/>
  <c r="R54" i="36"/>
  <c r="R68" i="36"/>
  <c r="R72" i="36"/>
  <c r="R84" i="36"/>
  <c r="R100" i="36" s="1"/>
  <c r="R110" i="36"/>
  <c r="L50" i="36"/>
  <c r="K50" i="36"/>
  <c r="R89" i="36" l="1"/>
  <c r="R91" i="36" s="1"/>
  <c r="R92" i="36" s="1"/>
  <c r="J50" i="36"/>
  <c r="E50" i="36"/>
  <c r="AF274" i="36"/>
  <c r="AE274" i="36"/>
  <c r="AD274" i="36"/>
  <c r="AC274" i="36"/>
  <c r="AB274" i="36"/>
  <c r="AA274" i="36"/>
  <c r="Z274" i="36"/>
  <c r="Y274" i="36"/>
  <c r="X274" i="36"/>
  <c r="W274" i="36"/>
  <c r="V274" i="36"/>
  <c r="U274" i="36"/>
  <c r="T274" i="36"/>
  <c r="S274" i="36"/>
  <c r="R274" i="36"/>
  <c r="Q274" i="36"/>
  <c r="P274" i="36"/>
  <c r="O274" i="36"/>
  <c r="N274" i="36"/>
  <c r="M274" i="36"/>
  <c r="L274" i="36"/>
  <c r="K274" i="36"/>
  <c r="J274" i="36"/>
  <c r="I274" i="36"/>
  <c r="H274" i="36"/>
  <c r="G274" i="36"/>
  <c r="F274" i="36"/>
  <c r="E274" i="36"/>
  <c r="D274" i="36"/>
  <c r="C274" i="36"/>
  <c r="B274" i="36"/>
  <c r="A274" i="36"/>
  <c r="AF273" i="36"/>
  <c r="AE273" i="36"/>
  <c r="AD273" i="36"/>
  <c r="AC273" i="36"/>
  <c r="AB273" i="36"/>
  <c r="AA273" i="36"/>
  <c r="Z273" i="36"/>
  <c r="Y273" i="36"/>
  <c r="X273" i="36"/>
  <c r="W273" i="36"/>
  <c r="V273" i="36"/>
  <c r="U273" i="36"/>
  <c r="T273" i="36"/>
  <c r="S273" i="36"/>
  <c r="R273" i="36"/>
  <c r="Q273" i="36"/>
  <c r="P273" i="36"/>
  <c r="O273" i="36"/>
  <c r="N273" i="36"/>
  <c r="M273" i="36"/>
  <c r="L273" i="36"/>
  <c r="K273" i="36"/>
  <c r="J273" i="36"/>
  <c r="I273" i="36"/>
  <c r="H273" i="36"/>
  <c r="G273" i="36"/>
  <c r="F273" i="36"/>
  <c r="E273" i="36"/>
  <c r="D273" i="36"/>
  <c r="C273" i="36"/>
  <c r="B273" i="36"/>
  <c r="A273" i="36"/>
  <c r="AF272" i="36"/>
  <c r="AE272" i="36"/>
  <c r="AD272" i="36"/>
  <c r="AC272" i="36"/>
  <c r="AB272" i="36"/>
  <c r="AA272" i="36"/>
  <c r="Z272" i="36"/>
  <c r="Y272" i="36"/>
  <c r="X272" i="36"/>
  <c r="W272" i="36"/>
  <c r="V272" i="36"/>
  <c r="U272" i="36"/>
  <c r="T272" i="36"/>
  <c r="S272" i="36"/>
  <c r="R272" i="36"/>
  <c r="Q272" i="36"/>
  <c r="P272" i="36"/>
  <c r="O272" i="36"/>
  <c r="N272" i="36"/>
  <c r="M272" i="36"/>
  <c r="L272" i="36"/>
  <c r="K272" i="36"/>
  <c r="J272" i="36"/>
  <c r="I272" i="36"/>
  <c r="H272" i="36"/>
  <c r="G272" i="36"/>
  <c r="F272" i="36"/>
  <c r="E272" i="36"/>
  <c r="D272" i="36"/>
  <c r="C272" i="36"/>
  <c r="B272" i="36"/>
  <c r="A272" i="36"/>
  <c r="AF271" i="36"/>
  <c r="AE271" i="36"/>
  <c r="AD271" i="36"/>
  <c r="AC271" i="36"/>
  <c r="AB271" i="36"/>
  <c r="AA271" i="36"/>
  <c r="Z271" i="36"/>
  <c r="Y271" i="36"/>
  <c r="X271" i="36"/>
  <c r="W271" i="36"/>
  <c r="V271" i="36"/>
  <c r="U271" i="36"/>
  <c r="T271" i="36"/>
  <c r="S271" i="36"/>
  <c r="R271" i="36"/>
  <c r="Q271" i="36"/>
  <c r="P271" i="36"/>
  <c r="O271" i="36"/>
  <c r="N271" i="36"/>
  <c r="M271" i="36"/>
  <c r="L271" i="36"/>
  <c r="K271" i="36"/>
  <c r="J271" i="36"/>
  <c r="I271" i="36"/>
  <c r="H271" i="36"/>
  <c r="G271" i="36"/>
  <c r="F271" i="36"/>
  <c r="E271" i="36"/>
  <c r="D271" i="36"/>
  <c r="C271" i="36"/>
  <c r="B271" i="36"/>
  <c r="A271" i="36"/>
  <c r="AE270" i="36"/>
  <c r="AD270" i="36"/>
  <c r="AC270" i="36"/>
  <c r="AB270" i="36"/>
  <c r="AA270" i="36"/>
  <c r="Z270" i="36"/>
  <c r="Y270" i="36"/>
  <c r="X270" i="36"/>
  <c r="W270" i="36"/>
  <c r="V270" i="36"/>
  <c r="U270" i="36"/>
  <c r="T270" i="36"/>
  <c r="S270" i="36"/>
  <c r="R270" i="36"/>
  <c r="Q270" i="36"/>
  <c r="P270" i="36"/>
  <c r="B270" i="36"/>
  <c r="S245" i="36"/>
  <c r="AG235" i="36"/>
  <c r="AF235" i="36"/>
  <c r="AE235" i="36"/>
  <c r="AD235" i="36"/>
  <c r="AC235" i="36"/>
  <c r="AB235" i="36"/>
  <c r="AA235" i="36"/>
  <c r="Z235" i="36"/>
  <c r="Y235" i="36"/>
  <c r="X235" i="36"/>
  <c r="W235" i="36"/>
  <c r="V235" i="36"/>
  <c r="U235" i="36"/>
  <c r="T235" i="36"/>
  <c r="S235" i="36"/>
  <c r="R235" i="36"/>
  <c r="Q235" i="36"/>
  <c r="C235" i="36"/>
  <c r="E234" i="36"/>
  <c r="D270" i="36" s="1"/>
  <c r="D234" i="36"/>
  <c r="C270" i="36" s="1"/>
  <c r="B234" i="36"/>
  <c r="AF270" i="36" s="1"/>
  <c r="D233" i="36"/>
  <c r="E233" i="36" s="1"/>
  <c r="F233" i="36" s="1"/>
  <c r="G233" i="36" s="1"/>
  <c r="H233" i="36" s="1"/>
  <c r="I233" i="36" s="1"/>
  <c r="J233" i="36" s="1"/>
  <c r="K233" i="36" s="1"/>
  <c r="L233" i="36" s="1"/>
  <c r="M233" i="36" s="1"/>
  <c r="N233" i="36" s="1"/>
  <c r="O233" i="36" s="1"/>
  <c r="P233" i="36" s="1"/>
  <c r="B233" i="36"/>
  <c r="E232" i="36"/>
  <c r="F232" i="36" s="1"/>
  <c r="G232" i="36" s="1"/>
  <c r="H232" i="36" s="1"/>
  <c r="I232" i="36" s="1"/>
  <c r="D232" i="36"/>
  <c r="B232" i="36"/>
  <c r="G231" i="36"/>
  <c r="H231" i="36" s="1"/>
  <c r="F231" i="36"/>
  <c r="E231" i="36"/>
  <c r="D231" i="36"/>
  <c r="B231" i="36"/>
  <c r="E230" i="36"/>
  <c r="F230" i="36" s="1"/>
  <c r="G230" i="36" s="1"/>
  <c r="H230" i="36" s="1"/>
  <c r="I230" i="36" s="1"/>
  <c r="J230" i="36" s="1"/>
  <c r="K230" i="36" s="1"/>
  <c r="L230" i="36" s="1"/>
  <c r="M230" i="36" s="1"/>
  <c r="N230" i="36" s="1"/>
  <c r="O230" i="36" s="1"/>
  <c r="P230" i="36" s="1"/>
  <c r="D230" i="36"/>
  <c r="D235" i="36" s="1"/>
  <c r="B230" i="36"/>
  <c r="E229" i="36"/>
  <c r="F229" i="36" s="1"/>
  <c r="D229" i="36"/>
  <c r="B229" i="36"/>
  <c r="B110" i="36" s="1"/>
  <c r="AG227" i="36"/>
  <c r="AF227" i="36"/>
  <c r="AE227" i="36"/>
  <c r="AD227" i="36"/>
  <c r="AC227" i="36"/>
  <c r="AB227" i="36"/>
  <c r="AA227" i="36"/>
  <c r="Z227" i="36"/>
  <c r="Y227" i="36"/>
  <c r="X227" i="36"/>
  <c r="W227" i="36"/>
  <c r="V227" i="36"/>
  <c r="U227" i="36"/>
  <c r="T227" i="36"/>
  <c r="S227" i="36"/>
  <c r="R227" i="36"/>
  <c r="Q227" i="36"/>
  <c r="P227" i="36"/>
  <c r="O227" i="36"/>
  <c r="N227" i="36"/>
  <c r="M227" i="36"/>
  <c r="L227" i="36"/>
  <c r="K227" i="36"/>
  <c r="J227" i="36"/>
  <c r="I227" i="36"/>
  <c r="H227" i="36"/>
  <c r="G227" i="36"/>
  <c r="F227" i="36"/>
  <c r="E227" i="36"/>
  <c r="D227" i="36"/>
  <c r="C227" i="36"/>
  <c r="B227" i="36"/>
  <c r="AI120" i="36"/>
  <c r="AH120" i="36"/>
  <c r="AI119" i="36"/>
  <c r="AH119" i="36"/>
  <c r="AI118" i="36"/>
  <c r="AH118" i="36"/>
  <c r="AI117" i="36"/>
  <c r="AH117" i="36"/>
  <c r="AI116" i="36"/>
  <c r="AH116" i="36"/>
  <c r="AI115" i="36"/>
  <c r="AH115" i="36"/>
  <c r="AI114" i="36"/>
  <c r="AH114" i="36"/>
  <c r="AI113" i="36"/>
  <c r="AH113" i="36"/>
  <c r="AI112" i="36"/>
  <c r="AH112" i="36"/>
  <c r="AI111" i="36"/>
  <c r="AH111" i="36"/>
  <c r="AF110" i="36"/>
  <c r="AE110" i="36"/>
  <c r="AC110" i="36"/>
  <c r="AB110" i="36"/>
  <c r="AA110" i="36"/>
  <c r="Z110" i="36"/>
  <c r="Y110" i="36"/>
  <c r="X110" i="36"/>
  <c r="W110" i="36"/>
  <c r="V110" i="36"/>
  <c r="U110" i="36"/>
  <c r="T110" i="36"/>
  <c r="S110" i="36"/>
  <c r="Q110" i="36"/>
  <c r="E110" i="36"/>
  <c r="D110" i="36"/>
  <c r="C110" i="36"/>
  <c r="AI109" i="36"/>
  <c r="AH109" i="36"/>
  <c r="AI108" i="36"/>
  <c r="AH108" i="36"/>
  <c r="AI107" i="36"/>
  <c r="AH107" i="36"/>
  <c r="AI106" i="36"/>
  <c r="AH106" i="36"/>
  <c r="AI105" i="36"/>
  <c r="AH105" i="36"/>
  <c r="AI104" i="36"/>
  <c r="AH104" i="36"/>
  <c r="AI103" i="36"/>
  <c r="AH103" i="36"/>
  <c r="AI102" i="36"/>
  <c r="AH102" i="36"/>
  <c r="AI101" i="36"/>
  <c r="AH101" i="36"/>
  <c r="AI99" i="36"/>
  <c r="AH99" i="36"/>
  <c r="AI98" i="36"/>
  <c r="AH98" i="36"/>
  <c r="AI97" i="36"/>
  <c r="AH97" i="36"/>
  <c r="AI96" i="36"/>
  <c r="AH96" i="36"/>
  <c r="AI95" i="36"/>
  <c r="AH95" i="36"/>
  <c r="AI94" i="36"/>
  <c r="AH94" i="36"/>
  <c r="AI93" i="36"/>
  <c r="AH93" i="36"/>
  <c r="AI90" i="36"/>
  <c r="AH90" i="36"/>
  <c r="AI88" i="36"/>
  <c r="AH88" i="36"/>
  <c r="AG88" i="36"/>
  <c r="AI87" i="36"/>
  <c r="AH87" i="36"/>
  <c r="AI86" i="36"/>
  <c r="AH86" i="36"/>
  <c r="AI85" i="36"/>
  <c r="AH85" i="36"/>
  <c r="AN84" i="36"/>
  <c r="AG84" i="36"/>
  <c r="AF84" i="36"/>
  <c r="AF100" i="36" s="1"/>
  <c r="AE84" i="36"/>
  <c r="AE100" i="36" s="1"/>
  <c r="AD84" i="36"/>
  <c r="AD100" i="36" s="1"/>
  <c r="AC84" i="36"/>
  <c r="AC100" i="36" s="1"/>
  <c r="AB84" i="36"/>
  <c r="AB100" i="36" s="1"/>
  <c r="AA84" i="36"/>
  <c r="AA100" i="36" s="1"/>
  <c r="Z84" i="36"/>
  <c r="Z100" i="36" s="1"/>
  <c r="Y84" i="36"/>
  <c r="X5" i="36" s="1"/>
  <c r="X84" i="36"/>
  <c r="W5" i="36" s="1"/>
  <c r="W84" i="36"/>
  <c r="V5" i="36" s="1"/>
  <c r="V84" i="36"/>
  <c r="V100" i="36" s="1"/>
  <c r="U84" i="36"/>
  <c r="U100" i="36" s="1"/>
  <c r="T84" i="36"/>
  <c r="S5" i="36" s="1"/>
  <c r="S84" i="36"/>
  <c r="S100" i="36" s="1"/>
  <c r="Q84" i="36"/>
  <c r="Q100" i="36" s="1"/>
  <c r="P84" i="36"/>
  <c r="O5" i="36" s="1"/>
  <c r="O84" i="36"/>
  <c r="O100" i="36" s="1"/>
  <c r="N84" i="36"/>
  <c r="N100" i="36" s="1"/>
  <c r="M84" i="36"/>
  <c r="M100" i="36" s="1"/>
  <c r="L84" i="36"/>
  <c r="L100" i="36" s="1"/>
  <c r="K84" i="36"/>
  <c r="K100" i="36" s="1"/>
  <c r="J84" i="36"/>
  <c r="J100" i="36" s="1"/>
  <c r="I84" i="36"/>
  <c r="H5" i="36" s="1"/>
  <c r="H84" i="36"/>
  <c r="H100" i="36" s="1"/>
  <c r="G84" i="36"/>
  <c r="F5" i="36" s="1"/>
  <c r="F84" i="36"/>
  <c r="F100" i="36" s="1"/>
  <c r="E84" i="36"/>
  <c r="E100" i="36" s="1"/>
  <c r="D84" i="36"/>
  <c r="D100" i="36" s="1"/>
  <c r="C84" i="36"/>
  <c r="C100" i="36" s="1"/>
  <c r="B84" i="36"/>
  <c r="B100" i="36" s="1"/>
  <c r="AN83" i="36"/>
  <c r="AI83" i="36"/>
  <c r="AH83" i="36"/>
  <c r="AN82" i="36"/>
  <c r="AI82" i="36"/>
  <c r="AH82" i="36"/>
  <c r="AN81" i="36"/>
  <c r="AI81" i="36"/>
  <c r="AH81" i="36"/>
  <c r="AI80" i="36"/>
  <c r="AH80" i="36"/>
  <c r="AI79" i="36"/>
  <c r="AH79" i="36"/>
  <c r="AI78" i="36"/>
  <c r="AH78" i="36"/>
  <c r="AI77" i="36"/>
  <c r="AH77" i="36"/>
  <c r="AI76" i="36"/>
  <c r="AH76" i="36"/>
  <c r="AI75" i="36"/>
  <c r="AH75" i="36"/>
  <c r="AI74" i="36"/>
  <c r="AH74" i="36"/>
  <c r="AI73" i="36"/>
  <c r="AH73" i="36"/>
  <c r="AG72" i="36"/>
  <c r="AF72" i="36"/>
  <c r="AE72" i="36"/>
  <c r="AD72" i="36"/>
  <c r="AC72" i="36"/>
  <c r="AB72" i="36"/>
  <c r="AA72" i="36"/>
  <c r="Z72" i="36"/>
  <c r="Y72" i="36"/>
  <c r="X72" i="36"/>
  <c r="W72" i="36"/>
  <c r="V72" i="36"/>
  <c r="U72" i="36"/>
  <c r="T72" i="36"/>
  <c r="S72" i="36"/>
  <c r="Q72" i="36"/>
  <c r="P72" i="36"/>
  <c r="O72" i="36"/>
  <c r="N72" i="36"/>
  <c r="M72" i="36"/>
  <c r="L72" i="36"/>
  <c r="B72" i="36"/>
  <c r="AI71" i="36"/>
  <c r="AH71" i="36"/>
  <c r="AI70" i="36"/>
  <c r="AH70" i="36"/>
  <c r="AI69" i="36"/>
  <c r="AH69" i="36"/>
  <c r="AF68" i="36"/>
  <c r="AE68" i="36"/>
  <c r="AD68" i="36"/>
  <c r="AC68" i="36"/>
  <c r="AB68" i="36"/>
  <c r="AA68" i="36"/>
  <c r="Z68" i="36"/>
  <c r="Y68" i="36"/>
  <c r="X68" i="36"/>
  <c r="W68" i="36"/>
  <c r="V68" i="36"/>
  <c r="U68" i="36"/>
  <c r="T68" i="36"/>
  <c r="S68" i="36"/>
  <c r="Q68" i="36"/>
  <c r="P68" i="36"/>
  <c r="O68" i="36"/>
  <c r="N68" i="36"/>
  <c r="M68" i="36"/>
  <c r="L68" i="36"/>
  <c r="K68" i="36"/>
  <c r="J68" i="36"/>
  <c r="I68" i="36"/>
  <c r="H68" i="36"/>
  <c r="G68" i="36"/>
  <c r="F68" i="36"/>
  <c r="E68" i="36"/>
  <c r="D68" i="36"/>
  <c r="C68" i="36"/>
  <c r="B68" i="36"/>
  <c r="AI67" i="36"/>
  <c r="AH67" i="36"/>
  <c r="AG67" i="36"/>
  <c r="AG68" i="36" s="1"/>
  <c r="AG3" i="36" s="1"/>
  <c r="AI66" i="36"/>
  <c r="AH66" i="36"/>
  <c r="AI65" i="36"/>
  <c r="AH65" i="36"/>
  <c r="AI64" i="36"/>
  <c r="AH64" i="36"/>
  <c r="AI63" i="36"/>
  <c r="AH63" i="36"/>
  <c r="AI62" i="36"/>
  <c r="AH62" i="36"/>
  <c r="AI61" i="36"/>
  <c r="AH61" i="36"/>
  <c r="AI60" i="36"/>
  <c r="AH60" i="36"/>
  <c r="AI59" i="36"/>
  <c r="AH59" i="36"/>
  <c r="AI58" i="36"/>
  <c r="AH58" i="36"/>
  <c r="AI57" i="36"/>
  <c r="AH57" i="36"/>
  <c r="AI56" i="36"/>
  <c r="AH56" i="36"/>
  <c r="AI55" i="36"/>
  <c r="AH55" i="36"/>
  <c r="AG54" i="36"/>
  <c r="AE54" i="36"/>
  <c r="AD54" i="36"/>
  <c r="AB54" i="36"/>
  <c r="AA54" i="36"/>
  <c r="Z54" i="36"/>
  <c r="Y54" i="36"/>
  <c r="X54" i="36"/>
  <c r="W54" i="36"/>
  <c r="V54" i="36"/>
  <c r="U54" i="36"/>
  <c r="T54" i="36"/>
  <c r="S54" i="36"/>
  <c r="Q54" i="36"/>
  <c r="P54" i="36"/>
  <c r="O54" i="36"/>
  <c r="N54" i="36"/>
  <c r="M54" i="36"/>
  <c r="L54" i="36"/>
  <c r="K54" i="36"/>
  <c r="J54" i="36"/>
  <c r="I54" i="36"/>
  <c r="H54" i="36"/>
  <c r="G54" i="36"/>
  <c r="F54" i="36"/>
  <c r="E54" i="36"/>
  <c r="D54" i="36"/>
  <c r="C54" i="36"/>
  <c r="B54" i="36"/>
  <c r="AI53" i="36"/>
  <c r="AH53" i="36"/>
  <c r="AI52" i="36"/>
  <c r="AH52" i="36"/>
  <c r="AI51" i="36"/>
  <c r="AH51" i="36"/>
  <c r="AG50" i="36"/>
  <c r="AE50" i="36"/>
  <c r="AD50" i="36"/>
  <c r="AB50" i="36"/>
  <c r="AA50" i="36"/>
  <c r="Z50" i="36"/>
  <c r="Y50" i="36"/>
  <c r="X50" i="36"/>
  <c r="W50" i="36"/>
  <c r="V50" i="36"/>
  <c r="U50" i="36"/>
  <c r="T50" i="36"/>
  <c r="S50" i="36"/>
  <c r="Q50" i="36"/>
  <c r="P50" i="36"/>
  <c r="O50" i="36"/>
  <c r="N50" i="36"/>
  <c r="M50" i="36"/>
  <c r="I50" i="36"/>
  <c r="H50" i="36"/>
  <c r="G50" i="36"/>
  <c r="F50" i="36"/>
  <c r="D50" i="36"/>
  <c r="C50" i="36"/>
  <c r="B50" i="36"/>
  <c r="AI49" i="36"/>
  <c r="AH49" i="36"/>
  <c r="AI48" i="36"/>
  <c r="AH48" i="36"/>
  <c r="AI47" i="36"/>
  <c r="AH47" i="36"/>
  <c r="AI46" i="36"/>
  <c r="AH46" i="36"/>
  <c r="AI45" i="36"/>
  <c r="AH45" i="36"/>
  <c r="AI44" i="36"/>
  <c r="AH44" i="36"/>
  <c r="AI43" i="36"/>
  <c r="AH43" i="36"/>
  <c r="AI42" i="36"/>
  <c r="AH42" i="36"/>
  <c r="AI41" i="36"/>
  <c r="AH41" i="36"/>
  <c r="AI40" i="36"/>
  <c r="AH40" i="36"/>
  <c r="AI39" i="36"/>
  <c r="AH39" i="36"/>
  <c r="AI38" i="36"/>
  <c r="AH38" i="36"/>
  <c r="AI37" i="36"/>
  <c r="AH37" i="36"/>
  <c r="AI36" i="36"/>
  <c r="AH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AI12" i="36"/>
  <c r="AH12" i="36"/>
  <c r="AI11" i="36"/>
  <c r="AH11" i="36"/>
  <c r="AC5" i="36"/>
  <c r="Q5" i="36"/>
  <c r="AG4" i="36"/>
  <c r="K4" i="36"/>
  <c r="E4" i="36"/>
  <c r="H4" i="36" s="1"/>
  <c r="B4" i="36"/>
  <c r="D246" i="36" s="1"/>
  <c r="AG2" i="36"/>
  <c r="AA113" i="35"/>
  <c r="AA110" i="35"/>
  <c r="AA99" i="35"/>
  <c r="AA88" i="35"/>
  <c r="AA84" i="35"/>
  <c r="AA89" i="35" s="1"/>
  <c r="AA91" i="35" s="1"/>
  <c r="AA92" i="35" s="1"/>
  <c r="AA109" i="35" s="1"/>
  <c r="AA72" i="35"/>
  <c r="AA68" i="35"/>
  <c r="AA54" i="35"/>
  <c r="AA50" i="35"/>
  <c r="AA49" i="35"/>
  <c r="Z113" i="35"/>
  <c r="Z49" i="35"/>
  <c r="Y113" i="35"/>
  <c r="V113" i="35"/>
  <c r="W113" i="35"/>
  <c r="X113" i="35"/>
  <c r="W49" i="35"/>
  <c r="X49" i="35"/>
  <c r="Y49" i="35"/>
  <c r="U113" i="35"/>
  <c r="V49" i="35"/>
  <c r="AE5" i="36" l="1"/>
  <c r="AF89" i="36"/>
  <c r="AF91" i="36" s="1"/>
  <c r="AX249" i="36" s="1"/>
  <c r="AD5" i="36"/>
  <c r="AE89" i="36"/>
  <c r="AE91" i="36" s="1"/>
  <c r="AE92" i="36" s="1"/>
  <c r="AD89" i="36"/>
  <c r="AD91" i="36" s="1"/>
  <c r="AV249" i="36" s="1"/>
  <c r="AC89" i="36"/>
  <c r="AC91" i="36" s="1"/>
  <c r="AU249" i="36" s="1"/>
  <c r="AB5" i="36"/>
  <c r="AA89" i="36"/>
  <c r="AA91" i="36" s="1"/>
  <c r="AA5" i="36"/>
  <c r="AB89" i="36"/>
  <c r="AB91" i="36" s="1"/>
  <c r="AT249" i="36" s="1"/>
  <c r="Z5" i="36"/>
  <c r="Y5" i="36"/>
  <c r="Z89" i="36"/>
  <c r="Z91" i="36" s="1"/>
  <c r="Z7" i="36" s="1"/>
  <c r="Y89" i="36"/>
  <c r="Y91" i="36" s="1"/>
  <c r="X100" i="36"/>
  <c r="X89" i="36"/>
  <c r="X91" i="36" s="1"/>
  <c r="AP249" i="36" s="1"/>
  <c r="W100" i="36"/>
  <c r="W89" i="36"/>
  <c r="W91" i="36" s="1"/>
  <c r="AO249" i="36" s="1"/>
  <c r="U5" i="36"/>
  <c r="V89" i="36"/>
  <c r="V91" i="36" s="1"/>
  <c r="T5" i="36"/>
  <c r="U89" i="36"/>
  <c r="U91" i="36" s="1"/>
  <c r="U92" i="36" s="1"/>
  <c r="T100" i="36"/>
  <c r="T89" i="36"/>
  <c r="T91" i="36" s="1"/>
  <c r="T92" i="36" s="1"/>
  <c r="R5" i="36"/>
  <c r="S89" i="36"/>
  <c r="S91" i="36" s="1"/>
  <c r="AK249" i="36" s="1"/>
  <c r="Q89" i="36"/>
  <c r="Q91" i="36" s="1"/>
  <c r="P100" i="36"/>
  <c r="P89" i="36"/>
  <c r="P91" i="36" s="1"/>
  <c r="P7" i="36" s="1"/>
  <c r="O89" i="36"/>
  <c r="O91" i="36" s="1"/>
  <c r="O92" i="36" s="1"/>
  <c r="N5" i="36"/>
  <c r="N89" i="36"/>
  <c r="N91" i="36" s="1"/>
  <c r="AF249" i="36" s="1"/>
  <c r="M5" i="36"/>
  <c r="AH72" i="36"/>
  <c r="M89" i="36"/>
  <c r="M91" i="36" s="1"/>
  <c r="M92" i="36" s="1"/>
  <c r="L89" i="36"/>
  <c r="L91" i="36" s="1"/>
  <c r="K5" i="36"/>
  <c r="K89" i="36"/>
  <c r="K91" i="36" s="1"/>
  <c r="J5" i="36"/>
  <c r="I5" i="36"/>
  <c r="J89" i="36"/>
  <c r="J91" i="36" s="1"/>
  <c r="J92" i="36" s="1"/>
  <c r="G5" i="36"/>
  <c r="I89" i="36"/>
  <c r="I91" i="36" s="1"/>
  <c r="G100" i="36"/>
  <c r="G89" i="36"/>
  <c r="G91" i="36" s="1"/>
  <c r="E5" i="36"/>
  <c r="H89" i="36"/>
  <c r="H91" i="36" s="1"/>
  <c r="H7" i="36" s="1"/>
  <c r="F89" i="36"/>
  <c r="F91" i="36" s="1"/>
  <c r="F7" i="36" s="1"/>
  <c r="E89" i="36"/>
  <c r="E91" i="36" s="1"/>
  <c r="W249" i="36" s="1"/>
  <c r="C5" i="36"/>
  <c r="D89" i="36"/>
  <c r="D91" i="36" s="1"/>
  <c r="D92" i="36" s="1"/>
  <c r="B5" i="36"/>
  <c r="AH68" i="36"/>
  <c r="C89" i="36"/>
  <c r="C91" i="36" s="1"/>
  <c r="C7" i="36" s="1"/>
  <c r="AH54" i="36"/>
  <c r="AF5" i="36"/>
  <c r="AI68" i="36"/>
  <c r="B89" i="36"/>
  <c r="AI54" i="36"/>
  <c r="S246" i="36"/>
  <c r="AA7" i="36"/>
  <c r="AA92" i="36"/>
  <c r="AS249" i="36"/>
  <c r="E92" i="36"/>
  <c r="E7" i="36"/>
  <c r="AG6" i="36"/>
  <c r="G229" i="36"/>
  <c r="K7" i="36"/>
  <c r="K92" i="36"/>
  <c r="AC249" i="36"/>
  <c r="AN249" i="36"/>
  <c r="V7" i="36"/>
  <c r="V92" i="36"/>
  <c r="AD92" i="36"/>
  <c r="AC7" i="36"/>
  <c r="AF7" i="36"/>
  <c r="AF92" i="36"/>
  <c r="L92" i="36"/>
  <c r="AD249" i="36"/>
  <c r="L7" i="36"/>
  <c r="Y249" i="36"/>
  <c r="G7" i="36"/>
  <c r="G92" i="36"/>
  <c r="AW249" i="36"/>
  <c r="AE7" i="36"/>
  <c r="AG91" i="36"/>
  <c r="J232" i="36"/>
  <c r="K232" i="36" s="1"/>
  <c r="L232" i="36" s="1"/>
  <c r="M232" i="36" s="1"/>
  <c r="N232" i="36" s="1"/>
  <c r="O232" i="36" s="1"/>
  <c r="P232" i="36" s="1"/>
  <c r="I7" i="36"/>
  <c r="I92" i="36"/>
  <c r="AA249" i="36"/>
  <c r="Q7" i="36"/>
  <c r="AI249" i="36"/>
  <c r="Q92" i="36"/>
  <c r="Y7" i="36"/>
  <c r="Y92" i="36"/>
  <c r="AQ249" i="36"/>
  <c r="AG89" i="36"/>
  <c r="J7" i="36"/>
  <c r="R7" i="36"/>
  <c r="AJ249" i="36"/>
  <c r="AR249" i="36"/>
  <c r="AI72" i="36"/>
  <c r="E235" i="36"/>
  <c r="P5" i="36"/>
  <c r="AH84" i="36"/>
  <c r="I100" i="36"/>
  <c r="Y100" i="36"/>
  <c r="F234" i="36"/>
  <c r="F235" i="36" s="1"/>
  <c r="AH50" i="36"/>
  <c r="AI84" i="36"/>
  <c r="AI50" i="36"/>
  <c r="B235" i="36"/>
  <c r="D5" i="36"/>
  <c r="L5" i="36"/>
  <c r="AD7" i="36" l="1"/>
  <c r="AC92" i="36"/>
  <c r="AB92" i="36"/>
  <c r="AB7" i="36"/>
  <c r="X92" i="36"/>
  <c r="Z92" i="36"/>
  <c r="T7" i="36"/>
  <c r="W7" i="36"/>
  <c r="W92" i="36"/>
  <c r="AL249" i="36"/>
  <c r="X7" i="36"/>
  <c r="S7" i="36"/>
  <c r="S92" i="36"/>
  <c r="AM249" i="36"/>
  <c r="U7" i="36"/>
  <c r="M7" i="36"/>
  <c r="AI100" i="36"/>
  <c r="AH249" i="36"/>
  <c r="P92" i="36"/>
  <c r="AG249" i="36"/>
  <c r="O7" i="36"/>
  <c r="AE249" i="36"/>
  <c r="N92" i="36"/>
  <c r="B244" i="36"/>
  <c r="N7" i="36"/>
  <c r="AB249" i="36"/>
  <c r="C244" i="36"/>
  <c r="Z249" i="36"/>
  <c r="H92" i="36"/>
  <c r="D7" i="36"/>
  <c r="V249" i="36"/>
  <c r="X249" i="36"/>
  <c r="F92" i="36"/>
  <c r="AI89" i="36"/>
  <c r="U249" i="36"/>
  <c r="C92" i="36"/>
  <c r="B91" i="36"/>
  <c r="AH91" i="36" s="1"/>
  <c r="AH89" i="36"/>
  <c r="AH100" i="36"/>
  <c r="H229" i="36"/>
  <c r="E270" i="36"/>
  <c r="G234" i="36"/>
  <c r="F110" i="36"/>
  <c r="K6" i="36" l="1"/>
  <c r="T249" i="36"/>
  <c r="AI91" i="36"/>
  <c r="B92" i="36"/>
  <c r="AH92" i="36" s="1"/>
  <c r="B7" i="36"/>
  <c r="A7" i="36" s="1"/>
  <c r="F270" i="36"/>
  <c r="H234" i="36"/>
  <c r="G235" i="36"/>
  <c r="G110" i="36"/>
  <c r="I229" i="36"/>
  <c r="H110" i="36"/>
  <c r="H235" i="36"/>
  <c r="AI92" i="36" l="1"/>
  <c r="J229" i="36"/>
  <c r="G270" i="36"/>
  <c r="I234" i="36"/>
  <c r="H270" i="36" l="1"/>
  <c r="J234" i="36"/>
  <c r="J110" i="36"/>
  <c r="K229" i="36"/>
  <c r="I110" i="36"/>
  <c r="L229" i="36" l="1"/>
  <c r="K234" i="36"/>
  <c r="I270" i="36"/>
  <c r="M229" i="36" l="1"/>
  <c r="J270" i="36"/>
  <c r="L234" i="36"/>
  <c r="K110" i="36"/>
  <c r="M234" i="36" l="1"/>
  <c r="K270" i="36"/>
  <c r="L110" i="36"/>
  <c r="M110" i="36"/>
  <c r="N229" i="36"/>
  <c r="O229" i="36" l="1"/>
  <c r="L270" i="36"/>
  <c r="N234" i="36"/>
  <c r="M270" i="36" l="1"/>
  <c r="O234" i="36"/>
  <c r="N110" i="36"/>
  <c r="P229" i="36"/>
  <c r="O110" i="36"/>
  <c r="AH110" i="36" l="1"/>
  <c r="AI110" i="36"/>
  <c r="N270" i="36"/>
  <c r="P234" i="36"/>
  <c r="O270" i="36" s="1"/>
  <c r="U49" i="35" l="1"/>
  <c r="T113" i="35"/>
  <c r="T49" i="35"/>
  <c r="S113" i="35"/>
  <c r="S49" i="35"/>
  <c r="R49" i="35"/>
  <c r="Q49" i="35"/>
  <c r="P49" i="35"/>
  <c r="O49" i="35" l="1"/>
  <c r="N49" i="35"/>
  <c r="M49" i="35"/>
  <c r="L113" i="35"/>
  <c r="L49" i="35"/>
  <c r="K113" i="35"/>
  <c r="K49" i="35"/>
  <c r="J113" i="35"/>
  <c r="J49" i="35"/>
  <c r="I113" i="35" l="1"/>
  <c r="I49" i="35"/>
  <c r="H113" i="35"/>
  <c r="H49" i="35"/>
  <c r="G113" i="35"/>
  <c r="G49" i="35"/>
  <c r="F113" i="35"/>
  <c r="AI113" i="35" s="1"/>
  <c r="F49" i="35"/>
  <c r="AI49" i="35" s="1"/>
  <c r="E113" i="35"/>
  <c r="AF54" i="34"/>
  <c r="AF68" i="34"/>
  <c r="AF72" i="34"/>
  <c r="AF84" i="34"/>
  <c r="AF89" i="34"/>
  <c r="AF274" i="35"/>
  <c r="AE274" i="35"/>
  <c r="AD274" i="35"/>
  <c r="AC274" i="35"/>
  <c r="AB274" i="35"/>
  <c r="AA274" i="35"/>
  <c r="Z274" i="35"/>
  <c r="Y274" i="35"/>
  <c r="X274" i="35"/>
  <c r="W274" i="35"/>
  <c r="V274" i="35"/>
  <c r="U274" i="35"/>
  <c r="T274" i="35"/>
  <c r="S274" i="35"/>
  <c r="R274" i="35"/>
  <c r="Q274" i="35"/>
  <c r="P274" i="35"/>
  <c r="O274" i="35"/>
  <c r="N274" i="35"/>
  <c r="M274" i="35"/>
  <c r="L274" i="35"/>
  <c r="K274" i="35"/>
  <c r="J274" i="35"/>
  <c r="I274" i="35"/>
  <c r="H274" i="35"/>
  <c r="G274" i="35"/>
  <c r="F274" i="35"/>
  <c r="E274" i="35"/>
  <c r="D274" i="35"/>
  <c r="C274" i="35"/>
  <c r="B274" i="35"/>
  <c r="A274" i="35"/>
  <c r="AF273" i="35"/>
  <c r="AE273" i="35"/>
  <c r="AD273" i="35"/>
  <c r="AC273" i="35"/>
  <c r="AB273" i="35"/>
  <c r="AA273" i="35"/>
  <c r="Z273" i="35"/>
  <c r="Y273" i="35"/>
  <c r="X273" i="35"/>
  <c r="W273" i="35"/>
  <c r="V273" i="35"/>
  <c r="U273" i="35"/>
  <c r="T273" i="35"/>
  <c r="S273" i="35"/>
  <c r="R273" i="35"/>
  <c r="Q273" i="35"/>
  <c r="P273" i="35"/>
  <c r="O273" i="35"/>
  <c r="N273" i="35"/>
  <c r="M273" i="35"/>
  <c r="L273" i="35"/>
  <c r="K273" i="35"/>
  <c r="J273" i="35"/>
  <c r="I273" i="35"/>
  <c r="H273" i="35"/>
  <c r="G273" i="35"/>
  <c r="F273" i="35"/>
  <c r="E273" i="35"/>
  <c r="D273" i="35"/>
  <c r="C273" i="35"/>
  <c r="B273" i="35"/>
  <c r="A273" i="35"/>
  <c r="AF272" i="35"/>
  <c r="AE272" i="35"/>
  <c r="AD272" i="35"/>
  <c r="AC272" i="35"/>
  <c r="AB272" i="35"/>
  <c r="AA272" i="35"/>
  <c r="Z272" i="35"/>
  <c r="Y272" i="35"/>
  <c r="X272" i="35"/>
  <c r="W272" i="35"/>
  <c r="V272" i="35"/>
  <c r="U272" i="35"/>
  <c r="T272" i="35"/>
  <c r="S272" i="35"/>
  <c r="R272" i="35"/>
  <c r="Q272" i="35"/>
  <c r="P272" i="35"/>
  <c r="O272" i="35"/>
  <c r="N272" i="35"/>
  <c r="M272" i="35"/>
  <c r="L272" i="35"/>
  <c r="K272" i="35"/>
  <c r="J272" i="35"/>
  <c r="I272" i="35"/>
  <c r="H272" i="35"/>
  <c r="G272" i="35"/>
  <c r="F272" i="35"/>
  <c r="E272" i="35"/>
  <c r="D272" i="35"/>
  <c r="C272" i="35"/>
  <c r="B272" i="35"/>
  <c r="A272" i="35"/>
  <c r="AF271" i="35"/>
  <c r="AE271" i="35"/>
  <c r="AD271" i="35"/>
  <c r="AC271" i="35"/>
  <c r="AB271" i="35"/>
  <c r="AA271" i="35"/>
  <c r="Z271" i="35"/>
  <c r="Y271" i="35"/>
  <c r="X271" i="35"/>
  <c r="W271" i="35"/>
  <c r="V271" i="35"/>
  <c r="U271" i="35"/>
  <c r="T271" i="35"/>
  <c r="S271" i="35"/>
  <c r="R271" i="35"/>
  <c r="Q271" i="35"/>
  <c r="P271" i="35"/>
  <c r="O271" i="35"/>
  <c r="N271" i="35"/>
  <c r="M271" i="35"/>
  <c r="L271" i="35"/>
  <c r="K271" i="35"/>
  <c r="J271" i="35"/>
  <c r="I271" i="35"/>
  <c r="H271" i="35"/>
  <c r="G271" i="35"/>
  <c r="F271" i="35"/>
  <c r="E271" i="35"/>
  <c r="D271" i="35"/>
  <c r="C271" i="35"/>
  <c r="B271" i="35"/>
  <c r="A271" i="35"/>
  <c r="AE270" i="35"/>
  <c r="AD270" i="35"/>
  <c r="AC270" i="35"/>
  <c r="AB270" i="35"/>
  <c r="AA270" i="35"/>
  <c r="Z270" i="35"/>
  <c r="Y270" i="35"/>
  <c r="X270" i="35"/>
  <c r="W270" i="35"/>
  <c r="V270" i="35"/>
  <c r="U270" i="35"/>
  <c r="T270" i="35"/>
  <c r="S270" i="35"/>
  <c r="R270" i="35"/>
  <c r="Q270" i="35"/>
  <c r="P270" i="35"/>
  <c r="B270" i="35"/>
  <c r="S245" i="35"/>
  <c r="AG235" i="35"/>
  <c r="AF235" i="35"/>
  <c r="AE235" i="35"/>
  <c r="AD235" i="35"/>
  <c r="AC235" i="35"/>
  <c r="AB235" i="35"/>
  <c r="AA235" i="35"/>
  <c r="Z235" i="35"/>
  <c r="Y235" i="35"/>
  <c r="X235" i="35"/>
  <c r="W235" i="35"/>
  <c r="V235" i="35"/>
  <c r="U235" i="35"/>
  <c r="T235" i="35"/>
  <c r="S235" i="35"/>
  <c r="R235" i="35"/>
  <c r="Q235" i="35"/>
  <c r="C235" i="35"/>
  <c r="D234" i="35"/>
  <c r="E234" i="35" s="1"/>
  <c r="B234" i="35"/>
  <c r="AF270" i="35" s="1"/>
  <c r="D233" i="35"/>
  <c r="E233" i="35" s="1"/>
  <c r="F233" i="35" s="1"/>
  <c r="G233" i="35" s="1"/>
  <c r="H233" i="35" s="1"/>
  <c r="I233" i="35" s="1"/>
  <c r="J233" i="35" s="1"/>
  <c r="K233" i="35" s="1"/>
  <c r="L233" i="35" s="1"/>
  <c r="M233" i="35" s="1"/>
  <c r="N233" i="35" s="1"/>
  <c r="O233" i="35" s="1"/>
  <c r="P233" i="35" s="1"/>
  <c r="B233" i="35"/>
  <c r="E232" i="35"/>
  <c r="F232" i="35" s="1"/>
  <c r="G232" i="35" s="1"/>
  <c r="H232" i="35" s="1"/>
  <c r="I232" i="35" s="1"/>
  <c r="D232" i="35"/>
  <c r="B232" i="35"/>
  <c r="D231" i="35"/>
  <c r="E231" i="35" s="1"/>
  <c r="F231" i="35" s="1"/>
  <c r="G231" i="35" s="1"/>
  <c r="H231" i="35" s="1"/>
  <c r="B231" i="35"/>
  <c r="D230" i="35"/>
  <c r="E230" i="35" s="1"/>
  <c r="B230" i="35"/>
  <c r="D229" i="35"/>
  <c r="B229" i="35"/>
  <c r="AG227" i="35"/>
  <c r="AF227" i="35"/>
  <c r="AE227" i="35"/>
  <c r="AD227" i="35"/>
  <c r="AC227" i="35"/>
  <c r="AB227" i="35"/>
  <c r="AA227" i="35"/>
  <c r="Z227" i="35"/>
  <c r="Y227" i="35"/>
  <c r="X227" i="35"/>
  <c r="W227" i="35"/>
  <c r="V227" i="35"/>
  <c r="U227" i="35"/>
  <c r="T227" i="35"/>
  <c r="S227" i="35"/>
  <c r="R227" i="35"/>
  <c r="Q227" i="35"/>
  <c r="P227" i="35"/>
  <c r="O227" i="35"/>
  <c r="N227" i="35"/>
  <c r="M227" i="35"/>
  <c r="L227" i="35"/>
  <c r="K227" i="35"/>
  <c r="J227" i="35"/>
  <c r="I227" i="35"/>
  <c r="H227" i="35"/>
  <c r="G227" i="35"/>
  <c r="F227" i="35"/>
  <c r="E227" i="35"/>
  <c r="D227" i="35"/>
  <c r="C227" i="35"/>
  <c r="B227" i="35"/>
  <c r="AI120" i="35"/>
  <c r="AH120" i="35"/>
  <c r="AI119" i="35"/>
  <c r="AH119" i="35"/>
  <c r="AI118" i="35"/>
  <c r="AH118" i="35"/>
  <c r="AI117" i="35"/>
  <c r="AH117" i="35"/>
  <c r="AI116" i="35"/>
  <c r="AH116" i="35"/>
  <c r="AI115" i="35"/>
  <c r="AH115" i="35"/>
  <c r="AI114" i="35"/>
  <c r="AH114" i="35"/>
  <c r="AI112" i="35"/>
  <c r="AH112" i="35"/>
  <c r="AI111" i="35"/>
  <c r="AH111" i="35"/>
  <c r="AF110" i="35"/>
  <c r="AE110" i="35"/>
  <c r="AC110" i="35"/>
  <c r="AB110" i="35"/>
  <c r="Z110" i="35"/>
  <c r="Y110" i="35"/>
  <c r="X110" i="35"/>
  <c r="W110" i="35"/>
  <c r="V110" i="35"/>
  <c r="U110" i="35"/>
  <c r="T110" i="35"/>
  <c r="S110" i="35"/>
  <c r="R110" i="35"/>
  <c r="Q110" i="35"/>
  <c r="D110" i="35"/>
  <c r="C110" i="35"/>
  <c r="AI109" i="35"/>
  <c r="AH109" i="35"/>
  <c r="AI108" i="35"/>
  <c r="AH108" i="35"/>
  <c r="AI107" i="35"/>
  <c r="AH107" i="35"/>
  <c r="AI106" i="35"/>
  <c r="AH106" i="35"/>
  <c r="AI105" i="35"/>
  <c r="AH105" i="35"/>
  <c r="AI104" i="35"/>
  <c r="AH104" i="35"/>
  <c r="AI103" i="35"/>
  <c r="AH103" i="35"/>
  <c r="AI102" i="35"/>
  <c r="AH102" i="35"/>
  <c r="AI101" i="35"/>
  <c r="AH101" i="35"/>
  <c r="AI99" i="35"/>
  <c r="AH99" i="35"/>
  <c r="AI98" i="35"/>
  <c r="AH98" i="35"/>
  <c r="AI97" i="35"/>
  <c r="AH97" i="35"/>
  <c r="AI96" i="35"/>
  <c r="AH96" i="35"/>
  <c r="AI95" i="35"/>
  <c r="AH95" i="35"/>
  <c r="AI94" i="35"/>
  <c r="AH94" i="35"/>
  <c r="AI93" i="35"/>
  <c r="AH93" i="35"/>
  <c r="AI90" i="35"/>
  <c r="AH90" i="35"/>
  <c r="AI88" i="35"/>
  <c r="AH88" i="35"/>
  <c r="AG88" i="35"/>
  <c r="AI87" i="35"/>
  <c r="AH87" i="35"/>
  <c r="AI86" i="35"/>
  <c r="AH86" i="35"/>
  <c r="AI85" i="35"/>
  <c r="AH85" i="35"/>
  <c r="AN84" i="35"/>
  <c r="AG84" i="35"/>
  <c r="AF84" i="35"/>
  <c r="AE84" i="35"/>
  <c r="AE100" i="35" s="1"/>
  <c r="AD84" i="35"/>
  <c r="AD100" i="35" s="1"/>
  <c r="AC84" i="35"/>
  <c r="AC100" i="35" s="1"/>
  <c r="AB84" i="35"/>
  <c r="AB100" i="35" s="1"/>
  <c r="Z84" i="35"/>
  <c r="Z100" i="35" s="1"/>
  <c r="Y84" i="35"/>
  <c r="X5" i="35" s="1"/>
  <c r="X84" i="35"/>
  <c r="W84" i="35"/>
  <c r="W100" i="35" s="1"/>
  <c r="V84" i="35"/>
  <c r="V100" i="35" s="1"/>
  <c r="U84" i="35"/>
  <c r="U100" i="35" s="1"/>
  <c r="T84" i="35"/>
  <c r="T100" i="35" s="1"/>
  <c r="S84" i="35"/>
  <c r="S100" i="35" s="1"/>
  <c r="R84" i="35"/>
  <c r="R100" i="35" s="1"/>
  <c r="Q84" i="35"/>
  <c r="P5" i="35" s="1"/>
  <c r="P84" i="35"/>
  <c r="O84" i="35"/>
  <c r="O100" i="35" s="1"/>
  <c r="N84" i="35"/>
  <c r="N100" i="35" s="1"/>
  <c r="M84" i="35"/>
  <c r="M100" i="35" s="1"/>
  <c r="L84" i="35"/>
  <c r="L100" i="35" s="1"/>
  <c r="K84" i="35"/>
  <c r="K100" i="35" s="1"/>
  <c r="J84" i="35"/>
  <c r="J100" i="35" s="1"/>
  <c r="I84" i="35"/>
  <c r="H5" i="35" s="1"/>
  <c r="H84" i="35"/>
  <c r="G84" i="35"/>
  <c r="G100" i="35" s="1"/>
  <c r="F84" i="35"/>
  <c r="F100" i="35" s="1"/>
  <c r="E84" i="35"/>
  <c r="E100" i="35" s="1"/>
  <c r="D84" i="35"/>
  <c r="D100" i="35" s="1"/>
  <c r="C84" i="35"/>
  <c r="C100" i="35" s="1"/>
  <c r="B84" i="35"/>
  <c r="B100" i="35" s="1"/>
  <c r="AI83" i="35"/>
  <c r="AH83" i="35"/>
  <c r="AN82" i="35"/>
  <c r="AI82" i="35"/>
  <c r="AH82" i="35"/>
  <c r="AN81" i="35"/>
  <c r="AN83" i="35" s="1"/>
  <c r="AI81" i="35"/>
  <c r="AH81" i="35"/>
  <c r="AI80" i="35"/>
  <c r="AH80" i="35"/>
  <c r="AI79" i="35"/>
  <c r="AH79" i="35"/>
  <c r="AI78" i="35"/>
  <c r="AH78" i="35"/>
  <c r="AI77" i="35"/>
  <c r="AH77" i="35"/>
  <c r="AI76" i="35"/>
  <c r="AH76" i="35"/>
  <c r="AI75" i="35"/>
  <c r="AH75" i="35"/>
  <c r="AI74" i="35"/>
  <c r="AH74" i="35"/>
  <c r="AI73" i="35"/>
  <c r="AH73" i="35"/>
  <c r="AG72" i="35"/>
  <c r="AF72" i="35"/>
  <c r="AE72" i="35"/>
  <c r="AD72" i="35"/>
  <c r="AC72" i="35"/>
  <c r="AB72" i="35"/>
  <c r="Z72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B72" i="35"/>
  <c r="AI71" i="35"/>
  <c r="AH71" i="35"/>
  <c r="AI70" i="35"/>
  <c r="AH70" i="35"/>
  <c r="AI69" i="35"/>
  <c r="AH69" i="35"/>
  <c r="AG68" i="35"/>
  <c r="AG3" i="35" s="1"/>
  <c r="AF68" i="35"/>
  <c r="AE68" i="35"/>
  <c r="AD68" i="35"/>
  <c r="AC68" i="35"/>
  <c r="AB68" i="35"/>
  <c r="Z68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AI67" i="35"/>
  <c r="AH67" i="35"/>
  <c r="AG67" i="35"/>
  <c r="AI66" i="35"/>
  <c r="AH66" i="35"/>
  <c r="AI65" i="35"/>
  <c r="AH65" i="35"/>
  <c r="AI64" i="35"/>
  <c r="AH64" i="35"/>
  <c r="AI63" i="35"/>
  <c r="AH63" i="35"/>
  <c r="AI62" i="35"/>
  <c r="AH62" i="35"/>
  <c r="AI61" i="35"/>
  <c r="AH61" i="35"/>
  <c r="AI60" i="35"/>
  <c r="AH60" i="35"/>
  <c r="AI59" i="35"/>
  <c r="AH59" i="35"/>
  <c r="AI58" i="35"/>
  <c r="AH58" i="35"/>
  <c r="AI57" i="35"/>
  <c r="AH57" i="35"/>
  <c r="AI56" i="35"/>
  <c r="AH56" i="35"/>
  <c r="AI55" i="35"/>
  <c r="AH55" i="35"/>
  <c r="AG54" i="35"/>
  <c r="AF54" i="35"/>
  <c r="AE54" i="35"/>
  <c r="AD54" i="35"/>
  <c r="AC54" i="35"/>
  <c r="AB54" i="35"/>
  <c r="Z54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AI53" i="35"/>
  <c r="AH53" i="35"/>
  <c r="AI52" i="35"/>
  <c r="AH52" i="35"/>
  <c r="AI51" i="35"/>
  <c r="AH51" i="35"/>
  <c r="AG50" i="35"/>
  <c r="AF50" i="35"/>
  <c r="AE50" i="35"/>
  <c r="AD50" i="35"/>
  <c r="AC50" i="35"/>
  <c r="AB50" i="35"/>
  <c r="Z50" i="35"/>
  <c r="Y50" i="35"/>
  <c r="X50" i="35"/>
  <c r="W50" i="35"/>
  <c r="V50" i="35"/>
  <c r="U50" i="35"/>
  <c r="T50" i="35"/>
  <c r="S50" i="35"/>
  <c r="R50" i="35"/>
  <c r="Q50" i="35"/>
  <c r="P50" i="35"/>
  <c r="O50" i="35"/>
  <c r="N50" i="35"/>
  <c r="M50" i="35"/>
  <c r="L50" i="35"/>
  <c r="K50" i="35"/>
  <c r="J50" i="35"/>
  <c r="I50" i="35"/>
  <c r="H50" i="35"/>
  <c r="G50" i="35"/>
  <c r="F50" i="35"/>
  <c r="E50" i="35"/>
  <c r="D50" i="35"/>
  <c r="C50" i="35"/>
  <c r="B50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I38" i="35"/>
  <c r="AH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AG4" i="35"/>
  <c r="K4" i="35"/>
  <c r="E4" i="35"/>
  <c r="H4" i="35" s="1"/>
  <c r="B4" i="35"/>
  <c r="AC110" i="34"/>
  <c r="AD110" i="34"/>
  <c r="AE110" i="34"/>
  <c r="AF110" i="34"/>
  <c r="AC68" i="34"/>
  <c r="AC54" i="34"/>
  <c r="AC50" i="34"/>
  <c r="AC113" i="34"/>
  <c r="AF89" i="35" l="1"/>
  <c r="AF91" i="35" s="1"/>
  <c r="AF92" i="35" s="1"/>
  <c r="AD5" i="35"/>
  <c r="AC5" i="35"/>
  <c r="Y5" i="35"/>
  <c r="V5" i="35"/>
  <c r="X89" i="35"/>
  <c r="X91" i="35" s="1"/>
  <c r="U5" i="35"/>
  <c r="T5" i="35"/>
  <c r="U89" i="35"/>
  <c r="U91" i="35" s="1"/>
  <c r="U92" i="35" s="1"/>
  <c r="S5" i="35"/>
  <c r="AC89" i="35"/>
  <c r="AC91" i="35" s="1"/>
  <c r="AC7" i="35" s="1"/>
  <c r="AD89" i="35"/>
  <c r="AD91" i="35" s="1"/>
  <c r="AD92" i="35" s="1"/>
  <c r="AB89" i="35"/>
  <c r="AB91" i="35" s="1"/>
  <c r="AB92" i="35" s="1"/>
  <c r="V89" i="35"/>
  <c r="V91" i="35" s="1"/>
  <c r="V92" i="35" s="1"/>
  <c r="AH113" i="35"/>
  <c r="B110" i="35"/>
  <c r="D235" i="35"/>
  <c r="AA5" i="35"/>
  <c r="AH49" i="35"/>
  <c r="AG91" i="35"/>
  <c r="AB5" i="35"/>
  <c r="Y89" i="35"/>
  <c r="Y91" i="35" s="1"/>
  <c r="Y7" i="35" s="1"/>
  <c r="AG89" i="35"/>
  <c r="E229" i="35"/>
  <c r="F229" i="35" s="1"/>
  <c r="G229" i="35" s="1"/>
  <c r="T89" i="35"/>
  <c r="T91" i="35" s="1"/>
  <c r="T7" i="35" s="1"/>
  <c r="AA7" i="35"/>
  <c r="S89" i="35"/>
  <c r="S91" i="35" s="1"/>
  <c r="S7" i="35" s="1"/>
  <c r="Q5" i="35"/>
  <c r="Q89" i="35"/>
  <c r="Q91" i="35" s="1"/>
  <c r="Q92" i="35" s="1"/>
  <c r="P89" i="35"/>
  <c r="P91" i="35" s="1"/>
  <c r="P92" i="35" s="1"/>
  <c r="N5" i="35"/>
  <c r="M5" i="35"/>
  <c r="N89" i="35"/>
  <c r="N91" i="35" s="1"/>
  <c r="N92" i="35" s="1"/>
  <c r="L5" i="35"/>
  <c r="AH72" i="35"/>
  <c r="M89" i="35"/>
  <c r="M91" i="35" s="1"/>
  <c r="AE249" i="35" s="1"/>
  <c r="K5" i="35"/>
  <c r="L89" i="35"/>
  <c r="L91" i="35" s="1"/>
  <c r="L7" i="35" s="1"/>
  <c r="K89" i="35"/>
  <c r="K91" i="35" s="1"/>
  <c r="K7" i="35" s="1"/>
  <c r="I5" i="35"/>
  <c r="I89" i="35"/>
  <c r="I91" i="35" s="1"/>
  <c r="AA249" i="35" s="1"/>
  <c r="AH54" i="35"/>
  <c r="H89" i="35"/>
  <c r="H91" i="35" s="1"/>
  <c r="Z249" i="35" s="1"/>
  <c r="F5" i="35"/>
  <c r="E5" i="35"/>
  <c r="F89" i="35"/>
  <c r="F91" i="35" s="1"/>
  <c r="F92" i="35" s="1"/>
  <c r="E89" i="35"/>
  <c r="E91" i="35" s="1"/>
  <c r="E7" i="35" s="1"/>
  <c r="D5" i="35"/>
  <c r="C5" i="35"/>
  <c r="AI68" i="35"/>
  <c r="D89" i="35"/>
  <c r="D91" i="35" s="1"/>
  <c r="D7" i="35" s="1"/>
  <c r="C89" i="35"/>
  <c r="C91" i="35" s="1"/>
  <c r="C7" i="35" s="1"/>
  <c r="AF5" i="35"/>
  <c r="AF7" i="35"/>
  <c r="AP249" i="35"/>
  <c r="X7" i="35"/>
  <c r="X92" i="35"/>
  <c r="D246" i="35"/>
  <c r="S246" i="35"/>
  <c r="D270" i="35"/>
  <c r="F234" i="35"/>
  <c r="AH68" i="35"/>
  <c r="G89" i="35"/>
  <c r="G91" i="35" s="1"/>
  <c r="O89" i="35"/>
  <c r="O91" i="35" s="1"/>
  <c r="W89" i="35"/>
  <c r="W91" i="35" s="1"/>
  <c r="AE89" i="35"/>
  <c r="AE91" i="35" s="1"/>
  <c r="AT249" i="35"/>
  <c r="C92" i="35"/>
  <c r="AI72" i="35"/>
  <c r="G5" i="35"/>
  <c r="H100" i="35"/>
  <c r="P100" i="35"/>
  <c r="O5" i="35"/>
  <c r="W5" i="35"/>
  <c r="X100" i="35"/>
  <c r="AF100" i="35"/>
  <c r="AE5" i="35"/>
  <c r="F230" i="35"/>
  <c r="G230" i="35" s="1"/>
  <c r="H230" i="35" s="1"/>
  <c r="I230" i="35" s="1"/>
  <c r="J230" i="35" s="1"/>
  <c r="K230" i="35" s="1"/>
  <c r="L230" i="35" s="1"/>
  <c r="M230" i="35" s="1"/>
  <c r="N230" i="35" s="1"/>
  <c r="O230" i="35" s="1"/>
  <c r="P230" i="35" s="1"/>
  <c r="J232" i="35"/>
  <c r="K232" i="35" s="1"/>
  <c r="L232" i="35" s="1"/>
  <c r="M232" i="35" s="1"/>
  <c r="N232" i="35" s="1"/>
  <c r="O232" i="35" s="1"/>
  <c r="P232" i="35" s="1"/>
  <c r="B89" i="35"/>
  <c r="J89" i="35"/>
  <c r="J91" i="35" s="1"/>
  <c r="R89" i="35"/>
  <c r="R91" i="35" s="1"/>
  <c r="Z89" i="35"/>
  <c r="Z91" i="35" s="1"/>
  <c r="AH84" i="35"/>
  <c r="I100" i="35"/>
  <c r="Q100" i="35"/>
  <c r="Y100" i="35"/>
  <c r="C270" i="35"/>
  <c r="B5" i="35"/>
  <c r="J5" i="35"/>
  <c r="R5" i="35"/>
  <c r="Z5" i="35"/>
  <c r="AI50" i="35"/>
  <c r="AI54" i="35"/>
  <c r="AH50" i="35"/>
  <c r="AG2" i="35"/>
  <c r="AG6" i="35" s="1"/>
  <c r="B235" i="35"/>
  <c r="AI84" i="35"/>
  <c r="Z113" i="34"/>
  <c r="Z50" i="34"/>
  <c r="Z54" i="34"/>
  <c r="Z68" i="34"/>
  <c r="Z72" i="34"/>
  <c r="Z84" i="34"/>
  <c r="Z100" i="34" s="1"/>
  <c r="Y113" i="34"/>
  <c r="W113" i="34"/>
  <c r="W110" i="34" s="1"/>
  <c r="X113" i="34"/>
  <c r="X110" i="34" s="1"/>
  <c r="W50" i="34"/>
  <c r="X50" i="34"/>
  <c r="W54" i="34"/>
  <c r="X54" i="34"/>
  <c r="W68" i="34"/>
  <c r="X68" i="34"/>
  <c r="W72" i="34"/>
  <c r="X72" i="34"/>
  <c r="W84" i="34"/>
  <c r="W100" i="34" s="1"/>
  <c r="X84" i="34"/>
  <c r="X100" i="34" s="1"/>
  <c r="V50" i="34"/>
  <c r="V54" i="34"/>
  <c r="V68" i="34"/>
  <c r="V72" i="34"/>
  <c r="V84" i="34"/>
  <c r="V100" i="34" s="1"/>
  <c r="V110" i="34"/>
  <c r="U50" i="34"/>
  <c r="U54" i="34"/>
  <c r="U68" i="34"/>
  <c r="U72" i="34"/>
  <c r="U84" i="34"/>
  <c r="U100" i="34" s="1"/>
  <c r="U110" i="34"/>
  <c r="T113" i="34"/>
  <c r="S113" i="34"/>
  <c r="R51" i="34"/>
  <c r="Q51" i="34"/>
  <c r="P51" i="34"/>
  <c r="P54" i="34"/>
  <c r="O51" i="34"/>
  <c r="AX249" i="35" l="1"/>
  <c r="AD7" i="35"/>
  <c r="AV249" i="35"/>
  <c r="AU249" i="35"/>
  <c r="AC92" i="35"/>
  <c r="Y92" i="35"/>
  <c r="AQ249" i="35"/>
  <c r="V7" i="35"/>
  <c r="AN249" i="35"/>
  <c r="U7" i="35"/>
  <c r="AM249" i="35"/>
  <c r="S92" i="35"/>
  <c r="AS249" i="35"/>
  <c r="E235" i="35"/>
  <c r="AL249" i="35"/>
  <c r="AB7" i="35"/>
  <c r="T92" i="35"/>
  <c r="E110" i="35"/>
  <c r="AD249" i="35"/>
  <c r="AK249" i="35"/>
  <c r="L92" i="35"/>
  <c r="U249" i="35"/>
  <c r="AH249" i="35"/>
  <c r="P7" i="35"/>
  <c r="AH100" i="35"/>
  <c r="Q7" i="35"/>
  <c r="AI249" i="35"/>
  <c r="N7" i="35"/>
  <c r="AF249" i="35"/>
  <c r="AI100" i="35"/>
  <c r="M92" i="35"/>
  <c r="M7" i="35"/>
  <c r="AC249" i="35"/>
  <c r="K92" i="35"/>
  <c r="I92" i="35"/>
  <c r="I7" i="35"/>
  <c r="H92" i="35"/>
  <c r="H7" i="35"/>
  <c r="F7" i="35"/>
  <c r="X249" i="35"/>
  <c r="W249" i="35"/>
  <c r="E92" i="35"/>
  <c r="V249" i="35"/>
  <c r="D92" i="35"/>
  <c r="AW249" i="35"/>
  <c r="AE7" i="35"/>
  <c r="AE92" i="35"/>
  <c r="Z7" i="35"/>
  <c r="Z92" i="35"/>
  <c r="AR249" i="35"/>
  <c r="AO249" i="35"/>
  <c r="W7" i="35"/>
  <c r="W92" i="35"/>
  <c r="R7" i="35"/>
  <c r="R92" i="35"/>
  <c r="AJ249" i="35"/>
  <c r="G234" i="35"/>
  <c r="E270" i="35"/>
  <c r="J7" i="35"/>
  <c r="J92" i="35"/>
  <c r="AB249" i="35"/>
  <c r="F110" i="35"/>
  <c r="Y249" i="35"/>
  <c r="C244" i="35"/>
  <c r="B244" i="35"/>
  <c r="G7" i="35"/>
  <c r="G92" i="35"/>
  <c r="AG249" i="35"/>
  <c r="O7" i="35"/>
  <c r="O92" i="35"/>
  <c r="AI89" i="35"/>
  <c r="AH89" i="35"/>
  <c r="B91" i="35"/>
  <c r="F235" i="35"/>
  <c r="H229" i="35"/>
  <c r="G110" i="35"/>
  <c r="Z89" i="34"/>
  <c r="Z91" i="34" s="1"/>
  <c r="Z92" i="34" s="1"/>
  <c r="W89" i="34"/>
  <c r="W91" i="34" s="1"/>
  <c r="W92" i="34" s="1"/>
  <c r="X89" i="34"/>
  <c r="X91" i="34" s="1"/>
  <c r="X92" i="34" s="1"/>
  <c r="V89" i="34"/>
  <c r="V91" i="34" s="1"/>
  <c r="V92" i="34" s="1"/>
  <c r="U89" i="34"/>
  <c r="U91" i="34" s="1"/>
  <c r="U92" i="34" s="1"/>
  <c r="K6" i="35" l="1"/>
  <c r="F270" i="35"/>
  <c r="H234" i="35"/>
  <c r="I229" i="35"/>
  <c r="H110" i="35"/>
  <c r="H235" i="35"/>
  <c r="B7" i="35"/>
  <c r="A7" i="35" s="1"/>
  <c r="AI91" i="35"/>
  <c r="B92" i="35"/>
  <c r="T249" i="35"/>
  <c r="AH91" i="35"/>
  <c r="G235" i="35"/>
  <c r="N51" i="34"/>
  <c r="J229" i="35" l="1"/>
  <c r="G270" i="35"/>
  <c r="I234" i="35"/>
  <c r="AH92" i="35"/>
  <c r="AI92" i="35"/>
  <c r="L54" i="34"/>
  <c r="M54" i="34"/>
  <c r="N54" i="34"/>
  <c r="M50" i="34"/>
  <c r="K229" i="35" l="1"/>
  <c r="H270" i="35"/>
  <c r="J234" i="35"/>
  <c r="I110" i="35"/>
  <c r="L113" i="34"/>
  <c r="K113" i="34"/>
  <c r="J113" i="34"/>
  <c r="I113" i="34"/>
  <c r="H113" i="34"/>
  <c r="G113" i="34"/>
  <c r="F113" i="34"/>
  <c r="E113" i="34"/>
  <c r="AF274" i="34"/>
  <c r="AE274" i="34"/>
  <c r="AD274" i="34"/>
  <c r="AC274" i="34"/>
  <c r="AB274" i="34"/>
  <c r="AA274" i="34"/>
  <c r="Z274" i="34"/>
  <c r="Y274" i="34"/>
  <c r="X274" i="34"/>
  <c r="W274" i="34"/>
  <c r="V274" i="34"/>
  <c r="U274" i="34"/>
  <c r="T274" i="34"/>
  <c r="S274" i="34"/>
  <c r="R274" i="34"/>
  <c r="Q274" i="34"/>
  <c r="P274" i="34"/>
  <c r="O274" i="34"/>
  <c r="N274" i="34"/>
  <c r="M274" i="34"/>
  <c r="L274" i="34"/>
  <c r="K274" i="34"/>
  <c r="J274" i="34"/>
  <c r="I274" i="34"/>
  <c r="H274" i="34"/>
  <c r="G274" i="34"/>
  <c r="F274" i="34"/>
  <c r="E274" i="34"/>
  <c r="D274" i="34"/>
  <c r="C274" i="34"/>
  <c r="B274" i="34"/>
  <c r="A274" i="34"/>
  <c r="AF273" i="34"/>
  <c r="AE273" i="34"/>
  <c r="AD273" i="34"/>
  <c r="AC273" i="34"/>
  <c r="AB273" i="34"/>
  <c r="AA273" i="34"/>
  <c r="Z273" i="34"/>
  <c r="Y273" i="34"/>
  <c r="X273" i="34"/>
  <c r="W273" i="34"/>
  <c r="V273" i="34"/>
  <c r="U273" i="34"/>
  <c r="T273" i="34"/>
  <c r="S273" i="34"/>
  <c r="R273" i="34"/>
  <c r="Q273" i="34"/>
  <c r="P273" i="34"/>
  <c r="O273" i="34"/>
  <c r="N273" i="34"/>
  <c r="M273" i="34"/>
  <c r="L273" i="34"/>
  <c r="K273" i="34"/>
  <c r="J273" i="34"/>
  <c r="I273" i="34"/>
  <c r="H273" i="34"/>
  <c r="G273" i="34"/>
  <c r="F273" i="34"/>
  <c r="E273" i="34"/>
  <c r="D273" i="34"/>
  <c r="C273" i="34"/>
  <c r="B273" i="34"/>
  <c r="A273" i="34"/>
  <c r="AF272" i="34"/>
  <c r="AE272" i="34"/>
  <c r="AD272" i="34"/>
  <c r="AC272" i="34"/>
  <c r="AB272" i="34"/>
  <c r="AA272" i="34"/>
  <c r="Z272" i="34"/>
  <c r="Y272" i="34"/>
  <c r="X272" i="34"/>
  <c r="W272" i="34"/>
  <c r="V272" i="34"/>
  <c r="U272" i="34"/>
  <c r="T272" i="34"/>
  <c r="S272" i="34"/>
  <c r="R272" i="34"/>
  <c r="Q272" i="34"/>
  <c r="P272" i="34"/>
  <c r="O272" i="34"/>
  <c r="N272" i="34"/>
  <c r="M272" i="34"/>
  <c r="L272" i="34"/>
  <c r="K272" i="34"/>
  <c r="J272" i="34"/>
  <c r="I272" i="34"/>
  <c r="H272" i="34"/>
  <c r="G272" i="34"/>
  <c r="F272" i="34"/>
  <c r="E272" i="34"/>
  <c r="D272" i="34"/>
  <c r="C272" i="34"/>
  <c r="B272" i="34"/>
  <c r="A272" i="34"/>
  <c r="AF271" i="34"/>
  <c r="AE271" i="34"/>
  <c r="AD271" i="34"/>
  <c r="AC271" i="34"/>
  <c r="AB271" i="34"/>
  <c r="AA271" i="34"/>
  <c r="Z271" i="34"/>
  <c r="Y271" i="34"/>
  <c r="X271" i="34"/>
  <c r="W271" i="34"/>
  <c r="V271" i="34"/>
  <c r="U271" i="34"/>
  <c r="T271" i="34"/>
  <c r="S271" i="34"/>
  <c r="R271" i="34"/>
  <c r="Q271" i="34"/>
  <c r="P271" i="34"/>
  <c r="O271" i="34"/>
  <c r="N271" i="34"/>
  <c r="M271" i="34"/>
  <c r="L271" i="34"/>
  <c r="K271" i="34"/>
  <c r="J271" i="34"/>
  <c r="I271" i="34"/>
  <c r="H271" i="34"/>
  <c r="G271" i="34"/>
  <c r="F271" i="34"/>
  <c r="E271" i="34"/>
  <c r="D271" i="34"/>
  <c r="C271" i="34"/>
  <c r="B271" i="34"/>
  <c r="A271" i="34"/>
  <c r="AE270" i="34"/>
  <c r="AD270" i="34"/>
  <c r="AC270" i="34"/>
  <c r="AB270" i="34"/>
  <c r="AA270" i="34"/>
  <c r="Z270" i="34"/>
  <c r="Y270" i="34"/>
  <c r="X270" i="34"/>
  <c r="W270" i="34"/>
  <c r="V270" i="34"/>
  <c r="U270" i="34"/>
  <c r="T270" i="34"/>
  <c r="S270" i="34"/>
  <c r="R270" i="34"/>
  <c r="Q270" i="34"/>
  <c r="P270" i="34"/>
  <c r="B270" i="34"/>
  <c r="S245" i="34"/>
  <c r="AG235" i="34"/>
  <c r="AF235" i="34"/>
  <c r="AE235" i="34"/>
  <c r="AD235" i="34"/>
  <c r="AC235" i="34"/>
  <c r="AB235" i="34"/>
  <c r="AA235" i="34"/>
  <c r="Z235" i="34"/>
  <c r="Y235" i="34"/>
  <c r="X235" i="34"/>
  <c r="W235" i="34"/>
  <c r="V235" i="34"/>
  <c r="U235" i="34"/>
  <c r="T235" i="34"/>
  <c r="S235" i="34"/>
  <c r="R235" i="34"/>
  <c r="Q235" i="34"/>
  <c r="C235" i="34"/>
  <c r="D234" i="34"/>
  <c r="E234" i="34" s="1"/>
  <c r="B234" i="34"/>
  <c r="AF270" i="34" s="1"/>
  <c r="D233" i="34"/>
  <c r="E233" i="34" s="1"/>
  <c r="F233" i="34" s="1"/>
  <c r="G233" i="34" s="1"/>
  <c r="H233" i="34" s="1"/>
  <c r="I233" i="34" s="1"/>
  <c r="J233" i="34" s="1"/>
  <c r="K233" i="34" s="1"/>
  <c r="L233" i="34" s="1"/>
  <c r="M233" i="34" s="1"/>
  <c r="N233" i="34" s="1"/>
  <c r="O233" i="34" s="1"/>
  <c r="P233" i="34" s="1"/>
  <c r="B233" i="34"/>
  <c r="D232" i="34"/>
  <c r="E232" i="34" s="1"/>
  <c r="F232" i="34" s="1"/>
  <c r="G232" i="34" s="1"/>
  <c r="H232" i="34" s="1"/>
  <c r="I232" i="34" s="1"/>
  <c r="B232" i="34"/>
  <c r="D231" i="34"/>
  <c r="E231" i="34" s="1"/>
  <c r="F231" i="34" s="1"/>
  <c r="G231" i="34" s="1"/>
  <c r="H231" i="34" s="1"/>
  <c r="B231" i="34"/>
  <c r="D230" i="34"/>
  <c r="D235" i="34" s="1"/>
  <c r="B230" i="34"/>
  <c r="D229" i="34"/>
  <c r="E229" i="34" s="1"/>
  <c r="F229" i="34" s="1"/>
  <c r="B229" i="34"/>
  <c r="AG227" i="34"/>
  <c r="AF227" i="34"/>
  <c r="AE227" i="34"/>
  <c r="AD227" i="34"/>
  <c r="AC227" i="34"/>
  <c r="AB227" i="34"/>
  <c r="AA227" i="34"/>
  <c r="Z227" i="34"/>
  <c r="Y227" i="34"/>
  <c r="X227" i="34"/>
  <c r="W227" i="34"/>
  <c r="V227" i="34"/>
  <c r="U227" i="34"/>
  <c r="T227" i="34"/>
  <c r="S227" i="34"/>
  <c r="R227" i="34"/>
  <c r="Q227" i="34"/>
  <c r="P227" i="34"/>
  <c r="O227" i="34"/>
  <c r="N227" i="34"/>
  <c r="M227" i="34"/>
  <c r="L227" i="34"/>
  <c r="K227" i="34"/>
  <c r="J227" i="34"/>
  <c r="I227" i="34"/>
  <c r="H227" i="34"/>
  <c r="G227" i="34"/>
  <c r="F227" i="34"/>
  <c r="E227" i="34"/>
  <c r="D227" i="34"/>
  <c r="C227" i="34"/>
  <c r="B227" i="34"/>
  <c r="AI120" i="34"/>
  <c r="AH120" i="34"/>
  <c r="AI119" i="34"/>
  <c r="AH119" i="34"/>
  <c r="AI118" i="34"/>
  <c r="AH118" i="34"/>
  <c r="AI117" i="34"/>
  <c r="AH117" i="34"/>
  <c r="AI116" i="34"/>
  <c r="AH116" i="34"/>
  <c r="AI115" i="34"/>
  <c r="AH115" i="34"/>
  <c r="AI114" i="34"/>
  <c r="AH114" i="34"/>
  <c r="AI112" i="34"/>
  <c r="AH112" i="34"/>
  <c r="AI111" i="34"/>
  <c r="AH111" i="34"/>
  <c r="AB110" i="34"/>
  <c r="AA110" i="34"/>
  <c r="Z110" i="34"/>
  <c r="Y110" i="34"/>
  <c r="T110" i="34"/>
  <c r="S110" i="34"/>
  <c r="R110" i="34"/>
  <c r="Q110" i="34"/>
  <c r="D110" i="34"/>
  <c r="C110" i="34"/>
  <c r="AI109" i="34"/>
  <c r="AH109" i="34"/>
  <c r="AI108" i="34"/>
  <c r="AH108" i="34"/>
  <c r="AI107" i="34"/>
  <c r="AH107" i="34"/>
  <c r="AI106" i="34"/>
  <c r="AH106" i="34"/>
  <c r="AI105" i="34"/>
  <c r="AH105" i="34"/>
  <c r="AI104" i="34"/>
  <c r="AH104" i="34"/>
  <c r="AI103" i="34"/>
  <c r="AH103" i="34"/>
  <c r="AI102" i="34"/>
  <c r="AH102" i="34"/>
  <c r="AI101" i="34"/>
  <c r="AH101" i="34"/>
  <c r="AI99" i="34"/>
  <c r="AH99" i="34"/>
  <c r="AI98" i="34"/>
  <c r="AH98" i="34"/>
  <c r="AI97" i="34"/>
  <c r="AH97" i="34"/>
  <c r="AI96" i="34"/>
  <c r="AH96" i="34"/>
  <c r="AI95" i="34"/>
  <c r="AH95" i="34"/>
  <c r="AI94" i="34"/>
  <c r="AH94" i="34"/>
  <c r="AI93" i="34"/>
  <c r="AH93" i="34"/>
  <c r="AI90" i="34"/>
  <c r="AH90" i="34"/>
  <c r="AI88" i="34"/>
  <c r="AH88" i="34"/>
  <c r="AG88" i="34"/>
  <c r="AI87" i="34"/>
  <c r="AH87" i="34"/>
  <c r="AI86" i="34"/>
  <c r="AH86" i="34"/>
  <c r="AI85" i="34"/>
  <c r="AH85" i="34"/>
  <c r="AN84" i="34"/>
  <c r="AG84" i="34"/>
  <c r="AE5" i="34"/>
  <c r="AE84" i="34"/>
  <c r="AD5" i="34" s="1"/>
  <c r="AD84" i="34"/>
  <c r="AD100" i="34" s="1"/>
  <c r="AC84" i="34"/>
  <c r="AC100" i="34" s="1"/>
  <c r="AB84" i="34"/>
  <c r="AB100" i="34" s="1"/>
  <c r="AA84" i="34"/>
  <c r="AA100" i="34" s="1"/>
  <c r="Y84" i="34"/>
  <c r="Y100" i="34" s="1"/>
  <c r="W5" i="34"/>
  <c r="T84" i="34"/>
  <c r="T100" i="34" s="1"/>
  <c r="S84" i="34"/>
  <c r="S100" i="34" s="1"/>
  <c r="R84" i="34"/>
  <c r="R100" i="34" s="1"/>
  <c r="Q84" i="34"/>
  <c r="Q100" i="34" s="1"/>
  <c r="P84" i="34"/>
  <c r="P100" i="34" s="1"/>
  <c r="O84" i="34"/>
  <c r="O100" i="34" s="1"/>
  <c r="N84" i="34"/>
  <c r="N100" i="34" s="1"/>
  <c r="M84" i="34"/>
  <c r="M100" i="34" s="1"/>
  <c r="L84" i="34"/>
  <c r="L100" i="34" s="1"/>
  <c r="K84" i="34"/>
  <c r="K100" i="34" s="1"/>
  <c r="J84" i="34"/>
  <c r="J100" i="34" s="1"/>
  <c r="I84" i="34"/>
  <c r="I100" i="34" s="1"/>
  <c r="H84" i="34"/>
  <c r="H100" i="34" s="1"/>
  <c r="G84" i="34"/>
  <c r="G100" i="34" s="1"/>
  <c r="F84" i="34"/>
  <c r="F100" i="34" s="1"/>
  <c r="E84" i="34"/>
  <c r="E100" i="34" s="1"/>
  <c r="D84" i="34"/>
  <c r="D100" i="34" s="1"/>
  <c r="C84" i="34"/>
  <c r="C100" i="34" s="1"/>
  <c r="B84" i="34"/>
  <c r="B100" i="34" s="1"/>
  <c r="AN83" i="34"/>
  <c r="AI83" i="34"/>
  <c r="AH83" i="34"/>
  <c r="AN82" i="34"/>
  <c r="AI82" i="34"/>
  <c r="AH82" i="34"/>
  <c r="AN81" i="34"/>
  <c r="AI81" i="34"/>
  <c r="AH81" i="34"/>
  <c r="AI80" i="34"/>
  <c r="AH80" i="34"/>
  <c r="AI79" i="34"/>
  <c r="AH79" i="34"/>
  <c r="AI78" i="34"/>
  <c r="AH78" i="34"/>
  <c r="AI77" i="34"/>
  <c r="AH77" i="34"/>
  <c r="AI76" i="34"/>
  <c r="AH76" i="34"/>
  <c r="AI75" i="34"/>
  <c r="AH75" i="34"/>
  <c r="AI74" i="34"/>
  <c r="AH74" i="34"/>
  <c r="AI73" i="34"/>
  <c r="AH73" i="34"/>
  <c r="AG72" i="34"/>
  <c r="AE72" i="34"/>
  <c r="AD72" i="34"/>
  <c r="AC72" i="34"/>
  <c r="AB72" i="34"/>
  <c r="AA72" i="34"/>
  <c r="Y72" i="34"/>
  <c r="T72" i="34"/>
  <c r="S72" i="34"/>
  <c r="R72" i="34"/>
  <c r="Q72" i="34"/>
  <c r="P72" i="34"/>
  <c r="O72" i="34"/>
  <c r="N72" i="34"/>
  <c r="M72" i="34"/>
  <c r="L72" i="34"/>
  <c r="B72" i="34"/>
  <c r="AI71" i="34"/>
  <c r="AH71" i="34"/>
  <c r="AI70" i="34"/>
  <c r="AH70" i="34"/>
  <c r="AI69" i="34"/>
  <c r="AH69" i="34"/>
  <c r="AE68" i="34"/>
  <c r="AD68" i="34"/>
  <c r="AB68" i="34"/>
  <c r="AA68" i="34"/>
  <c r="Y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AI67" i="34"/>
  <c r="AH67" i="34"/>
  <c r="AG67" i="34"/>
  <c r="AG68" i="34" s="1"/>
  <c r="AG3" i="34" s="1"/>
  <c r="AI66" i="34"/>
  <c r="AH66" i="34"/>
  <c r="AI65" i="34"/>
  <c r="AH65" i="34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I56" i="34"/>
  <c r="AH56" i="34"/>
  <c r="AI55" i="34"/>
  <c r="AH55" i="34"/>
  <c r="AG54" i="34"/>
  <c r="AE54" i="34"/>
  <c r="AD54" i="34"/>
  <c r="AA54" i="34"/>
  <c r="Y54" i="34"/>
  <c r="T54" i="34"/>
  <c r="S54" i="34"/>
  <c r="R54" i="34"/>
  <c r="Q54" i="34"/>
  <c r="O54" i="34"/>
  <c r="K54" i="34"/>
  <c r="J54" i="34"/>
  <c r="I54" i="34"/>
  <c r="H54" i="34"/>
  <c r="G54" i="34"/>
  <c r="F54" i="34"/>
  <c r="E54" i="34"/>
  <c r="D54" i="34"/>
  <c r="C54" i="34"/>
  <c r="B54" i="34"/>
  <c r="AI53" i="34"/>
  <c r="AH53" i="34"/>
  <c r="AI52" i="34"/>
  <c r="AH52" i="34"/>
  <c r="AI51" i="34"/>
  <c r="AH51" i="34"/>
  <c r="AG50" i="34"/>
  <c r="AF50" i="34"/>
  <c r="AE50" i="34"/>
  <c r="AD50" i="34"/>
  <c r="AA50" i="34"/>
  <c r="Y50" i="34"/>
  <c r="T50" i="34"/>
  <c r="S50" i="34"/>
  <c r="R50" i="34"/>
  <c r="Q50" i="34"/>
  <c r="P50" i="34"/>
  <c r="O50" i="34"/>
  <c r="N50" i="34"/>
  <c r="L50" i="34"/>
  <c r="K50" i="34"/>
  <c r="J50" i="34"/>
  <c r="I50" i="34"/>
  <c r="H50" i="34"/>
  <c r="G50" i="34"/>
  <c r="F50" i="34"/>
  <c r="E50" i="34"/>
  <c r="D50" i="34"/>
  <c r="C50" i="34"/>
  <c r="B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Y5" i="34"/>
  <c r="V5" i="34"/>
  <c r="U5" i="34"/>
  <c r="T5" i="34"/>
  <c r="AG4" i="34"/>
  <c r="K4" i="34"/>
  <c r="E4" i="34"/>
  <c r="H4" i="34" s="1"/>
  <c r="B4" i="34"/>
  <c r="S246" i="34" s="1"/>
  <c r="AG2" i="34"/>
  <c r="P50" i="33"/>
  <c r="P54" i="33"/>
  <c r="P68" i="33"/>
  <c r="P72" i="33"/>
  <c r="P84" i="33"/>
  <c r="P100" i="33" s="1"/>
  <c r="P110" i="33"/>
  <c r="O50" i="33"/>
  <c r="O54" i="33"/>
  <c r="O68" i="33"/>
  <c r="O72" i="33"/>
  <c r="O84" i="33"/>
  <c r="O100" i="33" s="1"/>
  <c r="O110" i="33"/>
  <c r="K234" i="35" l="1"/>
  <c r="I270" i="35"/>
  <c r="K110" i="35"/>
  <c r="L229" i="35"/>
  <c r="J110" i="35"/>
  <c r="AC5" i="34"/>
  <c r="AC89" i="34"/>
  <c r="AC91" i="34" s="1"/>
  <c r="AU249" i="34" s="1"/>
  <c r="AI113" i="34"/>
  <c r="AE89" i="34"/>
  <c r="AE91" i="34" s="1"/>
  <c r="AE92" i="34" s="1"/>
  <c r="AG6" i="34"/>
  <c r="AA89" i="34"/>
  <c r="AA91" i="34" s="1"/>
  <c r="AS249" i="34" s="1"/>
  <c r="AE100" i="34"/>
  <c r="Z5" i="34"/>
  <c r="AD89" i="34"/>
  <c r="AD91" i="34" s="1"/>
  <c r="AD92" i="34" s="1"/>
  <c r="N5" i="34"/>
  <c r="AG89" i="34"/>
  <c r="AG91" i="34"/>
  <c r="AH113" i="34"/>
  <c r="B110" i="34"/>
  <c r="AF91" i="34"/>
  <c r="AX249" i="34" s="1"/>
  <c r="AB5" i="34"/>
  <c r="AH72" i="34"/>
  <c r="AA5" i="34"/>
  <c r="AB89" i="34"/>
  <c r="AB91" i="34" s="1"/>
  <c r="AB92" i="34" s="1"/>
  <c r="Y89" i="34"/>
  <c r="Y91" i="34" s="1"/>
  <c r="Y92" i="34" s="1"/>
  <c r="S5" i="34"/>
  <c r="T89" i="34"/>
  <c r="T91" i="34" s="1"/>
  <c r="T92" i="34" s="1"/>
  <c r="R5" i="34"/>
  <c r="S89" i="34"/>
  <c r="S91" i="34" s="1"/>
  <c r="S7" i="34" s="1"/>
  <c r="R89" i="34"/>
  <c r="R91" i="34" s="1"/>
  <c r="R7" i="34" s="1"/>
  <c r="Q5" i="34"/>
  <c r="Q89" i="34"/>
  <c r="Q91" i="34" s="1"/>
  <c r="AI249" i="34" s="1"/>
  <c r="P89" i="34"/>
  <c r="P91" i="34" s="1"/>
  <c r="AH249" i="34" s="1"/>
  <c r="M5" i="34"/>
  <c r="O89" i="34"/>
  <c r="O91" i="34" s="1"/>
  <c r="O7" i="34" s="1"/>
  <c r="N89" i="34"/>
  <c r="N91" i="34" s="1"/>
  <c r="AF249" i="34" s="1"/>
  <c r="L5" i="34"/>
  <c r="M89" i="34"/>
  <c r="M91" i="34" s="1"/>
  <c r="M92" i="34" s="1"/>
  <c r="L89" i="34"/>
  <c r="L91" i="34" s="1"/>
  <c r="L7" i="34" s="1"/>
  <c r="K5" i="34"/>
  <c r="J5" i="34"/>
  <c r="K89" i="34"/>
  <c r="K91" i="34" s="1"/>
  <c r="K7" i="34" s="1"/>
  <c r="I5" i="34"/>
  <c r="J89" i="34"/>
  <c r="J91" i="34" s="1"/>
  <c r="J7" i="34" s="1"/>
  <c r="I89" i="34"/>
  <c r="I91" i="34" s="1"/>
  <c r="I92" i="34" s="1"/>
  <c r="H89" i="34"/>
  <c r="H91" i="34" s="1"/>
  <c r="H92" i="34" s="1"/>
  <c r="F5" i="34"/>
  <c r="G89" i="34"/>
  <c r="G91" i="34" s="1"/>
  <c r="F89" i="34"/>
  <c r="F91" i="34" s="1"/>
  <c r="F92" i="34" s="1"/>
  <c r="E5" i="34"/>
  <c r="D5" i="34"/>
  <c r="E89" i="34"/>
  <c r="E91" i="34" s="1"/>
  <c r="E92" i="34" s="1"/>
  <c r="C5" i="34"/>
  <c r="AI68" i="34"/>
  <c r="D89" i="34"/>
  <c r="D91" i="34" s="1"/>
  <c r="D7" i="34" s="1"/>
  <c r="AI54" i="34"/>
  <c r="C89" i="34"/>
  <c r="C91" i="34" s="1"/>
  <c r="C7" i="34" s="1"/>
  <c r="B5" i="34"/>
  <c r="AF5" i="34"/>
  <c r="B89" i="34"/>
  <c r="B91" i="34" s="1"/>
  <c r="D246" i="34"/>
  <c r="AM249" i="34"/>
  <c r="U7" i="34"/>
  <c r="G229" i="34"/>
  <c r="J232" i="34"/>
  <c r="K232" i="34" s="1"/>
  <c r="L232" i="34" s="1"/>
  <c r="M232" i="34" s="1"/>
  <c r="N232" i="34" s="1"/>
  <c r="O232" i="34" s="1"/>
  <c r="P232" i="34" s="1"/>
  <c r="E110" i="34"/>
  <c r="D270" i="34"/>
  <c r="F234" i="34"/>
  <c r="F110" i="34" s="1"/>
  <c r="F7" i="34"/>
  <c r="AN249" i="34"/>
  <c r="V7" i="34"/>
  <c r="X7" i="34"/>
  <c r="AP249" i="34"/>
  <c r="AO249" i="34"/>
  <c r="W7" i="34"/>
  <c r="Z7" i="34"/>
  <c r="AR249" i="34"/>
  <c r="K92" i="34"/>
  <c r="AA7" i="34"/>
  <c r="AA92" i="34"/>
  <c r="AH68" i="34"/>
  <c r="E230" i="34"/>
  <c r="H5" i="34"/>
  <c r="P5" i="34"/>
  <c r="X5" i="34"/>
  <c r="AH84" i="34"/>
  <c r="C270" i="34"/>
  <c r="AH50" i="34"/>
  <c r="AH54" i="34"/>
  <c r="AI84" i="34"/>
  <c r="O5" i="34"/>
  <c r="AI50" i="34"/>
  <c r="G5" i="34"/>
  <c r="AF100" i="34"/>
  <c r="B235" i="34"/>
  <c r="AI72" i="34"/>
  <c r="O89" i="33"/>
  <c r="O91" i="33" s="1"/>
  <c r="O92" i="33" s="1"/>
  <c r="P89" i="33"/>
  <c r="P91" i="33" s="1"/>
  <c r="P92" i="33" s="1"/>
  <c r="M229" i="35" l="1"/>
  <c r="J270" i="35"/>
  <c r="L234" i="35"/>
  <c r="AI100" i="34"/>
  <c r="AE7" i="34"/>
  <c r="AW249" i="34"/>
  <c r="AV249" i="34"/>
  <c r="AD7" i="34"/>
  <c r="V249" i="34"/>
  <c r="AD249" i="34"/>
  <c r="AC249" i="34"/>
  <c r="L92" i="34"/>
  <c r="AC7" i="34"/>
  <c r="AC92" i="34"/>
  <c r="R92" i="34"/>
  <c r="X249" i="34"/>
  <c r="AJ249" i="34"/>
  <c r="D92" i="34"/>
  <c r="U249" i="34"/>
  <c r="C92" i="34"/>
  <c r="AF92" i="34"/>
  <c r="AF7" i="34"/>
  <c r="AB249" i="34"/>
  <c r="E7" i="34"/>
  <c r="W249" i="34"/>
  <c r="J92" i="34"/>
  <c r="AT249" i="34"/>
  <c r="AB7" i="34"/>
  <c r="AQ249" i="34"/>
  <c r="Y7" i="34"/>
  <c r="T7" i="34"/>
  <c r="AL249" i="34"/>
  <c r="AK249" i="34"/>
  <c r="S92" i="34"/>
  <c r="Q92" i="34"/>
  <c r="Q7" i="34"/>
  <c r="P92" i="34"/>
  <c r="P7" i="34"/>
  <c r="AG249" i="34"/>
  <c r="O92" i="34"/>
  <c r="N7" i="34"/>
  <c r="N92" i="34"/>
  <c r="M7" i="34"/>
  <c r="AE249" i="34"/>
  <c r="AA249" i="34"/>
  <c r="I7" i="34"/>
  <c r="Z249" i="34"/>
  <c r="H7" i="34"/>
  <c r="C244" i="34"/>
  <c r="Y249" i="34"/>
  <c r="B244" i="34"/>
  <c r="AI89" i="34"/>
  <c r="G92" i="34"/>
  <c r="G7" i="34"/>
  <c r="AH89" i="34"/>
  <c r="B7" i="34"/>
  <c r="B92" i="34"/>
  <c r="AI91" i="34"/>
  <c r="T249" i="34"/>
  <c r="AH91" i="34"/>
  <c r="AH100" i="34"/>
  <c r="E270" i="34"/>
  <c r="G234" i="34"/>
  <c r="F230" i="34"/>
  <c r="E235" i="34"/>
  <c r="H229" i="34"/>
  <c r="G110" i="34"/>
  <c r="M234" i="35" l="1"/>
  <c r="K270" i="35"/>
  <c r="L110" i="35"/>
  <c r="N229" i="35"/>
  <c r="K6" i="34"/>
  <c r="A7" i="34"/>
  <c r="I229" i="34"/>
  <c r="G230" i="34"/>
  <c r="F235" i="34"/>
  <c r="AI92" i="34"/>
  <c r="AH92" i="34"/>
  <c r="F270" i="34"/>
  <c r="H234" i="34"/>
  <c r="H110" i="34" s="1"/>
  <c r="L270" i="35" l="1"/>
  <c r="N234" i="35"/>
  <c r="O229" i="35"/>
  <c r="N110" i="35"/>
  <c r="M110" i="35"/>
  <c r="H230" i="34"/>
  <c r="G235" i="34"/>
  <c r="G270" i="34"/>
  <c r="I234" i="34"/>
  <c r="I110" i="34" s="1"/>
  <c r="J229" i="34"/>
  <c r="P229" i="35" l="1"/>
  <c r="O234" i="35"/>
  <c r="M270" i="35"/>
  <c r="K229" i="34"/>
  <c r="H270" i="34"/>
  <c r="J234" i="34"/>
  <c r="I230" i="34"/>
  <c r="H235" i="34"/>
  <c r="N270" i="35" l="1"/>
  <c r="P234" i="35"/>
  <c r="O270" i="35" s="1"/>
  <c r="O110" i="35"/>
  <c r="J230" i="34"/>
  <c r="K234" i="34"/>
  <c r="K110" i="34" s="1"/>
  <c r="I270" i="34"/>
  <c r="L229" i="34"/>
  <c r="J110" i="34"/>
  <c r="AI110" i="35" l="1"/>
  <c r="AH110" i="35"/>
  <c r="M229" i="34"/>
  <c r="L234" i="34"/>
  <c r="J270" i="34"/>
  <c r="K230" i="34"/>
  <c r="L230" i="34" l="1"/>
  <c r="M234" i="34"/>
  <c r="K270" i="34"/>
  <c r="L110" i="34"/>
  <c r="N229" i="34"/>
  <c r="M110" i="34"/>
  <c r="L270" i="34" l="1"/>
  <c r="N234" i="34"/>
  <c r="N110" i="34" s="1"/>
  <c r="O229" i="34"/>
  <c r="M230" i="34"/>
  <c r="N230" i="34" l="1"/>
  <c r="P229" i="34"/>
  <c r="M270" i="34"/>
  <c r="O234" i="34"/>
  <c r="N270" i="34" l="1"/>
  <c r="P234" i="34"/>
  <c r="O270" i="34" s="1"/>
  <c r="O110" i="34"/>
  <c r="O230" i="34"/>
  <c r="P230" i="34" l="1"/>
  <c r="AI110" i="34"/>
  <c r="AH110" i="34"/>
  <c r="K68" i="33" l="1"/>
  <c r="L68" i="33"/>
  <c r="M68" i="33"/>
  <c r="K54" i="33"/>
  <c r="L54" i="33"/>
  <c r="K50" i="33"/>
  <c r="L50" i="33"/>
  <c r="K49" i="33"/>
  <c r="J50" i="33"/>
  <c r="D49" i="33"/>
  <c r="E49" i="33"/>
  <c r="F49" i="33"/>
  <c r="G49" i="33"/>
  <c r="I49" i="33"/>
  <c r="J49" i="33"/>
  <c r="C113" i="33" l="1"/>
  <c r="C49" i="33"/>
  <c r="C50" i="33"/>
  <c r="C54" i="33"/>
  <c r="C68" i="33"/>
  <c r="C72" i="33"/>
  <c r="B49" i="33"/>
  <c r="B113" i="33"/>
  <c r="B110" i="33"/>
  <c r="B84" i="33"/>
  <c r="AF5" i="33" s="1"/>
  <c r="B72" i="33"/>
  <c r="B68" i="33"/>
  <c r="B54" i="33"/>
  <c r="B50" i="33"/>
  <c r="AF274" i="33"/>
  <c r="AE274" i="33"/>
  <c r="AD274" i="33"/>
  <c r="AC274" i="33"/>
  <c r="AB274" i="33"/>
  <c r="AA274" i="33"/>
  <c r="Z274" i="33"/>
  <c r="Y274" i="33"/>
  <c r="X274" i="33"/>
  <c r="W274" i="33"/>
  <c r="V274" i="33"/>
  <c r="U274" i="33"/>
  <c r="T274" i="33"/>
  <c r="S274" i="33"/>
  <c r="R274" i="33"/>
  <c r="Q274" i="33"/>
  <c r="P274" i="33"/>
  <c r="O274" i="33"/>
  <c r="N274" i="33"/>
  <c r="M274" i="33"/>
  <c r="L274" i="33"/>
  <c r="K274" i="33"/>
  <c r="J274" i="33"/>
  <c r="I274" i="33"/>
  <c r="H274" i="33"/>
  <c r="G274" i="33"/>
  <c r="F274" i="33"/>
  <c r="E274" i="33"/>
  <c r="D274" i="33"/>
  <c r="C274" i="33"/>
  <c r="B274" i="33"/>
  <c r="A274" i="33"/>
  <c r="AF273" i="33"/>
  <c r="AE273" i="33"/>
  <c r="AD273" i="33"/>
  <c r="AC273" i="33"/>
  <c r="AB273" i="33"/>
  <c r="AA273" i="33"/>
  <c r="Z273" i="33"/>
  <c r="Y273" i="33"/>
  <c r="X273" i="33"/>
  <c r="W273" i="33"/>
  <c r="V273" i="33"/>
  <c r="U273" i="33"/>
  <c r="T273" i="33"/>
  <c r="S273" i="33"/>
  <c r="R273" i="33"/>
  <c r="Q273" i="33"/>
  <c r="P273" i="33"/>
  <c r="O273" i="33"/>
  <c r="N273" i="33"/>
  <c r="M273" i="33"/>
  <c r="L273" i="33"/>
  <c r="K273" i="33"/>
  <c r="J273" i="33"/>
  <c r="I273" i="33"/>
  <c r="H273" i="33"/>
  <c r="G273" i="33"/>
  <c r="F273" i="33"/>
  <c r="E273" i="33"/>
  <c r="D273" i="33"/>
  <c r="C273" i="33"/>
  <c r="B273" i="33"/>
  <c r="A273" i="33"/>
  <c r="AF272" i="33"/>
  <c r="AE272" i="33"/>
  <c r="AD272" i="33"/>
  <c r="AC272" i="33"/>
  <c r="AB272" i="33"/>
  <c r="AA272" i="33"/>
  <c r="Z272" i="33"/>
  <c r="Y272" i="33"/>
  <c r="X272" i="33"/>
  <c r="W272" i="33"/>
  <c r="V272" i="33"/>
  <c r="U272" i="33"/>
  <c r="T272" i="33"/>
  <c r="S272" i="33"/>
  <c r="R272" i="33"/>
  <c r="Q272" i="33"/>
  <c r="P272" i="33"/>
  <c r="O272" i="33"/>
  <c r="N272" i="33"/>
  <c r="M272" i="33"/>
  <c r="L272" i="33"/>
  <c r="K272" i="33"/>
  <c r="J272" i="33"/>
  <c r="I272" i="33"/>
  <c r="H272" i="33"/>
  <c r="G272" i="33"/>
  <c r="F272" i="33"/>
  <c r="E272" i="33"/>
  <c r="D272" i="33"/>
  <c r="C272" i="33"/>
  <c r="B272" i="33"/>
  <c r="A272" i="33"/>
  <c r="AF271" i="33"/>
  <c r="AE271" i="33"/>
  <c r="AD271" i="33"/>
  <c r="AC271" i="33"/>
  <c r="AB271" i="33"/>
  <c r="AA271" i="33"/>
  <c r="Z271" i="33"/>
  <c r="Y271" i="33"/>
  <c r="X271" i="33"/>
  <c r="W271" i="33"/>
  <c r="V271" i="33"/>
  <c r="U271" i="33"/>
  <c r="T271" i="33"/>
  <c r="S271" i="33"/>
  <c r="R271" i="33"/>
  <c r="Q271" i="33"/>
  <c r="P271" i="33"/>
  <c r="O271" i="33"/>
  <c r="N271" i="33"/>
  <c r="M271" i="33"/>
  <c r="L271" i="33"/>
  <c r="K271" i="33"/>
  <c r="J271" i="33"/>
  <c r="I271" i="33"/>
  <c r="H271" i="33"/>
  <c r="G271" i="33"/>
  <c r="F271" i="33"/>
  <c r="E271" i="33"/>
  <c r="D271" i="33"/>
  <c r="C271" i="33"/>
  <c r="B271" i="33"/>
  <c r="A271" i="33"/>
  <c r="AE270" i="33"/>
  <c r="AD270" i="33"/>
  <c r="AC270" i="33"/>
  <c r="AB270" i="33"/>
  <c r="AA270" i="33"/>
  <c r="Z270" i="33"/>
  <c r="Y270" i="33"/>
  <c r="X270" i="33"/>
  <c r="W270" i="33"/>
  <c r="V270" i="33"/>
  <c r="U270" i="33"/>
  <c r="T270" i="33"/>
  <c r="S270" i="33"/>
  <c r="R270" i="33"/>
  <c r="Q270" i="33"/>
  <c r="P270" i="33"/>
  <c r="C270" i="33"/>
  <c r="B270" i="33"/>
  <c r="S245" i="33"/>
  <c r="AG235" i="33"/>
  <c r="AF235" i="33"/>
  <c r="AE235" i="33"/>
  <c r="AD235" i="33"/>
  <c r="AC235" i="33"/>
  <c r="AB235" i="33"/>
  <c r="AA235" i="33"/>
  <c r="Z235" i="33"/>
  <c r="Y235" i="33"/>
  <c r="X235" i="33"/>
  <c r="W235" i="33"/>
  <c r="V235" i="33"/>
  <c r="U235" i="33"/>
  <c r="T235" i="33"/>
  <c r="S235" i="33"/>
  <c r="R235" i="33"/>
  <c r="Q235" i="33"/>
  <c r="C235" i="33"/>
  <c r="E234" i="33"/>
  <c r="D270" i="33" s="1"/>
  <c r="D234" i="33"/>
  <c r="B234" i="33"/>
  <c r="AF270" i="33" s="1"/>
  <c r="D233" i="33"/>
  <c r="E233" i="33" s="1"/>
  <c r="F233" i="33" s="1"/>
  <c r="G233" i="33" s="1"/>
  <c r="H233" i="33" s="1"/>
  <c r="I233" i="33" s="1"/>
  <c r="J233" i="33" s="1"/>
  <c r="K233" i="33" s="1"/>
  <c r="L233" i="33" s="1"/>
  <c r="M233" i="33" s="1"/>
  <c r="N233" i="33" s="1"/>
  <c r="O233" i="33" s="1"/>
  <c r="P233" i="33" s="1"/>
  <c r="B233" i="33"/>
  <c r="D232" i="33"/>
  <c r="E232" i="33" s="1"/>
  <c r="F232" i="33" s="1"/>
  <c r="G232" i="33" s="1"/>
  <c r="H232" i="33" s="1"/>
  <c r="I232" i="33" s="1"/>
  <c r="B232" i="33"/>
  <c r="G231" i="33"/>
  <c r="H231" i="33" s="1"/>
  <c r="F231" i="33"/>
  <c r="E231" i="33"/>
  <c r="D231" i="33"/>
  <c r="B231" i="33"/>
  <c r="E230" i="33"/>
  <c r="F230" i="33" s="1"/>
  <c r="G230" i="33" s="1"/>
  <c r="H230" i="33" s="1"/>
  <c r="I230" i="33" s="1"/>
  <c r="J230" i="33" s="1"/>
  <c r="K230" i="33" s="1"/>
  <c r="L230" i="33" s="1"/>
  <c r="M230" i="33" s="1"/>
  <c r="N230" i="33" s="1"/>
  <c r="O230" i="33" s="1"/>
  <c r="P230" i="33" s="1"/>
  <c r="D230" i="33"/>
  <c r="B230" i="33"/>
  <c r="D229" i="33"/>
  <c r="D235" i="33" s="1"/>
  <c r="B229" i="33"/>
  <c r="AG227" i="33"/>
  <c r="AF227" i="33"/>
  <c r="AE227" i="33"/>
  <c r="AD227" i="33"/>
  <c r="AC227" i="33"/>
  <c r="AB227" i="33"/>
  <c r="AA227" i="33"/>
  <c r="Z227" i="33"/>
  <c r="Y227" i="33"/>
  <c r="X227" i="33"/>
  <c r="W227" i="33"/>
  <c r="V227" i="33"/>
  <c r="U227" i="33"/>
  <c r="T227" i="33"/>
  <c r="S227" i="33"/>
  <c r="R227" i="33"/>
  <c r="Q227" i="33"/>
  <c r="P227" i="33"/>
  <c r="O227" i="33"/>
  <c r="N227" i="33"/>
  <c r="M227" i="33"/>
  <c r="L227" i="33"/>
  <c r="K227" i="33"/>
  <c r="J227" i="33"/>
  <c r="I227" i="33"/>
  <c r="H227" i="33"/>
  <c r="G227" i="33"/>
  <c r="F227" i="33"/>
  <c r="E227" i="33"/>
  <c r="D227" i="33"/>
  <c r="C227" i="33"/>
  <c r="B227" i="33"/>
  <c r="AI120" i="33"/>
  <c r="AH120" i="33"/>
  <c r="AI119" i="33"/>
  <c r="AH119" i="33"/>
  <c r="AI118" i="33"/>
  <c r="AH118" i="33"/>
  <c r="AI117" i="33"/>
  <c r="AH117" i="33"/>
  <c r="AI116" i="33"/>
  <c r="AH116" i="33"/>
  <c r="AI115" i="33"/>
  <c r="AH115" i="33"/>
  <c r="AI114" i="33"/>
  <c r="AH114" i="33"/>
  <c r="AI113" i="33"/>
  <c r="AH113" i="33"/>
  <c r="AI112" i="33"/>
  <c r="AH112" i="33"/>
  <c r="AI111" i="33"/>
  <c r="AH111" i="33"/>
  <c r="AF110" i="33"/>
  <c r="AE110" i="33"/>
  <c r="AC110" i="33"/>
  <c r="AB110" i="33"/>
  <c r="Z110" i="33"/>
  <c r="Y110" i="33"/>
  <c r="X110" i="33"/>
  <c r="W110" i="33"/>
  <c r="V110" i="33"/>
  <c r="U110" i="33"/>
  <c r="T110" i="33"/>
  <c r="S110" i="33"/>
  <c r="R110" i="33"/>
  <c r="Q110" i="33"/>
  <c r="C110" i="33"/>
  <c r="AI109" i="33"/>
  <c r="AH109" i="33"/>
  <c r="AI108" i="33"/>
  <c r="AH108" i="33"/>
  <c r="AI107" i="33"/>
  <c r="AH107" i="33"/>
  <c r="AI106" i="33"/>
  <c r="AH106" i="33"/>
  <c r="AI105" i="33"/>
  <c r="AH105" i="33"/>
  <c r="AI104" i="33"/>
  <c r="AH104" i="33"/>
  <c r="AI103" i="33"/>
  <c r="AH103" i="33"/>
  <c r="AI102" i="33"/>
  <c r="AH102" i="33"/>
  <c r="AI101" i="33"/>
  <c r="AH101" i="33"/>
  <c r="AI99" i="33"/>
  <c r="AH99" i="33"/>
  <c r="AI98" i="33"/>
  <c r="AH98" i="33"/>
  <c r="AI97" i="33"/>
  <c r="AH97" i="33"/>
  <c r="AI96" i="33"/>
  <c r="AH96" i="33"/>
  <c r="AI95" i="33"/>
  <c r="AH95" i="33"/>
  <c r="AI94" i="33"/>
  <c r="AH94" i="33"/>
  <c r="AI93" i="33"/>
  <c r="AH93" i="33"/>
  <c r="AI90" i="33"/>
  <c r="AH90" i="33"/>
  <c r="AI88" i="33"/>
  <c r="AH88" i="33"/>
  <c r="AG88" i="33"/>
  <c r="AI87" i="33"/>
  <c r="AH87" i="33"/>
  <c r="AI86" i="33"/>
  <c r="AH86" i="33"/>
  <c r="AI85" i="33"/>
  <c r="AH85" i="33"/>
  <c r="AN84" i="33"/>
  <c r="AG84" i="33"/>
  <c r="AG91" i="33" s="1"/>
  <c r="AF84" i="33"/>
  <c r="AF100" i="33" s="1"/>
  <c r="AE84" i="33"/>
  <c r="AE100" i="33" s="1"/>
  <c r="AD84" i="33"/>
  <c r="AD100" i="33" s="1"/>
  <c r="AC84" i="33"/>
  <c r="AC100" i="33" s="1"/>
  <c r="AB84" i="33"/>
  <c r="AB100" i="33" s="1"/>
  <c r="Z84" i="33"/>
  <c r="Z100" i="33" s="1"/>
  <c r="Y84" i="33"/>
  <c r="Y100" i="33" s="1"/>
  <c r="X84" i="33"/>
  <c r="X100" i="33" s="1"/>
  <c r="W84" i="33"/>
  <c r="W100" i="33" s="1"/>
  <c r="V84" i="33"/>
  <c r="V100" i="33" s="1"/>
  <c r="U84" i="33"/>
  <c r="U100" i="33" s="1"/>
  <c r="T84" i="33"/>
  <c r="T100" i="33" s="1"/>
  <c r="S84" i="33"/>
  <c r="S100" i="33" s="1"/>
  <c r="R84" i="33"/>
  <c r="R100" i="33" s="1"/>
  <c r="Q84" i="33"/>
  <c r="P5" i="33" s="1"/>
  <c r="N84" i="33"/>
  <c r="N100" i="33" s="1"/>
  <c r="M84" i="33"/>
  <c r="M100" i="33" s="1"/>
  <c r="L84" i="33"/>
  <c r="L100" i="33" s="1"/>
  <c r="K84" i="33"/>
  <c r="K100" i="33" s="1"/>
  <c r="J84" i="33"/>
  <c r="J100" i="33" s="1"/>
  <c r="I84" i="33"/>
  <c r="I100" i="33" s="1"/>
  <c r="H84" i="33"/>
  <c r="G5" i="33" s="1"/>
  <c r="G84" i="33"/>
  <c r="G100" i="33" s="1"/>
  <c r="F84" i="33"/>
  <c r="F100" i="33" s="1"/>
  <c r="E84" i="33"/>
  <c r="E100" i="33" s="1"/>
  <c r="D84" i="33"/>
  <c r="D100" i="33" s="1"/>
  <c r="C84" i="33"/>
  <c r="C100" i="33" s="1"/>
  <c r="AN83" i="33"/>
  <c r="AI83" i="33"/>
  <c r="AH83" i="33"/>
  <c r="AN82" i="33"/>
  <c r="AI82" i="33"/>
  <c r="AH82" i="33"/>
  <c r="AN81" i="33"/>
  <c r="AI81" i="33"/>
  <c r="AH81" i="33"/>
  <c r="AI80" i="33"/>
  <c r="AH80" i="33"/>
  <c r="AI79" i="33"/>
  <c r="AH79" i="33"/>
  <c r="AI78" i="33"/>
  <c r="AH78" i="33"/>
  <c r="AI77" i="33"/>
  <c r="AH77" i="33"/>
  <c r="AI76" i="33"/>
  <c r="AH76" i="33"/>
  <c r="AI75" i="33"/>
  <c r="AH75" i="33"/>
  <c r="AI74" i="33"/>
  <c r="AH74" i="33"/>
  <c r="AI73" i="33"/>
  <c r="AH73" i="33"/>
  <c r="AG72" i="33"/>
  <c r="AF72" i="33"/>
  <c r="AE72" i="33"/>
  <c r="AD72" i="33"/>
  <c r="AC72" i="33"/>
  <c r="AB72" i="33"/>
  <c r="Z72" i="33"/>
  <c r="Y72" i="33"/>
  <c r="X72" i="33"/>
  <c r="W72" i="33"/>
  <c r="V72" i="33"/>
  <c r="U72" i="33"/>
  <c r="T72" i="33"/>
  <c r="S72" i="33"/>
  <c r="R72" i="33"/>
  <c r="Q72" i="33"/>
  <c r="N72" i="33"/>
  <c r="M72" i="33"/>
  <c r="AI71" i="33"/>
  <c r="AH71" i="33"/>
  <c r="AI70" i="33"/>
  <c r="AH70" i="33"/>
  <c r="AI69" i="33"/>
  <c r="AH69" i="33"/>
  <c r="AF68" i="33"/>
  <c r="AE68" i="33"/>
  <c r="AD68" i="33"/>
  <c r="AC68" i="33"/>
  <c r="AB68" i="33"/>
  <c r="Z68" i="33"/>
  <c r="Y68" i="33"/>
  <c r="X68" i="33"/>
  <c r="W68" i="33"/>
  <c r="V68" i="33"/>
  <c r="U68" i="33"/>
  <c r="T68" i="33"/>
  <c r="S68" i="33"/>
  <c r="R68" i="33"/>
  <c r="Q68" i="33"/>
  <c r="N68" i="33"/>
  <c r="J68" i="33"/>
  <c r="I68" i="33"/>
  <c r="H68" i="33"/>
  <c r="G68" i="33"/>
  <c r="F68" i="33"/>
  <c r="E68" i="33"/>
  <c r="D68" i="33"/>
  <c r="AI67" i="33"/>
  <c r="AH67" i="33"/>
  <c r="AG67" i="33"/>
  <c r="AG68" i="33" s="1"/>
  <c r="AG3" i="33" s="1"/>
  <c r="AI66" i="33"/>
  <c r="AH66" i="33"/>
  <c r="AI65" i="33"/>
  <c r="AH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I56" i="33"/>
  <c r="AH56" i="33"/>
  <c r="AI55" i="33"/>
  <c r="AH55" i="33"/>
  <c r="AG54" i="33"/>
  <c r="AF54" i="33"/>
  <c r="AE54" i="33"/>
  <c r="AD54" i="33"/>
  <c r="AC54" i="33"/>
  <c r="AB54" i="33"/>
  <c r="Z54" i="33"/>
  <c r="Y54" i="33"/>
  <c r="X54" i="33"/>
  <c r="W54" i="33"/>
  <c r="V54" i="33"/>
  <c r="U54" i="33"/>
  <c r="T54" i="33"/>
  <c r="S54" i="33"/>
  <c r="R54" i="33"/>
  <c r="Q54" i="33"/>
  <c r="N54" i="33"/>
  <c r="M54" i="33"/>
  <c r="J54" i="33"/>
  <c r="I54" i="33"/>
  <c r="H54" i="33"/>
  <c r="G54" i="33"/>
  <c r="F54" i="33"/>
  <c r="E54" i="33"/>
  <c r="D54" i="33"/>
  <c r="AI53" i="33"/>
  <c r="AH53" i="33"/>
  <c r="AI52" i="33"/>
  <c r="AH52" i="33"/>
  <c r="AI51" i="33"/>
  <c r="AH51" i="33"/>
  <c r="AG50" i="33"/>
  <c r="AG89" i="33" s="1"/>
  <c r="AF50" i="33"/>
  <c r="AE50" i="33"/>
  <c r="AD50" i="33"/>
  <c r="AC50" i="33"/>
  <c r="AB50" i="33"/>
  <c r="Z50" i="33"/>
  <c r="Y50" i="33"/>
  <c r="X50" i="33"/>
  <c r="W50" i="33"/>
  <c r="V50" i="33"/>
  <c r="U50" i="33"/>
  <c r="T50" i="33"/>
  <c r="S50" i="33"/>
  <c r="R50" i="33"/>
  <c r="Q50" i="33"/>
  <c r="N50" i="33"/>
  <c r="M50" i="33"/>
  <c r="I50" i="33"/>
  <c r="H50" i="33"/>
  <c r="G50" i="33"/>
  <c r="F50" i="33"/>
  <c r="E50" i="33"/>
  <c r="D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Z5" i="33"/>
  <c r="S5" i="33"/>
  <c r="O5" i="33"/>
  <c r="N5" i="33"/>
  <c r="AG4" i="33"/>
  <c r="K4" i="33"/>
  <c r="E4" i="33"/>
  <c r="H4" i="33" s="1"/>
  <c r="B4" i="33"/>
  <c r="D246" i="33" s="1"/>
  <c r="AF113" i="32"/>
  <c r="AF49" i="32"/>
  <c r="AF50" i="32"/>
  <c r="AF54" i="32"/>
  <c r="AF68" i="32"/>
  <c r="AF72" i="32"/>
  <c r="AE113" i="32"/>
  <c r="AE50" i="32"/>
  <c r="AE54" i="32"/>
  <c r="AC100" i="32"/>
  <c r="AA110" i="32"/>
  <c r="AA99" i="32"/>
  <c r="AA88" i="32"/>
  <c r="AA84" i="32"/>
  <c r="AA89" i="32" s="1"/>
  <c r="AA91" i="32" s="1"/>
  <c r="AA92" i="32" s="1"/>
  <c r="AA109" i="32" s="1"/>
  <c r="AA72" i="32"/>
  <c r="AA68" i="32"/>
  <c r="AA54" i="32"/>
  <c r="AA50" i="32"/>
  <c r="X113" i="32"/>
  <c r="W113" i="32"/>
  <c r="AE5" i="33" l="1"/>
  <c r="AF89" i="33"/>
  <c r="AF91" i="33" s="1"/>
  <c r="AX249" i="33" s="1"/>
  <c r="AD5" i="33"/>
  <c r="AE89" i="33"/>
  <c r="AE91" i="33" s="1"/>
  <c r="AW249" i="33" s="1"/>
  <c r="AC5" i="33"/>
  <c r="AD89" i="33"/>
  <c r="AD91" i="33" s="1"/>
  <c r="AD92" i="33" s="1"/>
  <c r="AB5" i="33"/>
  <c r="AC89" i="33"/>
  <c r="AC91" i="33" s="1"/>
  <c r="AC92" i="33" s="1"/>
  <c r="AA5" i="33"/>
  <c r="AB89" i="33"/>
  <c r="AB91" i="33" s="1"/>
  <c r="Z89" i="33"/>
  <c r="Z91" i="33" s="1"/>
  <c r="Z92" i="33" s="1"/>
  <c r="W5" i="33"/>
  <c r="Y89" i="33"/>
  <c r="Y91" i="33" s="1"/>
  <c r="Y7" i="33" s="1"/>
  <c r="V5" i="33"/>
  <c r="X89" i="33"/>
  <c r="X91" i="33" s="1"/>
  <c r="X7" i="33" s="1"/>
  <c r="W89" i="33"/>
  <c r="W91" i="33" s="1"/>
  <c r="W7" i="33" s="1"/>
  <c r="U5" i="33"/>
  <c r="T5" i="33"/>
  <c r="U89" i="33"/>
  <c r="U91" i="33" s="1"/>
  <c r="AM249" i="33" s="1"/>
  <c r="V89" i="33"/>
  <c r="V91" i="33" s="1"/>
  <c r="AN249" i="33" s="1"/>
  <c r="T89" i="33"/>
  <c r="T91" i="33" s="1"/>
  <c r="AL249" i="33" s="1"/>
  <c r="R5" i="33"/>
  <c r="S89" i="33"/>
  <c r="S91" i="33" s="1"/>
  <c r="AK249" i="33" s="1"/>
  <c r="R89" i="33"/>
  <c r="R91" i="33" s="1"/>
  <c r="R7" i="33" s="1"/>
  <c r="Q89" i="33"/>
  <c r="Q91" i="33" s="1"/>
  <c r="Q7" i="33" s="1"/>
  <c r="M5" i="33"/>
  <c r="N89" i="33"/>
  <c r="N91" i="33" s="1"/>
  <c r="N7" i="33" s="1"/>
  <c r="L5" i="33"/>
  <c r="M89" i="33"/>
  <c r="M91" i="33" s="1"/>
  <c r="AI54" i="33"/>
  <c r="J5" i="33"/>
  <c r="I89" i="33"/>
  <c r="I91" i="33" s="1"/>
  <c r="I7" i="33" s="1"/>
  <c r="H89" i="33"/>
  <c r="H91" i="33" s="1"/>
  <c r="Z249" i="33" s="1"/>
  <c r="H100" i="33"/>
  <c r="AH54" i="33"/>
  <c r="F5" i="33"/>
  <c r="J89" i="33"/>
  <c r="J91" i="33" s="1"/>
  <c r="J7" i="33" s="1"/>
  <c r="K89" i="33"/>
  <c r="K91" i="33" s="1"/>
  <c r="K7" i="33" s="1"/>
  <c r="L89" i="33"/>
  <c r="L91" i="33" s="1"/>
  <c r="L7" i="33" s="1"/>
  <c r="E5" i="33"/>
  <c r="D5" i="33"/>
  <c r="E89" i="33"/>
  <c r="E91" i="33" s="1"/>
  <c r="W249" i="33" s="1"/>
  <c r="F89" i="33"/>
  <c r="F91" i="33" s="1"/>
  <c r="X249" i="33" s="1"/>
  <c r="G89" i="33"/>
  <c r="G91" i="33" s="1"/>
  <c r="AI68" i="33"/>
  <c r="D89" i="33"/>
  <c r="D91" i="33" s="1"/>
  <c r="D7" i="33" s="1"/>
  <c r="AH68" i="33"/>
  <c r="B5" i="33"/>
  <c r="C89" i="33"/>
  <c r="C91" i="33" s="1"/>
  <c r="C92" i="33" s="1"/>
  <c r="AH72" i="33"/>
  <c r="B89" i="33"/>
  <c r="B91" i="33" s="1"/>
  <c r="B92" i="33" s="1"/>
  <c r="B100" i="33"/>
  <c r="S246" i="33"/>
  <c r="AA7" i="33"/>
  <c r="AS249" i="33"/>
  <c r="D92" i="33"/>
  <c r="V249" i="33"/>
  <c r="AB92" i="33"/>
  <c r="AT249" i="33"/>
  <c r="AB7" i="33"/>
  <c r="M92" i="33"/>
  <c r="AE249" i="33"/>
  <c r="M7" i="33"/>
  <c r="J232" i="33"/>
  <c r="K232" i="33" s="1"/>
  <c r="L232" i="33" s="1"/>
  <c r="M232" i="33" s="1"/>
  <c r="N232" i="33" s="1"/>
  <c r="O232" i="33" s="1"/>
  <c r="P232" i="33" s="1"/>
  <c r="AG249" i="33"/>
  <c r="O7" i="33"/>
  <c r="H92" i="33"/>
  <c r="H7" i="33"/>
  <c r="P7" i="33"/>
  <c r="AH249" i="33"/>
  <c r="E92" i="33"/>
  <c r="E7" i="33"/>
  <c r="AI72" i="33"/>
  <c r="D110" i="33"/>
  <c r="H5" i="33"/>
  <c r="X5" i="33"/>
  <c r="AH84" i="33"/>
  <c r="Q100" i="33"/>
  <c r="AH100" i="33" s="1"/>
  <c r="F234" i="33"/>
  <c r="I5" i="33"/>
  <c r="Q5" i="33"/>
  <c r="Y5" i="33"/>
  <c r="AH50" i="33"/>
  <c r="AI84" i="33"/>
  <c r="E229" i="33"/>
  <c r="AI50" i="33"/>
  <c r="AG2" i="33"/>
  <c r="AG6" i="33" s="1"/>
  <c r="C5" i="33"/>
  <c r="K5" i="33"/>
  <c r="B235" i="33"/>
  <c r="AA100" i="32"/>
  <c r="S113" i="32"/>
  <c r="Q50" i="32"/>
  <c r="Q54" i="32"/>
  <c r="Q68" i="32"/>
  <c r="Q72" i="32"/>
  <c r="Q84" i="32"/>
  <c r="Q100" i="32" s="1"/>
  <c r="Q110" i="32"/>
  <c r="P50" i="32"/>
  <c r="P54" i="32"/>
  <c r="P68" i="32"/>
  <c r="P72" i="32"/>
  <c r="P84" i="32"/>
  <c r="P100" i="32" s="1"/>
  <c r="P110" i="32"/>
  <c r="AF92" i="33" l="1"/>
  <c r="AF7" i="33"/>
  <c r="AE92" i="33"/>
  <c r="AE7" i="33"/>
  <c r="AD7" i="33"/>
  <c r="AV249" i="33"/>
  <c r="AC7" i="33"/>
  <c r="AU249" i="33"/>
  <c r="Z7" i="33"/>
  <c r="AR249" i="33"/>
  <c r="Y92" i="33"/>
  <c r="AQ249" i="33"/>
  <c r="AP249" i="33"/>
  <c r="X92" i="33"/>
  <c r="AO249" i="33"/>
  <c r="W92" i="33"/>
  <c r="U7" i="33"/>
  <c r="U92" i="33"/>
  <c r="V92" i="33"/>
  <c r="V7" i="33"/>
  <c r="T92" i="33"/>
  <c r="T7" i="33"/>
  <c r="S92" i="33"/>
  <c r="S7" i="33"/>
  <c r="AJ249" i="33"/>
  <c r="R92" i="33"/>
  <c r="AI249" i="33"/>
  <c r="Q92" i="33"/>
  <c r="N92" i="33"/>
  <c r="AF249" i="33"/>
  <c r="AC249" i="33"/>
  <c r="AA249" i="33"/>
  <c r="I92" i="33"/>
  <c r="AD249" i="33"/>
  <c r="K92" i="33"/>
  <c r="L92" i="33"/>
  <c r="AB249" i="33"/>
  <c r="J92" i="33"/>
  <c r="B244" i="33"/>
  <c r="C244" i="33"/>
  <c r="G7" i="33"/>
  <c r="Y249" i="33"/>
  <c r="F92" i="33"/>
  <c r="G92" i="33"/>
  <c r="F7" i="33"/>
  <c r="C7" i="33"/>
  <c r="AH89" i="33"/>
  <c r="AI89" i="33"/>
  <c r="U249" i="33"/>
  <c r="E270" i="33"/>
  <c r="G234" i="33"/>
  <c r="B7" i="33"/>
  <c r="AI91" i="33"/>
  <c r="T249" i="33"/>
  <c r="AH91" i="33"/>
  <c r="E110" i="33"/>
  <c r="F229" i="33"/>
  <c r="E235" i="33"/>
  <c r="AI100" i="33"/>
  <c r="Q89" i="32"/>
  <c r="Q91" i="32" s="1"/>
  <c r="Q92" i="32" s="1"/>
  <c r="P89" i="32"/>
  <c r="P91" i="32" s="1"/>
  <c r="P92" i="32" s="1"/>
  <c r="K6" i="33" l="1"/>
  <c r="A7" i="33"/>
  <c r="AI92" i="33"/>
  <c r="AH92" i="33"/>
  <c r="G229" i="33"/>
  <c r="F110" i="33"/>
  <c r="F235" i="33"/>
  <c r="F270" i="33"/>
  <c r="H234" i="33"/>
  <c r="H229" i="33" l="1"/>
  <c r="G110" i="33"/>
  <c r="G235" i="33"/>
  <c r="G270" i="33"/>
  <c r="I234" i="33"/>
  <c r="H270" i="33" l="1"/>
  <c r="J234" i="33"/>
  <c r="I229" i="33"/>
  <c r="H110" i="33"/>
  <c r="H235" i="33"/>
  <c r="I110" i="33" l="1"/>
  <c r="J229" i="33"/>
  <c r="K234" i="33"/>
  <c r="I270" i="33"/>
  <c r="J270" i="33" l="1"/>
  <c r="L234" i="33"/>
  <c r="J110" i="33"/>
  <c r="K229" i="33"/>
  <c r="K110" i="33" l="1"/>
  <c r="L229" i="33"/>
  <c r="M234" i="33"/>
  <c r="K270" i="33"/>
  <c r="N234" i="33" l="1"/>
  <c r="L270" i="33"/>
  <c r="M229" i="33"/>
  <c r="L110" i="33"/>
  <c r="N229" i="33" l="1"/>
  <c r="M110" i="33"/>
  <c r="M270" i="33"/>
  <c r="O234" i="33"/>
  <c r="N270" i="33" l="1"/>
  <c r="P234" i="33"/>
  <c r="O270" i="33" s="1"/>
  <c r="N110" i="33"/>
  <c r="O229" i="33"/>
  <c r="P229" i="33" l="1"/>
  <c r="AI110" i="33" l="1"/>
  <c r="AH110" i="33"/>
  <c r="L113" i="32" l="1"/>
  <c r="K113" i="32"/>
  <c r="J113" i="32"/>
  <c r="I113" i="32"/>
  <c r="E113" i="32"/>
  <c r="F113" i="32"/>
  <c r="D113" i="32"/>
  <c r="C50" i="32"/>
  <c r="D50" i="32"/>
  <c r="C54" i="32"/>
  <c r="D54" i="32"/>
  <c r="C68" i="32"/>
  <c r="D68" i="32"/>
  <c r="C72" i="32"/>
  <c r="D72" i="32"/>
  <c r="C84" i="32"/>
  <c r="D84" i="32"/>
  <c r="D100" i="32" s="1"/>
  <c r="B113" i="32"/>
  <c r="B110" i="32"/>
  <c r="B84" i="32"/>
  <c r="B100" i="32" s="1"/>
  <c r="B72" i="32"/>
  <c r="B68" i="32"/>
  <c r="B54" i="32"/>
  <c r="B50" i="32"/>
  <c r="AF274" i="32"/>
  <c r="AE274" i="32"/>
  <c r="AD274" i="32"/>
  <c r="AC274" i="32"/>
  <c r="AB274" i="32"/>
  <c r="AA274" i="32"/>
  <c r="Z274" i="32"/>
  <c r="Y274" i="32"/>
  <c r="X274" i="32"/>
  <c r="W274" i="32"/>
  <c r="V274" i="32"/>
  <c r="U274" i="32"/>
  <c r="T274" i="32"/>
  <c r="S274" i="32"/>
  <c r="R274" i="32"/>
  <c r="Q274" i="32"/>
  <c r="P274" i="32"/>
  <c r="O274" i="32"/>
  <c r="N274" i="32"/>
  <c r="M274" i="32"/>
  <c r="L274" i="32"/>
  <c r="K274" i="32"/>
  <c r="J274" i="32"/>
  <c r="I274" i="32"/>
  <c r="H274" i="32"/>
  <c r="G274" i="32"/>
  <c r="F274" i="32"/>
  <c r="E274" i="32"/>
  <c r="D274" i="32"/>
  <c r="C274" i="32"/>
  <c r="B274" i="32"/>
  <c r="A274" i="32"/>
  <c r="AF273" i="32"/>
  <c r="AE273" i="32"/>
  <c r="AD273" i="32"/>
  <c r="AC273" i="32"/>
  <c r="AB273" i="32"/>
  <c r="AA273" i="32"/>
  <c r="Z273" i="32"/>
  <c r="Y273" i="32"/>
  <c r="X273" i="32"/>
  <c r="W273" i="32"/>
  <c r="V273" i="32"/>
  <c r="U273" i="32"/>
  <c r="T273" i="32"/>
  <c r="S273" i="32"/>
  <c r="R273" i="32"/>
  <c r="Q273" i="32"/>
  <c r="P273" i="32"/>
  <c r="O273" i="32"/>
  <c r="N273" i="32"/>
  <c r="M273" i="32"/>
  <c r="L273" i="32"/>
  <c r="K273" i="32"/>
  <c r="J273" i="32"/>
  <c r="I273" i="32"/>
  <c r="H273" i="32"/>
  <c r="G273" i="32"/>
  <c r="F273" i="32"/>
  <c r="E273" i="32"/>
  <c r="D273" i="32"/>
  <c r="C273" i="32"/>
  <c r="B273" i="32"/>
  <c r="A273" i="32"/>
  <c r="AF272" i="32"/>
  <c r="AE272" i="32"/>
  <c r="AD272" i="32"/>
  <c r="AC272" i="32"/>
  <c r="AB272" i="32"/>
  <c r="AA272" i="32"/>
  <c r="Z272" i="32"/>
  <c r="Y272" i="32"/>
  <c r="X272" i="32"/>
  <c r="W272" i="32"/>
  <c r="V272" i="32"/>
  <c r="U272" i="32"/>
  <c r="T272" i="32"/>
  <c r="S272" i="32"/>
  <c r="R272" i="32"/>
  <c r="Q272" i="32"/>
  <c r="P272" i="32"/>
  <c r="O272" i="32"/>
  <c r="N272" i="32"/>
  <c r="M272" i="32"/>
  <c r="L272" i="32"/>
  <c r="K272" i="32"/>
  <c r="J272" i="32"/>
  <c r="I272" i="32"/>
  <c r="H272" i="32"/>
  <c r="G272" i="32"/>
  <c r="F272" i="32"/>
  <c r="E272" i="32"/>
  <c r="D272" i="32"/>
  <c r="C272" i="32"/>
  <c r="B272" i="32"/>
  <c r="A272" i="32"/>
  <c r="AF271" i="32"/>
  <c r="AE271" i="32"/>
  <c r="AD271" i="32"/>
  <c r="AC271" i="32"/>
  <c r="AB271" i="32"/>
  <c r="AA271" i="32"/>
  <c r="Z271" i="32"/>
  <c r="Y271" i="32"/>
  <c r="X271" i="32"/>
  <c r="W271" i="32"/>
  <c r="V271" i="32"/>
  <c r="U271" i="32"/>
  <c r="T271" i="32"/>
  <c r="S271" i="32"/>
  <c r="R271" i="32"/>
  <c r="Q271" i="32"/>
  <c r="P271" i="32"/>
  <c r="O271" i="32"/>
  <c r="N271" i="32"/>
  <c r="M271" i="32"/>
  <c r="L271" i="32"/>
  <c r="K271" i="32"/>
  <c r="J271" i="32"/>
  <c r="I271" i="32"/>
  <c r="H271" i="32"/>
  <c r="G271" i="32"/>
  <c r="F271" i="32"/>
  <c r="E271" i="32"/>
  <c r="D271" i="32"/>
  <c r="C271" i="32"/>
  <c r="B271" i="32"/>
  <c r="A271" i="32"/>
  <c r="AE270" i="32"/>
  <c r="AD270" i="32"/>
  <c r="AC270" i="32"/>
  <c r="AB270" i="32"/>
  <c r="AA270" i="32"/>
  <c r="Z270" i="32"/>
  <c r="Y270" i="32"/>
  <c r="X270" i="32"/>
  <c r="W270" i="32"/>
  <c r="V270" i="32"/>
  <c r="U270" i="32"/>
  <c r="T270" i="32"/>
  <c r="S270" i="32"/>
  <c r="R270" i="32"/>
  <c r="Q270" i="32"/>
  <c r="P270" i="32"/>
  <c r="B270" i="32"/>
  <c r="S245" i="32"/>
  <c r="AG235" i="32"/>
  <c r="AF235" i="32"/>
  <c r="AE235" i="32"/>
  <c r="AD235" i="32"/>
  <c r="AC235" i="32"/>
  <c r="AB235" i="32"/>
  <c r="AA235" i="32"/>
  <c r="Z235" i="32"/>
  <c r="Y235" i="32"/>
  <c r="X235" i="32"/>
  <c r="W235" i="32"/>
  <c r="V235" i="32"/>
  <c r="U235" i="32"/>
  <c r="T235" i="32"/>
  <c r="S235" i="32"/>
  <c r="R235" i="32"/>
  <c r="Q235" i="32"/>
  <c r="C235" i="32"/>
  <c r="D234" i="32"/>
  <c r="C270" i="32" s="1"/>
  <c r="B234" i="32"/>
  <c r="AF270" i="32" s="1"/>
  <c r="E233" i="32"/>
  <c r="F233" i="32" s="1"/>
  <c r="G233" i="32" s="1"/>
  <c r="H233" i="32" s="1"/>
  <c r="I233" i="32" s="1"/>
  <c r="J233" i="32" s="1"/>
  <c r="K233" i="32" s="1"/>
  <c r="L233" i="32" s="1"/>
  <c r="M233" i="32" s="1"/>
  <c r="N233" i="32" s="1"/>
  <c r="O233" i="32" s="1"/>
  <c r="P233" i="32" s="1"/>
  <c r="D233" i="32"/>
  <c r="B233" i="32"/>
  <c r="D232" i="32"/>
  <c r="E232" i="32" s="1"/>
  <c r="F232" i="32" s="1"/>
  <c r="G232" i="32" s="1"/>
  <c r="H232" i="32" s="1"/>
  <c r="I232" i="32" s="1"/>
  <c r="B232" i="32"/>
  <c r="F231" i="32"/>
  <c r="G231" i="32" s="1"/>
  <c r="H231" i="32" s="1"/>
  <c r="E231" i="32"/>
  <c r="D231" i="32"/>
  <c r="B231" i="32"/>
  <c r="D230" i="32"/>
  <c r="D235" i="32" s="1"/>
  <c r="B230" i="32"/>
  <c r="E229" i="32"/>
  <c r="F229" i="32" s="1"/>
  <c r="D229" i="32"/>
  <c r="B229" i="32"/>
  <c r="AG227" i="32"/>
  <c r="AF227" i="32"/>
  <c r="AE227" i="32"/>
  <c r="AD227" i="32"/>
  <c r="AC227" i="32"/>
  <c r="AB227" i="32"/>
  <c r="AA227" i="32"/>
  <c r="Z227" i="32"/>
  <c r="Y227" i="32"/>
  <c r="X227" i="32"/>
  <c r="W227" i="32"/>
  <c r="V227" i="32"/>
  <c r="U227" i="32"/>
  <c r="T227" i="32"/>
  <c r="S227" i="32"/>
  <c r="R227" i="32"/>
  <c r="Q227" i="32"/>
  <c r="P227" i="32"/>
  <c r="O227" i="32"/>
  <c r="N227" i="32"/>
  <c r="M227" i="32"/>
  <c r="L227" i="32"/>
  <c r="K227" i="32"/>
  <c r="J227" i="32"/>
  <c r="I227" i="32"/>
  <c r="H227" i="32"/>
  <c r="G227" i="32"/>
  <c r="F227" i="32"/>
  <c r="E227" i="32"/>
  <c r="D227" i="32"/>
  <c r="C227" i="32"/>
  <c r="B227" i="32"/>
  <c r="AI120" i="32"/>
  <c r="AH120" i="32"/>
  <c r="AI119" i="32"/>
  <c r="AH119" i="32"/>
  <c r="AI118" i="32"/>
  <c r="AH118" i="32"/>
  <c r="AI117" i="32"/>
  <c r="AH117" i="32"/>
  <c r="AI116" i="32"/>
  <c r="AH116" i="32"/>
  <c r="AI115" i="32"/>
  <c r="AH115" i="32"/>
  <c r="AI114" i="32"/>
  <c r="AH114" i="32"/>
  <c r="AI113" i="32"/>
  <c r="AH113" i="32"/>
  <c r="AI112" i="32"/>
  <c r="AH112" i="32"/>
  <c r="AI111" i="32"/>
  <c r="AH111" i="32"/>
  <c r="AF110" i="32"/>
  <c r="AE110" i="32"/>
  <c r="AC110" i="32"/>
  <c r="AB110" i="32"/>
  <c r="Z110" i="32"/>
  <c r="Y110" i="32"/>
  <c r="X110" i="32"/>
  <c r="W110" i="32"/>
  <c r="V110" i="32"/>
  <c r="U110" i="32"/>
  <c r="T110" i="32"/>
  <c r="S110" i="32"/>
  <c r="R110" i="32"/>
  <c r="D110" i="32"/>
  <c r="C110" i="32"/>
  <c r="AI109" i="32"/>
  <c r="AH109" i="32"/>
  <c r="AI108" i="32"/>
  <c r="AH108" i="32"/>
  <c r="AI107" i="32"/>
  <c r="AH107" i="32"/>
  <c r="AI106" i="32"/>
  <c r="AH106" i="32"/>
  <c r="AI105" i="32"/>
  <c r="AH105" i="32"/>
  <c r="AI104" i="32"/>
  <c r="AH104" i="32"/>
  <c r="AI103" i="32"/>
  <c r="AH103" i="32"/>
  <c r="AI102" i="32"/>
  <c r="AH102" i="32"/>
  <c r="AI101" i="32"/>
  <c r="AH101" i="32"/>
  <c r="AI99" i="32"/>
  <c r="AH99" i="32"/>
  <c r="AI98" i="32"/>
  <c r="AH98" i="32"/>
  <c r="AI97" i="32"/>
  <c r="AH97" i="32"/>
  <c r="AI96" i="32"/>
  <c r="AH96" i="32"/>
  <c r="AI95" i="32"/>
  <c r="AH95" i="32"/>
  <c r="AI94" i="32"/>
  <c r="AH94" i="32"/>
  <c r="AI93" i="32"/>
  <c r="AH93" i="32"/>
  <c r="AI90" i="32"/>
  <c r="AH90" i="32"/>
  <c r="AI88" i="32"/>
  <c r="AH88" i="32"/>
  <c r="AG88" i="32"/>
  <c r="AG91" i="32" s="1"/>
  <c r="AI87" i="32"/>
  <c r="AH87" i="32"/>
  <c r="AI86" i="32"/>
  <c r="AH86" i="32"/>
  <c r="AI85" i="32"/>
  <c r="AH85" i="32"/>
  <c r="AN84" i="32"/>
  <c r="AG84" i="32"/>
  <c r="AF84" i="32"/>
  <c r="AF89" i="32" s="1"/>
  <c r="AF91" i="32" s="1"/>
  <c r="AE84" i="32"/>
  <c r="AE100" i="32" s="1"/>
  <c r="AD84" i="32"/>
  <c r="AC5" i="32" s="1"/>
  <c r="AC84" i="32"/>
  <c r="AB84" i="32"/>
  <c r="AB100" i="32" s="1"/>
  <c r="Z5" i="32"/>
  <c r="Z84" i="32"/>
  <c r="Y5" i="32" s="1"/>
  <c r="Y84" i="32"/>
  <c r="Y100" i="32" s="1"/>
  <c r="X84" i="32"/>
  <c r="W84" i="32"/>
  <c r="W100" i="32" s="1"/>
  <c r="V84" i="32"/>
  <c r="V100" i="32" s="1"/>
  <c r="U84" i="32"/>
  <c r="U100" i="32" s="1"/>
  <c r="T84" i="32"/>
  <c r="T100" i="32" s="1"/>
  <c r="S84" i="32"/>
  <c r="R5" i="32" s="1"/>
  <c r="R84" i="32"/>
  <c r="R100" i="32" s="1"/>
  <c r="O84" i="32"/>
  <c r="O100" i="32" s="1"/>
  <c r="N84" i="32"/>
  <c r="N100" i="32" s="1"/>
  <c r="M84" i="32"/>
  <c r="M100" i="32" s="1"/>
  <c r="L84" i="32"/>
  <c r="L100" i="32" s="1"/>
  <c r="K84" i="32"/>
  <c r="J84" i="32"/>
  <c r="I5" i="32" s="1"/>
  <c r="I84" i="32"/>
  <c r="I100" i="32" s="1"/>
  <c r="H84" i="32"/>
  <c r="G84" i="32"/>
  <c r="F84" i="32"/>
  <c r="E5" i="32" s="1"/>
  <c r="E84" i="32"/>
  <c r="E100" i="32" s="1"/>
  <c r="AI83" i="32"/>
  <c r="AH83" i="32"/>
  <c r="AN82" i="32"/>
  <c r="AI82" i="32"/>
  <c r="AH82" i="32"/>
  <c r="AN81" i="32"/>
  <c r="AN83" i="32" s="1"/>
  <c r="AI81" i="32"/>
  <c r="AH81" i="32"/>
  <c r="AI80" i="32"/>
  <c r="AH80" i="32"/>
  <c r="AI79" i="32"/>
  <c r="AH79" i="32"/>
  <c r="AI78" i="32"/>
  <c r="AH78" i="32"/>
  <c r="AI77" i="32"/>
  <c r="AH77" i="32"/>
  <c r="AI76" i="32"/>
  <c r="AH76" i="32"/>
  <c r="AI75" i="32"/>
  <c r="AH75" i="32"/>
  <c r="AI74" i="32"/>
  <c r="AH74" i="32"/>
  <c r="AI73" i="32"/>
  <c r="AH73" i="32"/>
  <c r="AG72" i="32"/>
  <c r="AE72" i="32"/>
  <c r="AD72" i="32"/>
  <c r="AC72" i="32"/>
  <c r="AB72" i="32"/>
  <c r="Z72" i="32"/>
  <c r="Y72" i="32"/>
  <c r="X72" i="32"/>
  <c r="W72" i="32"/>
  <c r="V72" i="32"/>
  <c r="U72" i="32"/>
  <c r="T72" i="32"/>
  <c r="R72" i="32"/>
  <c r="O72" i="32"/>
  <c r="N72" i="32"/>
  <c r="M72" i="32"/>
  <c r="L72" i="32"/>
  <c r="AI71" i="32"/>
  <c r="AH71" i="32"/>
  <c r="AI70" i="32"/>
  <c r="AH70" i="32"/>
  <c r="AI69" i="32"/>
  <c r="AH69" i="32"/>
  <c r="AG68" i="32"/>
  <c r="AG3" i="32" s="1"/>
  <c r="AG6" i="32" s="1"/>
  <c r="AE68" i="32"/>
  <c r="AD68" i="32"/>
  <c r="AC68" i="32"/>
  <c r="AB68" i="32"/>
  <c r="Z68" i="32"/>
  <c r="Y68" i="32"/>
  <c r="X68" i="32"/>
  <c r="W68" i="32"/>
  <c r="V68" i="32"/>
  <c r="U68" i="32"/>
  <c r="T68" i="32"/>
  <c r="S68" i="32"/>
  <c r="R68" i="32"/>
  <c r="O68" i="32"/>
  <c r="N68" i="32"/>
  <c r="M68" i="32"/>
  <c r="L68" i="32"/>
  <c r="K68" i="32"/>
  <c r="J68" i="32"/>
  <c r="I68" i="32"/>
  <c r="H68" i="32"/>
  <c r="G68" i="32"/>
  <c r="F68" i="32"/>
  <c r="E68" i="32"/>
  <c r="AI67" i="32"/>
  <c r="AH67" i="32"/>
  <c r="AG67" i="32"/>
  <c r="AI66" i="32"/>
  <c r="AH66" i="32"/>
  <c r="AI65" i="32"/>
  <c r="AH65" i="32"/>
  <c r="AI64" i="32"/>
  <c r="AH64" i="32"/>
  <c r="AI63" i="32"/>
  <c r="AH63" i="32"/>
  <c r="AI62" i="32"/>
  <c r="AH62" i="32"/>
  <c r="AI61" i="32"/>
  <c r="AH61" i="32"/>
  <c r="AI60" i="32"/>
  <c r="AH60" i="32"/>
  <c r="AI59" i="32"/>
  <c r="AH59" i="32"/>
  <c r="AI58" i="32"/>
  <c r="AH58" i="32"/>
  <c r="AI57" i="32"/>
  <c r="AH57" i="32"/>
  <c r="AI56" i="32"/>
  <c r="AH56" i="32"/>
  <c r="AI55" i="32"/>
  <c r="AH55" i="32"/>
  <c r="AG54" i="32"/>
  <c r="AD54" i="32"/>
  <c r="AC54" i="32"/>
  <c r="AB54" i="32"/>
  <c r="Z54" i="32"/>
  <c r="Y54" i="32"/>
  <c r="X54" i="32"/>
  <c r="W54" i="32"/>
  <c r="V54" i="32"/>
  <c r="U54" i="32"/>
  <c r="T54" i="32"/>
  <c r="S54" i="32"/>
  <c r="R54" i="32"/>
  <c r="O54" i="32"/>
  <c r="N54" i="32"/>
  <c r="M54" i="32"/>
  <c r="L54" i="32"/>
  <c r="K54" i="32"/>
  <c r="J54" i="32"/>
  <c r="I54" i="32"/>
  <c r="H54" i="32"/>
  <c r="G54" i="32"/>
  <c r="F54" i="32"/>
  <c r="E54" i="32"/>
  <c r="AI53" i="32"/>
  <c r="AH53" i="32"/>
  <c r="AI52" i="32"/>
  <c r="AH52" i="32"/>
  <c r="AI51" i="32"/>
  <c r="AH51" i="32"/>
  <c r="AG50" i="32"/>
  <c r="AG89" i="32" s="1"/>
  <c r="AD50" i="32"/>
  <c r="AC50" i="32"/>
  <c r="AB50" i="32"/>
  <c r="Z50" i="32"/>
  <c r="Y50" i="32"/>
  <c r="X50" i="32"/>
  <c r="W50" i="32"/>
  <c r="V50" i="32"/>
  <c r="U50" i="32"/>
  <c r="T50" i="32"/>
  <c r="S50" i="32"/>
  <c r="R50" i="32"/>
  <c r="O50" i="32"/>
  <c r="N50" i="32"/>
  <c r="M50" i="32"/>
  <c r="L50" i="32"/>
  <c r="K50" i="32"/>
  <c r="J50" i="32"/>
  <c r="I50" i="32"/>
  <c r="H50" i="32"/>
  <c r="G50" i="32"/>
  <c r="F50" i="32"/>
  <c r="E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I38" i="32"/>
  <c r="AH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P5" i="32"/>
  <c r="AG4" i="32"/>
  <c r="K4" i="32"/>
  <c r="E4" i="32"/>
  <c r="H4" i="32" s="1"/>
  <c r="B4" i="32"/>
  <c r="S246" i="32" s="1"/>
  <c r="AG2" i="32"/>
  <c r="AI9" i="31"/>
  <c r="AI8" i="31"/>
  <c r="AF113" i="31"/>
  <c r="AF50" i="31"/>
  <c r="AE113" i="31"/>
  <c r="AE50" i="31"/>
  <c r="AE54" i="31"/>
  <c r="AE68" i="31"/>
  <c r="AD113" i="31"/>
  <c r="AC113" i="31"/>
  <c r="AC50" i="31"/>
  <c r="AC54" i="31"/>
  <c r="AC68" i="31"/>
  <c r="AC72" i="31"/>
  <c r="AC84" i="31"/>
  <c r="AC100" i="31" s="1"/>
  <c r="AB113" i="31"/>
  <c r="AB23" i="31"/>
  <c r="AB50" i="31"/>
  <c r="AB54" i="31"/>
  <c r="AE89" i="32" l="1"/>
  <c r="AE91" i="32" s="1"/>
  <c r="AW249" i="32" s="1"/>
  <c r="AD5" i="32"/>
  <c r="AD100" i="32"/>
  <c r="AD89" i="32"/>
  <c r="AD91" i="32" s="1"/>
  <c r="AV249" i="32" s="1"/>
  <c r="AB5" i="32"/>
  <c r="AC89" i="32"/>
  <c r="AC91" i="32" s="1"/>
  <c r="AC92" i="32" s="1"/>
  <c r="AB89" i="32"/>
  <c r="AB91" i="32" s="1"/>
  <c r="AB92" i="32" s="1"/>
  <c r="Z100" i="32"/>
  <c r="X5" i="32"/>
  <c r="Z89" i="32"/>
  <c r="Z91" i="32" s="1"/>
  <c r="Z7" i="32" s="1"/>
  <c r="Y89" i="32"/>
  <c r="Y91" i="32" s="1"/>
  <c r="Y92" i="32" s="1"/>
  <c r="X89" i="32"/>
  <c r="X91" i="32" s="1"/>
  <c r="X7" i="32" s="1"/>
  <c r="V5" i="32"/>
  <c r="W89" i="32"/>
  <c r="W91" i="32" s="1"/>
  <c r="AO249" i="32" s="1"/>
  <c r="V89" i="32"/>
  <c r="V91" i="32" s="1"/>
  <c r="V92" i="32" s="1"/>
  <c r="U5" i="32"/>
  <c r="T5" i="32"/>
  <c r="U89" i="32"/>
  <c r="U91" i="32" s="1"/>
  <c r="U92" i="32" s="1"/>
  <c r="T89" i="32"/>
  <c r="T91" i="32" s="1"/>
  <c r="T92" i="32" s="1"/>
  <c r="AI72" i="32"/>
  <c r="S89" i="32"/>
  <c r="S91" i="32" s="1"/>
  <c r="S7" i="32" s="1"/>
  <c r="Q5" i="32"/>
  <c r="R89" i="32"/>
  <c r="R91" i="32" s="1"/>
  <c r="R92" i="32" s="1"/>
  <c r="O89" i="32"/>
  <c r="O91" i="32" s="1"/>
  <c r="AG249" i="32" s="1"/>
  <c r="N5" i="32"/>
  <c r="M5" i="32"/>
  <c r="N89" i="32"/>
  <c r="N91" i="32" s="1"/>
  <c r="AF249" i="32" s="1"/>
  <c r="AH72" i="32"/>
  <c r="L5" i="32"/>
  <c r="M89" i="32"/>
  <c r="M91" i="32" s="1"/>
  <c r="AE249" i="32" s="1"/>
  <c r="AI54" i="32"/>
  <c r="L89" i="32"/>
  <c r="L91" i="32" s="1"/>
  <c r="L92" i="32" s="1"/>
  <c r="K89" i="32"/>
  <c r="K91" i="32" s="1"/>
  <c r="K7" i="32" s="1"/>
  <c r="J89" i="32"/>
  <c r="J91" i="32" s="1"/>
  <c r="J7" i="32" s="1"/>
  <c r="J100" i="32"/>
  <c r="H5" i="32"/>
  <c r="F100" i="32"/>
  <c r="D5" i="32"/>
  <c r="G89" i="32"/>
  <c r="G91" i="32" s="1"/>
  <c r="Y249" i="32" s="1"/>
  <c r="F89" i="32"/>
  <c r="F91" i="32" s="1"/>
  <c r="X249" i="32" s="1"/>
  <c r="I89" i="32"/>
  <c r="I91" i="32" s="1"/>
  <c r="I92" i="32" s="1"/>
  <c r="E89" i="32"/>
  <c r="E91" i="32" s="1"/>
  <c r="E92" i="32" s="1"/>
  <c r="H89" i="32"/>
  <c r="H91" i="32" s="1"/>
  <c r="H92" i="32" s="1"/>
  <c r="C89" i="32"/>
  <c r="C91" i="32" s="1"/>
  <c r="D89" i="32"/>
  <c r="D91" i="32" s="1"/>
  <c r="D92" i="32" s="1"/>
  <c r="AI68" i="32"/>
  <c r="B89" i="32"/>
  <c r="B91" i="32" s="1"/>
  <c r="B92" i="32" s="1"/>
  <c r="AF5" i="32"/>
  <c r="AH84" i="32"/>
  <c r="Q7" i="32"/>
  <c r="AI249" i="32"/>
  <c r="D7" i="32"/>
  <c r="AS249" i="32"/>
  <c r="AA7" i="32"/>
  <c r="P7" i="32"/>
  <c r="AH249" i="32"/>
  <c r="AF7" i="32"/>
  <c r="AF92" i="32"/>
  <c r="AX249" i="32"/>
  <c r="G229" i="32"/>
  <c r="J232" i="32"/>
  <c r="K232" i="32" s="1"/>
  <c r="L232" i="32" s="1"/>
  <c r="M232" i="32" s="1"/>
  <c r="N232" i="32" s="1"/>
  <c r="O232" i="32" s="1"/>
  <c r="P232" i="32" s="1"/>
  <c r="C92" i="32"/>
  <c r="U249" i="32"/>
  <c r="C7" i="32"/>
  <c r="AH68" i="32"/>
  <c r="D246" i="32"/>
  <c r="G5" i="32"/>
  <c r="W5" i="32"/>
  <c r="AE5" i="32"/>
  <c r="H100" i="32"/>
  <c r="X100" i="32"/>
  <c r="AF100" i="32"/>
  <c r="E110" i="32"/>
  <c r="E230" i="32"/>
  <c r="F230" i="32" s="1"/>
  <c r="G230" i="32" s="1"/>
  <c r="H230" i="32" s="1"/>
  <c r="I230" i="32" s="1"/>
  <c r="J230" i="32" s="1"/>
  <c r="K230" i="32" s="1"/>
  <c r="L230" i="32" s="1"/>
  <c r="M230" i="32" s="1"/>
  <c r="N230" i="32" s="1"/>
  <c r="O230" i="32" s="1"/>
  <c r="P230" i="32" s="1"/>
  <c r="E234" i="32"/>
  <c r="F5" i="32"/>
  <c r="G100" i="32"/>
  <c r="E235" i="32"/>
  <c r="O5" i="32"/>
  <c r="C100" i="32"/>
  <c r="K100" i="32"/>
  <c r="S100" i="32"/>
  <c r="AH54" i="32"/>
  <c r="AI84" i="32"/>
  <c r="C5" i="32"/>
  <c r="K5" i="32"/>
  <c r="S5" i="32"/>
  <c r="AA5" i="32"/>
  <c r="B235" i="32"/>
  <c r="AH50" i="32"/>
  <c r="B5" i="32"/>
  <c r="J5" i="32"/>
  <c r="AI50" i="32"/>
  <c r="AC89" i="31"/>
  <c r="AC91" i="31" s="1"/>
  <c r="AC92" i="31" s="1"/>
  <c r="AE92" i="32" l="1"/>
  <c r="AE7" i="32"/>
  <c r="AD92" i="32"/>
  <c r="AD7" i="32"/>
  <c r="AC7" i="32"/>
  <c r="AU249" i="32"/>
  <c r="AB7" i="32"/>
  <c r="AT249" i="32"/>
  <c r="V7" i="32"/>
  <c r="AR249" i="32"/>
  <c r="Z92" i="32"/>
  <c r="AN249" i="32"/>
  <c r="AQ249" i="32"/>
  <c r="Y7" i="32"/>
  <c r="AP249" i="32"/>
  <c r="X92" i="32"/>
  <c r="W92" i="32"/>
  <c r="W7" i="32"/>
  <c r="U7" i="32"/>
  <c r="AM249" i="32"/>
  <c r="T7" i="32"/>
  <c r="AL249" i="32"/>
  <c r="S92" i="32"/>
  <c r="AK249" i="32"/>
  <c r="R7" i="32"/>
  <c r="AJ249" i="32"/>
  <c r="O92" i="32"/>
  <c r="O7" i="32"/>
  <c r="N92" i="32"/>
  <c r="N7" i="32"/>
  <c r="M7" i="32"/>
  <c r="M92" i="32"/>
  <c r="AD249" i="32"/>
  <c r="L7" i="32"/>
  <c r="AB249" i="32"/>
  <c r="J92" i="32"/>
  <c r="AC249" i="32"/>
  <c r="K92" i="32"/>
  <c r="G92" i="32"/>
  <c r="E7" i="32"/>
  <c r="AH100" i="32"/>
  <c r="G7" i="32"/>
  <c r="W249" i="32"/>
  <c r="I7" i="32"/>
  <c r="AA249" i="32"/>
  <c r="C244" i="32"/>
  <c r="K6" i="32" s="1"/>
  <c r="B244" i="32"/>
  <c r="Z249" i="32"/>
  <c r="H7" i="32"/>
  <c r="AH89" i="32"/>
  <c r="F92" i="32"/>
  <c r="F7" i="32"/>
  <c r="AI89" i="32"/>
  <c r="V249" i="32"/>
  <c r="AI100" i="32"/>
  <c r="H229" i="32"/>
  <c r="D270" i="32"/>
  <c r="F234" i="32"/>
  <c r="B7" i="32"/>
  <c r="AI91" i="32"/>
  <c r="T249" i="32"/>
  <c r="AH91" i="32"/>
  <c r="T113" i="31"/>
  <c r="Q50" i="31"/>
  <c r="R50" i="31"/>
  <c r="Q54" i="31"/>
  <c r="R54" i="31"/>
  <c r="Q68" i="31"/>
  <c r="R68" i="31"/>
  <c r="Q72" i="31"/>
  <c r="R72" i="31"/>
  <c r="Q84" i="31"/>
  <c r="Q100" i="31" s="1"/>
  <c r="R84" i="31"/>
  <c r="R100" i="31" s="1"/>
  <c r="Q110" i="31"/>
  <c r="R110" i="31"/>
  <c r="A7" i="32" l="1"/>
  <c r="G234" i="32"/>
  <c r="E270" i="32"/>
  <c r="F110" i="32"/>
  <c r="F235" i="32"/>
  <c r="AH92" i="32"/>
  <c r="AI92" i="32"/>
  <c r="I229" i="32"/>
  <c r="R89" i="31"/>
  <c r="R91" i="31" s="1"/>
  <c r="R92" i="31" s="1"/>
  <c r="Q89" i="31"/>
  <c r="Q91" i="31" s="1"/>
  <c r="Q92" i="31" s="1"/>
  <c r="J229" i="32" l="1"/>
  <c r="F270" i="32"/>
  <c r="H234" i="32"/>
  <c r="G235" i="32"/>
  <c r="G110" i="32"/>
  <c r="P50" i="31"/>
  <c r="P54" i="31"/>
  <c r="P68" i="31"/>
  <c r="P72" i="31"/>
  <c r="P84" i="31"/>
  <c r="P100" i="31" s="1"/>
  <c r="P110" i="31"/>
  <c r="G270" i="32" l="1"/>
  <c r="I234" i="32"/>
  <c r="H110" i="32"/>
  <c r="H235" i="32"/>
  <c r="K229" i="32"/>
  <c r="P89" i="31"/>
  <c r="P91" i="31" s="1"/>
  <c r="P92" i="31" s="1"/>
  <c r="H270" i="32" l="1"/>
  <c r="J234" i="32"/>
  <c r="I110" i="32"/>
  <c r="L229" i="32"/>
  <c r="O50" i="31"/>
  <c r="O54" i="31"/>
  <c r="O68" i="31"/>
  <c r="O72" i="31"/>
  <c r="O84" i="31"/>
  <c r="O100" i="31" s="1"/>
  <c r="AI113" i="31"/>
  <c r="N27" i="31"/>
  <c r="N23" i="31"/>
  <c r="N113" i="31"/>
  <c r="N50" i="31"/>
  <c r="N54" i="31"/>
  <c r="M50" i="31"/>
  <c r="M54" i="31"/>
  <c r="M68" i="31"/>
  <c r="M72" i="31"/>
  <c r="M84" i="31"/>
  <c r="M100" i="31" s="1"/>
  <c r="M110" i="31"/>
  <c r="I50" i="31"/>
  <c r="I54" i="31"/>
  <c r="I68" i="31"/>
  <c r="I84" i="31"/>
  <c r="I89" i="31" s="1"/>
  <c r="I91" i="31" s="1"/>
  <c r="I92" i="31" s="1"/>
  <c r="I110" i="31"/>
  <c r="H50" i="31"/>
  <c r="H54" i="31"/>
  <c r="H68" i="31"/>
  <c r="H84" i="31"/>
  <c r="H110" i="31"/>
  <c r="G50" i="31"/>
  <c r="G54" i="31"/>
  <c r="G68" i="31"/>
  <c r="G84" i="31"/>
  <c r="G110" i="31"/>
  <c r="F50" i="31"/>
  <c r="F54" i="31"/>
  <c r="F68" i="31"/>
  <c r="F84" i="31"/>
  <c r="F110" i="31"/>
  <c r="E50" i="31"/>
  <c r="E54" i="31"/>
  <c r="E68" i="31"/>
  <c r="E84" i="31"/>
  <c r="E110" i="31"/>
  <c r="AF274" i="31"/>
  <c r="AE274" i="31"/>
  <c r="AD274" i="31"/>
  <c r="AC274" i="31"/>
  <c r="AB274" i="31"/>
  <c r="AA274" i="31"/>
  <c r="Z274" i="31"/>
  <c r="Y274" i="31"/>
  <c r="X274" i="31"/>
  <c r="W274" i="31"/>
  <c r="V274" i="31"/>
  <c r="U274" i="31"/>
  <c r="T274" i="31"/>
  <c r="S274" i="31"/>
  <c r="R274" i="31"/>
  <c r="Q274" i="31"/>
  <c r="P274" i="31"/>
  <c r="O274" i="31"/>
  <c r="N274" i="31"/>
  <c r="M274" i="31"/>
  <c r="L274" i="31"/>
  <c r="K274" i="31"/>
  <c r="J274" i="31"/>
  <c r="I274" i="31"/>
  <c r="H274" i="31"/>
  <c r="G274" i="31"/>
  <c r="F274" i="31"/>
  <c r="E274" i="31"/>
  <c r="D274" i="31"/>
  <c r="C274" i="31"/>
  <c r="B274" i="31"/>
  <c r="A274" i="31"/>
  <c r="AF273" i="31"/>
  <c r="AE273" i="31"/>
  <c r="AD273" i="31"/>
  <c r="AC273" i="31"/>
  <c r="AB273" i="31"/>
  <c r="AA273" i="31"/>
  <c r="Z273" i="31"/>
  <c r="Y273" i="31"/>
  <c r="X273" i="31"/>
  <c r="W273" i="31"/>
  <c r="V273" i="31"/>
  <c r="U273" i="31"/>
  <c r="T273" i="31"/>
  <c r="S273" i="31"/>
  <c r="R273" i="31"/>
  <c r="Q273" i="31"/>
  <c r="P273" i="31"/>
  <c r="O273" i="31"/>
  <c r="N273" i="31"/>
  <c r="M273" i="31"/>
  <c r="L273" i="31"/>
  <c r="K273" i="31"/>
  <c r="J273" i="31"/>
  <c r="I273" i="31"/>
  <c r="H273" i="31"/>
  <c r="G273" i="31"/>
  <c r="F273" i="31"/>
  <c r="E273" i="31"/>
  <c r="D273" i="31"/>
  <c r="C273" i="31"/>
  <c r="B273" i="31"/>
  <c r="A273" i="31"/>
  <c r="AF272" i="31"/>
  <c r="AE272" i="31"/>
  <c r="AD272" i="31"/>
  <c r="AC272" i="31"/>
  <c r="AB272" i="31"/>
  <c r="AA272" i="31"/>
  <c r="Z272" i="31"/>
  <c r="Y272" i="31"/>
  <c r="X272" i="31"/>
  <c r="W272" i="31"/>
  <c r="V272" i="31"/>
  <c r="U272" i="31"/>
  <c r="T272" i="31"/>
  <c r="S272" i="31"/>
  <c r="R272" i="31"/>
  <c r="Q272" i="31"/>
  <c r="P272" i="31"/>
  <c r="O272" i="31"/>
  <c r="N272" i="31"/>
  <c r="M272" i="31"/>
  <c r="L272" i="31"/>
  <c r="K272" i="31"/>
  <c r="J272" i="31"/>
  <c r="I272" i="31"/>
  <c r="H272" i="31"/>
  <c r="G272" i="31"/>
  <c r="F272" i="31"/>
  <c r="E272" i="31"/>
  <c r="D272" i="31"/>
  <c r="C272" i="31"/>
  <c r="B272" i="31"/>
  <c r="A272" i="31"/>
  <c r="AF271" i="31"/>
  <c r="AE271" i="31"/>
  <c r="AD271" i="31"/>
  <c r="AC271" i="31"/>
  <c r="AB271" i="31"/>
  <c r="AA271" i="31"/>
  <c r="Z271" i="31"/>
  <c r="Y271" i="31"/>
  <c r="X271" i="31"/>
  <c r="W271" i="31"/>
  <c r="V271" i="31"/>
  <c r="U271" i="31"/>
  <c r="T271" i="31"/>
  <c r="S271" i="31"/>
  <c r="R271" i="31"/>
  <c r="Q271" i="31"/>
  <c r="P271" i="31"/>
  <c r="O271" i="31"/>
  <c r="N271" i="31"/>
  <c r="M271" i="31"/>
  <c r="L271" i="31"/>
  <c r="K271" i="31"/>
  <c r="J271" i="31"/>
  <c r="I271" i="31"/>
  <c r="H271" i="31"/>
  <c r="G271" i="31"/>
  <c r="F271" i="31"/>
  <c r="E271" i="31"/>
  <c r="D271" i="31"/>
  <c r="C271" i="31"/>
  <c r="B271" i="31"/>
  <c r="A271" i="31"/>
  <c r="AE270" i="31"/>
  <c r="AD270" i="31"/>
  <c r="AC270" i="31"/>
  <c r="AB270" i="31"/>
  <c r="AA270" i="31"/>
  <c r="Z270" i="31"/>
  <c r="Y270" i="31"/>
  <c r="X270" i="31"/>
  <c r="W270" i="31"/>
  <c r="V270" i="31"/>
  <c r="U270" i="31"/>
  <c r="T270" i="31"/>
  <c r="S270" i="31"/>
  <c r="R270" i="31"/>
  <c r="Q270" i="31"/>
  <c r="P270" i="31"/>
  <c r="B270" i="31"/>
  <c r="S245" i="31"/>
  <c r="AG235" i="31"/>
  <c r="AF235" i="31"/>
  <c r="AE235" i="31"/>
  <c r="AD235" i="31"/>
  <c r="AC235" i="31"/>
  <c r="AB235" i="31"/>
  <c r="AA235" i="31"/>
  <c r="Z235" i="31"/>
  <c r="Y235" i="31"/>
  <c r="X235" i="31"/>
  <c r="W235" i="31"/>
  <c r="V235" i="31"/>
  <c r="U235" i="31"/>
  <c r="T235" i="31"/>
  <c r="S235" i="31"/>
  <c r="R235" i="31"/>
  <c r="Q235" i="31"/>
  <c r="C235" i="31"/>
  <c r="E234" i="31"/>
  <c r="D270" i="31" s="1"/>
  <c r="D234" i="31"/>
  <c r="C270" i="31" s="1"/>
  <c r="B234" i="31"/>
  <c r="AF270" i="31" s="1"/>
  <c r="F233" i="31"/>
  <c r="G233" i="31" s="1"/>
  <c r="H233" i="31" s="1"/>
  <c r="I233" i="31" s="1"/>
  <c r="J233" i="31" s="1"/>
  <c r="K233" i="31" s="1"/>
  <c r="L233" i="31" s="1"/>
  <c r="M233" i="31" s="1"/>
  <c r="N233" i="31" s="1"/>
  <c r="O233" i="31" s="1"/>
  <c r="P233" i="31" s="1"/>
  <c r="E233" i="31"/>
  <c r="D233" i="31"/>
  <c r="B233" i="31"/>
  <c r="D232" i="31"/>
  <c r="E232" i="31" s="1"/>
  <c r="F232" i="31" s="1"/>
  <c r="G232" i="31" s="1"/>
  <c r="H232" i="31" s="1"/>
  <c r="I232" i="31" s="1"/>
  <c r="B232" i="31"/>
  <c r="G231" i="31"/>
  <c r="H231" i="31" s="1"/>
  <c r="F231" i="31"/>
  <c r="E231" i="31"/>
  <c r="D231" i="31"/>
  <c r="B231" i="31"/>
  <c r="E230" i="31"/>
  <c r="F230" i="31" s="1"/>
  <c r="D230" i="31"/>
  <c r="D235" i="31" s="1"/>
  <c r="B230" i="31"/>
  <c r="F229" i="31"/>
  <c r="G229" i="31" s="1"/>
  <c r="E229" i="31"/>
  <c r="D229" i="31"/>
  <c r="B229" i="31"/>
  <c r="B110" i="31" s="1"/>
  <c r="AG227" i="31"/>
  <c r="AF227" i="31"/>
  <c r="AE227" i="31"/>
  <c r="AD227" i="31"/>
  <c r="AC227" i="31"/>
  <c r="AB227" i="31"/>
  <c r="AA227" i="31"/>
  <c r="Z227" i="31"/>
  <c r="Y227" i="31"/>
  <c r="X227" i="31"/>
  <c r="W227" i="31"/>
  <c r="V227" i="31"/>
  <c r="U227" i="31"/>
  <c r="T227" i="31"/>
  <c r="S227" i="31"/>
  <c r="R227" i="31"/>
  <c r="Q227" i="31"/>
  <c r="P227" i="31"/>
  <c r="O227" i="31"/>
  <c r="N227" i="31"/>
  <c r="M227" i="31"/>
  <c r="L227" i="31"/>
  <c r="K227" i="31"/>
  <c r="J227" i="31"/>
  <c r="I227" i="31"/>
  <c r="H227" i="31"/>
  <c r="G227" i="31"/>
  <c r="F227" i="31"/>
  <c r="E227" i="31"/>
  <c r="D227" i="31"/>
  <c r="C227" i="31"/>
  <c r="B227" i="31"/>
  <c r="AI120" i="31"/>
  <c r="AH120" i="31"/>
  <c r="AI119" i="31"/>
  <c r="AH119" i="31"/>
  <c r="AI118" i="31"/>
  <c r="AH118" i="31"/>
  <c r="AI117" i="31"/>
  <c r="AH117" i="31"/>
  <c r="AI116" i="31"/>
  <c r="AH116" i="31"/>
  <c r="AI115" i="31"/>
  <c r="AH115" i="31"/>
  <c r="AI114" i="31"/>
  <c r="AH114" i="31"/>
  <c r="AI112" i="31"/>
  <c r="AH112" i="31"/>
  <c r="AI111" i="31"/>
  <c r="AH111" i="31"/>
  <c r="AF110" i="31"/>
  <c r="AE110" i="31"/>
  <c r="AC110" i="31"/>
  <c r="AB110" i="31"/>
  <c r="AA110" i="31"/>
  <c r="Z110" i="31"/>
  <c r="Y110" i="31"/>
  <c r="X110" i="31"/>
  <c r="W110" i="31"/>
  <c r="V110" i="31"/>
  <c r="U110" i="31"/>
  <c r="T110" i="31"/>
  <c r="S110" i="31"/>
  <c r="D110" i="31"/>
  <c r="C110" i="31"/>
  <c r="AI109" i="31"/>
  <c r="AH109" i="31"/>
  <c r="AI108" i="31"/>
  <c r="AH108" i="31"/>
  <c r="AI107" i="31"/>
  <c r="AH107" i="31"/>
  <c r="AI106" i="31"/>
  <c r="AH106" i="31"/>
  <c r="AI105" i="31"/>
  <c r="AH105" i="31"/>
  <c r="AI104" i="31"/>
  <c r="AH104" i="31"/>
  <c r="AI103" i="31"/>
  <c r="AH103" i="31"/>
  <c r="AI102" i="31"/>
  <c r="AH102" i="31"/>
  <c r="AI101" i="31"/>
  <c r="AH101" i="31"/>
  <c r="AI99" i="31"/>
  <c r="AH99" i="31"/>
  <c r="AI98" i="31"/>
  <c r="AH98" i="31"/>
  <c r="AI97" i="31"/>
  <c r="AH97" i="31"/>
  <c r="AI96" i="31"/>
  <c r="AH96" i="31"/>
  <c r="AI95" i="31"/>
  <c r="AH95" i="31"/>
  <c r="AI94" i="31"/>
  <c r="AH94" i="31"/>
  <c r="AI93" i="31"/>
  <c r="AH93" i="31"/>
  <c r="AI90" i="31"/>
  <c r="AH90" i="31"/>
  <c r="AI88" i="31"/>
  <c r="AH88" i="31"/>
  <c r="AG88" i="31"/>
  <c r="AI87" i="31"/>
  <c r="AH87" i="31"/>
  <c r="AI86" i="31"/>
  <c r="AH86" i="31"/>
  <c r="AI85" i="31"/>
  <c r="AH85" i="31"/>
  <c r="AN84" i="31"/>
  <c r="AG84" i="31"/>
  <c r="AG91" i="31" s="1"/>
  <c r="AF84" i="31"/>
  <c r="AE5" i="31" s="1"/>
  <c r="AE84" i="31"/>
  <c r="AE89" i="31" s="1"/>
  <c r="AE91" i="31" s="1"/>
  <c r="AD84" i="31"/>
  <c r="AD100" i="31" s="1"/>
  <c r="AB84" i="31"/>
  <c r="AB100" i="31" s="1"/>
  <c r="AA84" i="31"/>
  <c r="AA100" i="31" s="1"/>
  <c r="Z84" i="31"/>
  <c r="Z100" i="31" s="1"/>
  <c r="Y84" i="31"/>
  <c r="Y100" i="31" s="1"/>
  <c r="X84" i="31"/>
  <c r="X100" i="31" s="1"/>
  <c r="W84" i="31"/>
  <c r="V5" i="31" s="1"/>
  <c r="V84" i="31"/>
  <c r="V100" i="31" s="1"/>
  <c r="U84" i="31"/>
  <c r="U100" i="31" s="1"/>
  <c r="T84" i="31"/>
  <c r="T100" i="31" s="1"/>
  <c r="S84" i="31"/>
  <c r="R5" i="31" s="1"/>
  <c r="N84" i="31"/>
  <c r="N100" i="31" s="1"/>
  <c r="L84" i="31"/>
  <c r="L100" i="31" s="1"/>
  <c r="K84" i="31"/>
  <c r="K100" i="31" s="1"/>
  <c r="J84" i="31"/>
  <c r="J100" i="31" s="1"/>
  <c r="D84" i="31"/>
  <c r="D100" i="31" s="1"/>
  <c r="C84" i="31"/>
  <c r="C100" i="31" s="1"/>
  <c r="B84" i="31"/>
  <c r="B100" i="31" s="1"/>
  <c r="AN83" i="31"/>
  <c r="AI83" i="31"/>
  <c r="AH83" i="31"/>
  <c r="AN82" i="31"/>
  <c r="AI82" i="31"/>
  <c r="AH82" i="31"/>
  <c r="AN81" i="31"/>
  <c r="AI81" i="31"/>
  <c r="AH81" i="31"/>
  <c r="AI80" i="31"/>
  <c r="AH80" i="31"/>
  <c r="AI79" i="31"/>
  <c r="AH79" i="31"/>
  <c r="AI78" i="31"/>
  <c r="AH78" i="31"/>
  <c r="AI77" i="31"/>
  <c r="AH77" i="31"/>
  <c r="AI76" i="31"/>
  <c r="AH76" i="31"/>
  <c r="AI75" i="31"/>
  <c r="AH75" i="31"/>
  <c r="AI74" i="31"/>
  <c r="AH74" i="31"/>
  <c r="AI73" i="31"/>
  <c r="AH73" i="31"/>
  <c r="AG72" i="31"/>
  <c r="AF72" i="31"/>
  <c r="AE72" i="31"/>
  <c r="AD72" i="31"/>
  <c r="AB72" i="31"/>
  <c r="AA72" i="31"/>
  <c r="Z72" i="31"/>
  <c r="Y72" i="31"/>
  <c r="X72" i="31"/>
  <c r="W72" i="31"/>
  <c r="V72" i="31"/>
  <c r="U72" i="31"/>
  <c r="T72" i="31"/>
  <c r="S72" i="31"/>
  <c r="N72" i="31"/>
  <c r="L72" i="31"/>
  <c r="B72" i="31"/>
  <c r="AI71" i="31"/>
  <c r="AH71" i="31"/>
  <c r="AI70" i="31"/>
  <c r="AH70" i="31"/>
  <c r="AI69" i="31"/>
  <c r="AH69" i="31"/>
  <c r="AG68" i="31"/>
  <c r="AF68" i="31"/>
  <c r="AD68" i="31"/>
  <c r="AB68" i="31"/>
  <c r="AA68" i="31"/>
  <c r="Z68" i="31"/>
  <c r="Y68" i="31"/>
  <c r="X68" i="31"/>
  <c r="W68" i="31"/>
  <c r="V68" i="31"/>
  <c r="U68" i="31"/>
  <c r="T68" i="31"/>
  <c r="S68" i="31"/>
  <c r="N68" i="31"/>
  <c r="L68" i="31"/>
  <c r="K68" i="31"/>
  <c r="J68" i="31"/>
  <c r="D68" i="31"/>
  <c r="C68" i="31"/>
  <c r="B68" i="31"/>
  <c r="AI67" i="31"/>
  <c r="AH67" i="31"/>
  <c r="AG67" i="31"/>
  <c r="AI66" i="31"/>
  <c r="AH66" i="31"/>
  <c r="AI65" i="31"/>
  <c r="AH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I56" i="31"/>
  <c r="AH56" i="31"/>
  <c r="AI55" i="31"/>
  <c r="AH55" i="31"/>
  <c r="AG54" i="31"/>
  <c r="AF54" i="31"/>
  <c r="AD54" i="31"/>
  <c r="AA54" i="31"/>
  <c r="Z54" i="31"/>
  <c r="Y54" i="31"/>
  <c r="X54" i="31"/>
  <c r="W54" i="31"/>
  <c r="V54" i="31"/>
  <c r="U54" i="31"/>
  <c r="T54" i="31"/>
  <c r="S54" i="31"/>
  <c r="L54" i="31"/>
  <c r="K54" i="31"/>
  <c r="J54" i="31"/>
  <c r="D54" i="31"/>
  <c r="C54" i="31"/>
  <c r="B54" i="31"/>
  <c r="AI53" i="31"/>
  <c r="AH53" i="31"/>
  <c r="AI52" i="31"/>
  <c r="AH52" i="31"/>
  <c r="AI51" i="31"/>
  <c r="AH51" i="31"/>
  <c r="AG50" i="31"/>
  <c r="AG89" i="31" s="1"/>
  <c r="AD50" i="31"/>
  <c r="AA50" i="31"/>
  <c r="Z50" i="31"/>
  <c r="Y50" i="31"/>
  <c r="X50" i="31"/>
  <c r="W50" i="31"/>
  <c r="V50" i="31"/>
  <c r="U50" i="31"/>
  <c r="T50" i="31"/>
  <c r="S50" i="31"/>
  <c r="L50" i="31"/>
  <c r="K50" i="31"/>
  <c r="J50" i="31"/>
  <c r="D50" i="31"/>
  <c r="C50" i="31"/>
  <c r="B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G6" i="31"/>
  <c r="AB5" i="31"/>
  <c r="Z5" i="31"/>
  <c r="Q5" i="31"/>
  <c r="O5" i="31"/>
  <c r="AG4" i="31"/>
  <c r="K4" i="31"/>
  <c r="E4" i="31"/>
  <c r="H4" i="31" s="1"/>
  <c r="B4" i="31"/>
  <c r="D246" i="31" s="1"/>
  <c r="AG3" i="31"/>
  <c r="AG2" i="31"/>
  <c r="AB113" i="30"/>
  <c r="AB110" i="30" s="1"/>
  <c r="AB84" i="30"/>
  <c r="AB100" i="30" s="1"/>
  <c r="AB72" i="30"/>
  <c r="AB68" i="30"/>
  <c r="AB54" i="30"/>
  <c r="AB50" i="30"/>
  <c r="AA113" i="30"/>
  <c r="Z113" i="30"/>
  <c r="Y113" i="30"/>
  <c r="Y54" i="30"/>
  <c r="X113" i="30"/>
  <c r="W113" i="30"/>
  <c r="V113" i="30"/>
  <c r="U113" i="30"/>
  <c r="T113" i="30"/>
  <c r="S113" i="30"/>
  <c r="Q50" i="30"/>
  <c r="Q54" i="30"/>
  <c r="Q68" i="30"/>
  <c r="Q72" i="30"/>
  <c r="Q84" i="30"/>
  <c r="Q100" i="30" s="1"/>
  <c r="Q110" i="30"/>
  <c r="P23" i="30"/>
  <c r="P50" i="30"/>
  <c r="P54" i="30"/>
  <c r="P68" i="30"/>
  <c r="P72" i="30"/>
  <c r="P84" i="30"/>
  <c r="P100" i="30" s="1"/>
  <c r="P227" i="30"/>
  <c r="P229" i="30"/>
  <c r="P110" i="30" s="1"/>
  <c r="P230" i="30"/>
  <c r="P232" i="30"/>
  <c r="P233" i="30"/>
  <c r="P234" i="30"/>
  <c r="O23" i="30"/>
  <c r="M229" i="32" l="1"/>
  <c r="K234" i="32"/>
  <c r="I270" i="32"/>
  <c r="J110" i="32"/>
  <c r="AF100" i="31"/>
  <c r="AH100" i="31" s="1"/>
  <c r="AF89" i="31"/>
  <c r="AF91" i="31" s="1"/>
  <c r="AX249" i="31" s="1"/>
  <c r="AE100" i="31"/>
  <c r="AD5" i="31"/>
  <c r="AC5" i="31"/>
  <c r="AD89" i="31"/>
  <c r="AD91" i="31" s="1"/>
  <c r="AB89" i="31"/>
  <c r="AB91" i="31" s="1"/>
  <c r="AA89" i="31"/>
  <c r="AA91" i="31" s="1"/>
  <c r="Y5" i="31"/>
  <c r="Z89" i="31"/>
  <c r="Z91" i="31" s="1"/>
  <c r="Z7" i="31" s="1"/>
  <c r="Y89" i="31"/>
  <c r="Y91" i="31" s="1"/>
  <c r="AQ249" i="31" s="1"/>
  <c r="X89" i="31"/>
  <c r="X91" i="31" s="1"/>
  <c r="AP249" i="31" s="1"/>
  <c r="W5" i="31"/>
  <c r="W89" i="31"/>
  <c r="W91" i="31" s="1"/>
  <c r="AO249" i="31" s="1"/>
  <c r="W100" i="31"/>
  <c r="U5" i="31"/>
  <c r="V89" i="31"/>
  <c r="V91" i="31" s="1"/>
  <c r="AN249" i="31" s="1"/>
  <c r="T5" i="31"/>
  <c r="U89" i="31"/>
  <c r="U91" i="31" s="1"/>
  <c r="AM249" i="31" s="1"/>
  <c r="T89" i="31"/>
  <c r="T91" i="31" s="1"/>
  <c r="T92" i="31" s="1"/>
  <c r="S100" i="31"/>
  <c r="S89" i="31"/>
  <c r="S91" i="31" s="1"/>
  <c r="S7" i="31" s="1"/>
  <c r="N5" i="31"/>
  <c r="O89" i="31"/>
  <c r="O91" i="31" s="1"/>
  <c r="O92" i="31" s="1"/>
  <c r="O110" i="31"/>
  <c r="AH113" i="31"/>
  <c r="M5" i="31"/>
  <c r="N89" i="31"/>
  <c r="N91" i="31" s="1"/>
  <c r="N92" i="31" s="1"/>
  <c r="L5" i="31"/>
  <c r="M89" i="31"/>
  <c r="M91" i="31" s="1"/>
  <c r="M92" i="31" s="1"/>
  <c r="AH72" i="31"/>
  <c r="I5" i="31"/>
  <c r="J5" i="31"/>
  <c r="K89" i="31"/>
  <c r="K91" i="31" s="1"/>
  <c r="AC249" i="31" s="1"/>
  <c r="H89" i="31"/>
  <c r="H91" i="31" s="1"/>
  <c r="H92" i="31" s="1"/>
  <c r="J89" i="31"/>
  <c r="J91" i="31" s="1"/>
  <c r="J92" i="31" s="1"/>
  <c r="AI68" i="31"/>
  <c r="L89" i="31"/>
  <c r="L91" i="31" s="1"/>
  <c r="L7" i="31" s="1"/>
  <c r="I100" i="31"/>
  <c r="H100" i="31"/>
  <c r="G5" i="31"/>
  <c r="G89" i="31"/>
  <c r="G91" i="31" s="1"/>
  <c r="G92" i="31" s="1"/>
  <c r="F89" i="31"/>
  <c r="F91" i="31" s="1"/>
  <c r="F92" i="31" s="1"/>
  <c r="F5" i="31"/>
  <c r="G100" i="31"/>
  <c r="E5" i="31"/>
  <c r="F100" i="31"/>
  <c r="E89" i="31"/>
  <c r="E91" i="31" s="1"/>
  <c r="E92" i="31" s="1"/>
  <c r="D5" i="31"/>
  <c r="E100" i="31"/>
  <c r="AH54" i="31"/>
  <c r="B5" i="31"/>
  <c r="C89" i="31"/>
  <c r="C91" i="31" s="1"/>
  <c r="C7" i="31" s="1"/>
  <c r="AF5" i="31"/>
  <c r="AI54" i="31"/>
  <c r="B89" i="31"/>
  <c r="B91" i="31" s="1"/>
  <c r="S246" i="31"/>
  <c r="X249" i="31"/>
  <c r="F7" i="31"/>
  <c r="H229" i="31"/>
  <c r="AG249" i="31"/>
  <c r="O7" i="31"/>
  <c r="AW249" i="31"/>
  <c r="AE92" i="31"/>
  <c r="AE7" i="31"/>
  <c r="AV249" i="31"/>
  <c r="AD7" i="31"/>
  <c r="AD92" i="31"/>
  <c r="AU249" i="31"/>
  <c r="AC7" i="31"/>
  <c r="H7" i="31"/>
  <c r="Z249" i="31"/>
  <c r="P7" i="31"/>
  <c r="AH249" i="31"/>
  <c r="AF7" i="31"/>
  <c r="AF92" i="31"/>
  <c r="J232" i="31"/>
  <c r="K232" i="31" s="1"/>
  <c r="L232" i="31" s="1"/>
  <c r="M232" i="31" s="1"/>
  <c r="N232" i="31" s="1"/>
  <c r="O232" i="31" s="1"/>
  <c r="P232" i="31" s="1"/>
  <c r="I7" i="31"/>
  <c r="AA249" i="31"/>
  <c r="G230" i="31"/>
  <c r="H230" i="31" s="1"/>
  <c r="I230" i="31" s="1"/>
  <c r="J230" i="31" s="1"/>
  <c r="K230" i="31" s="1"/>
  <c r="L230" i="31" s="1"/>
  <c r="M230" i="31" s="1"/>
  <c r="N230" i="31" s="1"/>
  <c r="O230" i="31" s="1"/>
  <c r="P230" i="31" s="1"/>
  <c r="F235" i="31"/>
  <c r="R7" i="31"/>
  <c r="AJ249" i="31"/>
  <c r="AB92" i="31"/>
  <c r="AT249" i="31"/>
  <c r="AB7" i="31"/>
  <c r="Q7" i="31"/>
  <c r="AI249" i="31"/>
  <c r="AA7" i="31"/>
  <c r="AA92" i="31"/>
  <c r="AS249" i="31"/>
  <c r="AE249" i="31"/>
  <c r="M7" i="31"/>
  <c r="AH68" i="31"/>
  <c r="AI72" i="31"/>
  <c r="D89" i="31"/>
  <c r="D91" i="31" s="1"/>
  <c r="E235" i="31"/>
  <c r="H5" i="31"/>
  <c r="P5" i="31"/>
  <c r="X5" i="31"/>
  <c r="AH84" i="31"/>
  <c r="F234" i="31"/>
  <c r="AH50" i="31"/>
  <c r="AI84" i="31"/>
  <c r="C5" i="31"/>
  <c r="K5" i="31"/>
  <c r="S5" i="31"/>
  <c r="AA5" i="31"/>
  <c r="B235" i="31"/>
  <c r="AI50" i="31"/>
  <c r="AB89" i="30"/>
  <c r="AB91" i="30" s="1"/>
  <c r="AB92" i="30" s="1"/>
  <c r="Q89" i="30"/>
  <c r="Q91" i="30" s="1"/>
  <c r="Q92" i="30" s="1"/>
  <c r="P89" i="30"/>
  <c r="P91" i="30" s="1"/>
  <c r="P92" i="30" s="1"/>
  <c r="Y92" i="31" l="1"/>
  <c r="AR249" i="31"/>
  <c r="Z92" i="31"/>
  <c r="J270" i="32"/>
  <c r="L234" i="32"/>
  <c r="K110" i="32"/>
  <c r="N229" i="32"/>
  <c r="Y7" i="31"/>
  <c r="X7" i="31"/>
  <c r="X92" i="31"/>
  <c r="AI100" i="31"/>
  <c r="W7" i="31"/>
  <c r="W92" i="31"/>
  <c r="V92" i="31"/>
  <c r="V7" i="31"/>
  <c r="U92" i="31"/>
  <c r="U7" i="31"/>
  <c r="T7" i="31"/>
  <c r="AL249" i="31"/>
  <c r="AK249" i="31"/>
  <c r="S92" i="31"/>
  <c r="AF249" i="31"/>
  <c r="N7" i="31"/>
  <c r="K7" i="31"/>
  <c r="K92" i="31"/>
  <c r="G7" i="31"/>
  <c r="L92" i="31"/>
  <c r="AB249" i="31"/>
  <c r="J7" i="31"/>
  <c r="B244" i="31"/>
  <c r="C244" i="31"/>
  <c r="K6" i="31" s="1"/>
  <c r="AD249" i="31"/>
  <c r="Y249" i="31"/>
  <c r="W249" i="31"/>
  <c r="E7" i="31"/>
  <c r="U249" i="31"/>
  <c r="C92" i="31"/>
  <c r="G235" i="31"/>
  <c r="B7" i="31"/>
  <c r="B92" i="31"/>
  <c r="AI91" i="31"/>
  <c r="T249" i="31"/>
  <c r="AH91" i="31"/>
  <c r="D92" i="31"/>
  <c r="V249" i="31"/>
  <c r="D7" i="31"/>
  <c r="AH89" i="31"/>
  <c r="I229" i="31"/>
  <c r="E270" i="31"/>
  <c r="G234" i="31"/>
  <c r="AI89" i="31"/>
  <c r="O229" i="32" l="1"/>
  <c r="K270" i="32"/>
  <c r="M234" i="32"/>
  <c r="L110" i="32"/>
  <c r="J229" i="31"/>
  <c r="AI92" i="31"/>
  <c r="AH92" i="31"/>
  <c r="A7" i="31"/>
  <c r="F270" i="31"/>
  <c r="H234" i="31"/>
  <c r="L270" i="32" l="1"/>
  <c r="N234" i="32"/>
  <c r="M110" i="32"/>
  <c r="P229" i="32"/>
  <c r="G270" i="31"/>
  <c r="I234" i="31"/>
  <c r="H235" i="31"/>
  <c r="K229" i="31"/>
  <c r="O234" i="32" l="1"/>
  <c r="M270" i="32"/>
  <c r="N110" i="32"/>
  <c r="L229" i="31"/>
  <c r="H270" i="31"/>
  <c r="J234" i="31"/>
  <c r="N270" i="32" l="1"/>
  <c r="P234" i="32"/>
  <c r="O270" i="32" s="1"/>
  <c r="O110" i="32"/>
  <c r="K234" i="31"/>
  <c r="I270" i="31"/>
  <c r="J110" i="31"/>
  <c r="M229" i="31"/>
  <c r="AH110" i="32" l="1"/>
  <c r="AI110" i="32"/>
  <c r="N229" i="31"/>
  <c r="J270" i="31"/>
  <c r="L234" i="31"/>
  <c r="K110" i="31"/>
  <c r="M234" i="31" l="1"/>
  <c r="K270" i="31"/>
  <c r="L110" i="31"/>
  <c r="O229" i="31"/>
  <c r="P229" i="31" l="1"/>
  <c r="L270" i="31"/>
  <c r="N234" i="31"/>
  <c r="M270" i="31" l="1"/>
  <c r="O234" i="31"/>
  <c r="N110" i="31"/>
  <c r="N270" i="31" l="1"/>
  <c r="P234" i="31"/>
  <c r="O270" i="31" s="1"/>
  <c r="AI110" i="31" l="1"/>
  <c r="AH110" i="31"/>
  <c r="N113" i="30" l="1"/>
  <c r="N23" i="30"/>
  <c r="N50" i="30" s="1"/>
  <c r="N54" i="30"/>
  <c r="N68" i="30"/>
  <c r="N72" i="30"/>
  <c r="M113" i="30"/>
  <c r="M50" i="30"/>
  <c r="M54" i="30"/>
  <c r="E50" i="30"/>
  <c r="E54" i="30"/>
  <c r="E68" i="30"/>
  <c r="E72" i="30"/>
  <c r="E84" i="30"/>
  <c r="E100" i="30" s="1"/>
  <c r="E110" i="30"/>
  <c r="D50" i="30"/>
  <c r="D54" i="30"/>
  <c r="D68" i="30"/>
  <c r="D72" i="30"/>
  <c r="D84" i="30"/>
  <c r="D100" i="30" s="1"/>
  <c r="D110" i="30"/>
  <c r="C50" i="30"/>
  <c r="C54" i="30"/>
  <c r="C68" i="30"/>
  <c r="C72" i="30"/>
  <c r="C84" i="30"/>
  <c r="C100" i="30" s="1"/>
  <c r="C110" i="30"/>
  <c r="B50" i="30"/>
  <c r="B110" i="30"/>
  <c r="B84" i="30"/>
  <c r="B100" i="30" s="1"/>
  <c r="B72" i="30"/>
  <c r="B68" i="30"/>
  <c r="B54" i="30"/>
  <c r="AF274" i="30"/>
  <c r="AE274" i="30"/>
  <c r="AD274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J274" i="30"/>
  <c r="I274" i="30"/>
  <c r="H274" i="30"/>
  <c r="G274" i="30"/>
  <c r="F274" i="30"/>
  <c r="E274" i="30"/>
  <c r="D274" i="30"/>
  <c r="C274" i="30"/>
  <c r="B274" i="30"/>
  <c r="A274" i="30"/>
  <c r="AF273" i="30"/>
  <c r="AE273" i="30"/>
  <c r="AD273" i="30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J273" i="30"/>
  <c r="I273" i="30"/>
  <c r="H273" i="30"/>
  <c r="G273" i="30"/>
  <c r="F273" i="30"/>
  <c r="E273" i="30"/>
  <c r="D273" i="30"/>
  <c r="C273" i="30"/>
  <c r="B273" i="30"/>
  <c r="A273" i="30"/>
  <c r="AF272" i="30"/>
  <c r="AE272" i="30"/>
  <c r="AD272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J272" i="30"/>
  <c r="I272" i="30"/>
  <c r="H272" i="30"/>
  <c r="G272" i="30"/>
  <c r="F272" i="30"/>
  <c r="E272" i="30"/>
  <c r="D272" i="30"/>
  <c r="C272" i="30"/>
  <c r="B272" i="30"/>
  <c r="A272" i="30"/>
  <c r="AF271" i="30"/>
  <c r="AE271" i="30"/>
  <c r="AD271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J271" i="30"/>
  <c r="I271" i="30"/>
  <c r="H271" i="30"/>
  <c r="G271" i="30"/>
  <c r="F271" i="30"/>
  <c r="E271" i="30"/>
  <c r="D271" i="30"/>
  <c r="C271" i="30"/>
  <c r="B271" i="30"/>
  <c r="A271" i="30"/>
  <c r="AE270" i="30"/>
  <c r="AD270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B270" i="30"/>
  <c r="S245" i="30"/>
  <c r="AG235" i="30"/>
  <c r="AF235" i="30"/>
  <c r="AE235" i="30"/>
  <c r="AD235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C235" i="30"/>
  <c r="D234" i="30"/>
  <c r="E234" i="30" s="1"/>
  <c r="B234" i="30"/>
  <c r="AF270" i="30" s="1"/>
  <c r="F233" i="30"/>
  <c r="G233" i="30" s="1"/>
  <c r="H233" i="30" s="1"/>
  <c r="I233" i="30" s="1"/>
  <c r="J233" i="30" s="1"/>
  <c r="K233" i="30" s="1"/>
  <c r="L233" i="30" s="1"/>
  <c r="M233" i="30" s="1"/>
  <c r="N233" i="30" s="1"/>
  <c r="O233" i="30" s="1"/>
  <c r="E233" i="30"/>
  <c r="D233" i="30"/>
  <c r="B233" i="30"/>
  <c r="D232" i="30"/>
  <c r="E232" i="30" s="1"/>
  <c r="F232" i="30" s="1"/>
  <c r="G232" i="30" s="1"/>
  <c r="H232" i="30" s="1"/>
  <c r="I232" i="30" s="1"/>
  <c r="B232" i="30"/>
  <c r="F231" i="30"/>
  <c r="G231" i="30" s="1"/>
  <c r="H231" i="30" s="1"/>
  <c r="E231" i="30"/>
  <c r="D231" i="30"/>
  <c r="B231" i="30"/>
  <c r="D230" i="30"/>
  <c r="D235" i="30" s="1"/>
  <c r="B230" i="30"/>
  <c r="E229" i="30"/>
  <c r="F229" i="30" s="1"/>
  <c r="D229" i="30"/>
  <c r="B229" i="30"/>
  <c r="AG227" i="30"/>
  <c r="AF227" i="30"/>
  <c r="AE227" i="30"/>
  <c r="AD227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O227" i="30"/>
  <c r="N227" i="30"/>
  <c r="M227" i="30"/>
  <c r="L227" i="30"/>
  <c r="K227" i="30"/>
  <c r="J227" i="30"/>
  <c r="I227" i="30"/>
  <c r="H227" i="30"/>
  <c r="G227" i="30"/>
  <c r="F227" i="30"/>
  <c r="E227" i="30"/>
  <c r="D227" i="30"/>
  <c r="C227" i="30"/>
  <c r="B227" i="30"/>
  <c r="AI120" i="30"/>
  <c r="AH120" i="30"/>
  <c r="AI119" i="30"/>
  <c r="AH119" i="30"/>
  <c r="AI118" i="30"/>
  <c r="AH118" i="30"/>
  <c r="AI117" i="30"/>
  <c r="AH117" i="30"/>
  <c r="AI116" i="30"/>
  <c r="AH116" i="30"/>
  <c r="AI115" i="30"/>
  <c r="AH115" i="30"/>
  <c r="AI114" i="30"/>
  <c r="AH114" i="30"/>
  <c r="AI113" i="30"/>
  <c r="AH113" i="30"/>
  <c r="AI112" i="30"/>
  <c r="AH112" i="30"/>
  <c r="AI111" i="30"/>
  <c r="AH111" i="30"/>
  <c r="AF110" i="30"/>
  <c r="AE110" i="30"/>
  <c r="AC110" i="30"/>
  <c r="AA110" i="30"/>
  <c r="Z110" i="30"/>
  <c r="Y110" i="30"/>
  <c r="X110" i="30"/>
  <c r="W110" i="30"/>
  <c r="V110" i="30"/>
  <c r="U110" i="30"/>
  <c r="T110" i="30"/>
  <c r="S110" i="30"/>
  <c r="R110" i="30"/>
  <c r="AI109" i="30"/>
  <c r="AH109" i="30"/>
  <c r="AI108" i="30"/>
  <c r="AH108" i="30"/>
  <c r="AI107" i="30"/>
  <c r="AH107" i="30"/>
  <c r="AI106" i="30"/>
  <c r="AH106" i="30"/>
  <c r="AI105" i="30"/>
  <c r="AH105" i="30"/>
  <c r="AI104" i="30"/>
  <c r="AH104" i="30"/>
  <c r="AI103" i="30"/>
  <c r="AH103" i="30"/>
  <c r="AI102" i="30"/>
  <c r="AH102" i="30"/>
  <c r="AI101" i="30"/>
  <c r="AH101" i="30"/>
  <c r="AI99" i="30"/>
  <c r="AH99" i="30"/>
  <c r="AI98" i="30"/>
  <c r="AH98" i="30"/>
  <c r="AI97" i="30"/>
  <c r="AH97" i="30"/>
  <c r="AI96" i="30"/>
  <c r="AH96" i="30"/>
  <c r="AI95" i="30"/>
  <c r="AH95" i="30"/>
  <c r="AI94" i="30"/>
  <c r="AH94" i="30"/>
  <c r="AI93" i="30"/>
  <c r="AH93" i="30"/>
  <c r="AI90" i="30"/>
  <c r="AH90" i="30"/>
  <c r="AI88" i="30"/>
  <c r="AH88" i="30"/>
  <c r="AG88" i="30"/>
  <c r="AI87" i="30"/>
  <c r="AH87" i="30"/>
  <c r="AI86" i="30"/>
  <c r="AH86" i="30"/>
  <c r="AI85" i="30"/>
  <c r="AH85" i="30"/>
  <c r="AN84" i="30"/>
  <c r="AG84" i="30"/>
  <c r="AG91" i="30" s="1"/>
  <c r="AF84" i="30"/>
  <c r="AF100" i="30" s="1"/>
  <c r="AE84" i="30"/>
  <c r="AE100" i="30" s="1"/>
  <c r="AD84" i="30"/>
  <c r="AD100" i="30" s="1"/>
  <c r="AC84" i="30"/>
  <c r="AC100" i="30" s="1"/>
  <c r="AA84" i="30"/>
  <c r="AA100" i="30" s="1"/>
  <c r="Z84" i="30"/>
  <c r="Z100" i="30" s="1"/>
  <c r="Y84" i="30"/>
  <c r="Y100" i="30" s="1"/>
  <c r="X84" i="30"/>
  <c r="W5" i="30" s="1"/>
  <c r="W84" i="30"/>
  <c r="V5" i="30" s="1"/>
  <c r="V84" i="30"/>
  <c r="V100" i="30" s="1"/>
  <c r="U84" i="30"/>
  <c r="U100" i="30" s="1"/>
  <c r="T84" i="30"/>
  <c r="T100" i="30" s="1"/>
  <c r="S84" i="30"/>
  <c r="S100" i="30" s="1"/>
  <c r="R84" i="30"/>
  <c r="R100" i="30" s="1"/>
  <c r="O84" i="30"/>
  <c r="O100" i="30" s="1"/>
  <c r="N84" i="30"/>
  <c r="M5" i="30" s="1"/>
  <c r="M84" i="30"/>
  <c r="M100" i="30" s="1"/>
  <c r="L84" i="30"/>
  <c r="L100" i="30" s="1"/>
  <c r="K84" i="30"/>
  <c r="K100" i="30" s="1"/>
  <c r="J84" i="30"/>
  <c r="J100" i="30" s="1"/>
  <c r="I84" i="30"/>
  <c r="I100" i="30" s="1"/>
  <c r="H84" i="30"/>
  <c r="H100" i="30" s="1"/>
  <c r="G84" i="30"/>
  <c r="G100" i="30" s="1"/>
  <c r="F84" i="30"/>
  <c r="E5" i="30" s="1"/>
  <c r="AN83" i="30"/>
  <c r="AI83" i="30"/>
  <c r="AH83" i="30"/>
  <c r="AN82" i="30"/>
  <c r="AI82" i="30"/>
  <c r="AH82" i="30"/>
  <c r="AN81" i="30"/>
  <c r="AI81" i="30"/>
  <c r="AH81" i="30"/>
  <c r="AI80" i="30"/>
  <c r="AH80" i="30"/>
  <c r="AI79" i="30"/>
  <c r="AH79" i="30"/>
  <c r="AI78" i="30"/>
  <c r="AH78" i="30"/>
  <c r="AI77" i="30"/>
  <c r="AH77" i="30"/>
  <c r="AI76" i="30"/>
  <c r="AH76" i="30"/>
  <c r="AI75" i="30"/>
  <c r="AH75" i="30"/>
  <c r="AI74" i="30"/>
  <c r="AH74" i="30"/>
  <c r="AI73" i="30"/>
  <c r="AH73" i="30"/>
  <c r="AG72" i="30"/>
  <c r="AF72" i="30"/>
  <c r="AE72" i="30"/>
  <c r="AD72" i="30"/>
  <c r="AC72" i="30"/>
  <c r="AA72" i="30"/>
  <c r="Z72" i="30"/>
  <c r="Y72" i="30"/>
  <c r="X72" i="30"/>
  <c r="W72" i="30"/>
  <c r="V72" i="30"/>
  <c r="U72" i="30"/>
  <c r="T72" i="30"/>
  <c r="S72" i="30"/>
  <c r="R72" i="30"/>
  <c r="O72" i="30"/>
  <c r="M72" i="30"/>
  <c r="L72" i="30"/>
  <c r="AI71" i="30"/>
  <c r="AH71" i="30"/>
  <c r="AI70" i="30"/>
  <c r="AH70" i="30"/>
  <c r="AI69" i="30"/>
  <c r="AH69" i="30"/>
  <c r="AG68" i="30"/>
  <c r="AF68" i="30"/>
  <c r="AE68" i="30"/>
  <c r="AD68" i="30"/>
  <c r="AC68" i="30"/>
  <c r="AA68" i="30"/>
  <c r="Z68" i="30"/>
  <c r="Y68" i="30"/>
  <c r="X68" i="30"/>
  <c r="W68" i="30"/>
  <c r="V68" i="30"/>
  <c r="U68" i="30"/>
  <c r="T68" i="30"/>
  <c r="S68" i="30"/>
  <c r="R68" i="30"/>
  <c r="O68" i="30"/>
  <c r="M68" i="30"/>
  <c r="L68" i="30"/>
  <c r="K68" i="30"/>
  <c r="J68" i="30"/>
  <c r="I68" i="30"/>
  <c r="H68" i="30"/>
  <c r="G68" i="30"/>
  <c r="F68" i="30"/>
  <c r="AI67" i="30"/>
  <c r="AH67" i="30"/>
  <c r="AG67" i="30"/>
  <c r="AI66" i="30"/>
  <c r="AH66" i="30"/>
  <c r="AI65" i="30"/>
  <c r="AH65" i="30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I56" i="30"/>
  <c r="AH56" i="30"/>
  <c r="AI55" i="30"/>
  <c r="AH55" i="30"/>
  <c r="AG54" i="30"/>
  <c r="AF54" i="30"/>
  <c r="AE54" i="30"/>
  <c r="AD54" i="30"/>
  <c r="AC54" i="30"/>
  <c r="AA54" i="30"/>
  <c r="Z54" i="30"/>
  <c r="X54" i="30"/>
  <c r="W54" i="30"/>
  <c r="V54" i="30"/>
  <c r="U54" i="30"/>
  <c r="T54" i="30"/>
  <c r="S54" i="30"/>
  <c r="R54" i="30"/>
  <c r="O54" i="30"/>
  <c r="L54" i="30"/>
  <c r="K54" i="30"/>
  <c r="J54" i="30"/>
  <c r="I54" i="30"/>
  <c r="H54" i="30"/>
  <c r="G54" i="30"/>
  <c r="F54" i="30"/>
  <c r="AI53" i="30"/>
  <c r="AH53" i="30"/>
  <c r="AI52" i="30"/>
  <c r="AH52" i="30"/>
  <c r="AI51" i="30"/>
  <c r="AH51" i="30"/>
  <c r="AG50" i="30"/>
  <c r="AG89" i="30" s="1"/>
  <c r="AF50" i="30"/>
  <c r="AE50" i="30"/>
  <c r="AD50" i="30"/>
  <c r="AC50" i="30"/>
  <c r="AA50" i="30"/>
  <c r="Z50" i="30"/>
  <c r="Y50" i="30"/>
  <c r="X50" i="30"/>
  <c r="W50" i="30"/>
  <c r="V50" i="30"/>
  <c r="U50" i="30"/>
  <c r="T50" i="30"/>
  <c r="S50" i="30"/>
  <c r="R50" i="30"/>
  <c r="O50" i="30"/>
  <c r="L50" i="30"/>
  <c r="K50" i="30"/>
  <c r="J50" i="30"/>
  <c r="I50" i="30"/>
  <c r="I89" i="30" s="1"/>
  <c r="I91" i="30" s="1"/>
  <c r="H50" i="30"/>
  <c r="G50" i="30"/>
  <c r="F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A5" i="30"/>
  <c r="U5" i="30"/>
  <c r="AG4" i="30"/>
  <c r="K4" i="30"/>
  <c r="E4" i="30"/>
  <c r="H4" i="30" s="1"/>
  <c r="B4" i="30"/>
  <c r="S246" i="30" s="1"/>
  <c r="AG3" i="30"/>
  <c r="AG6" i="30" s="1"/>
  <c r="AG2" i="30"/>
  <c r="AF50" i="29"/>
  <c r="AF54" i="29"/>
  <c r="AF68" i="29"/>
  <c r="AF72" i="29"/>
  <c r="AF84" i="29"/>
  <c r="AF100" i="29" s="1"/>
  <c r="AF110" i="29"/>
  <c r="AE50" i="29"/>
  <c r="AE54" i="29"/>
  <c r="AE68" i="29"/>
  <c r="AE72" i="29"/>
  <c r="AE84" i="29"/>
  <c r="AE100" i="29" s="1"/>
  <c r="AE110" i="29"/>
  <c r="Q72" i="29"/>
  <c r="AD50" i="29"/>
  <c r="AD54" i="29"/>
  <c r="AD68" i="29"/>
  <c r="AD72" i="29"/>
  <c r="AD84" i="29"/>
  <c r="AD100" i="29" s="1"/>
  <c r="AD110" i="29"/>
  <c r="AF89" i="30" l="1"/>
  <c r="AF91" i="30" s="1"/>
  <c r="AX249" i="30" s="1"/>
  <c r="AD5" i="30"/>
  <c r="AE89" i="30"/>
  <c r="AE91" i="30" s="1"/>
  <c r="AW249" i="30" s="1"/>
  <c r="AC5" i="30"/>
  <c r="AD89" i="30"/>
  <c r="AD91" i="30" s="1"/>
  <c r="AV249" i="30" s="1"/>
  <c r="AB5" i="30"/>
  <c r="AC89" i="30"/>
  <c r="AC91" i="30" s="1"/>
  <c r="AC92" i="30" s="1"/>
  <c r="Z5" i="30"/>
  <c r="AA89" i="30"/>
  <c r="AA91" i="30" s="1"/>
  <c r="AS249" i="30" s="1"/>
  <c r="Y5" i="30"/>
  <c r="Z89" i="30"/>
  <c r="Z91" i="30" s="1"/>
  <c r="Z92" i="30" s="1"/>
  <c r="Y89" i="30"/>
  <c r="Y91" i="30" s="1"/>
  <c r="Y7" i="30" s="1"/>
  <c r="X89" i="30"/>
  <c r="X91" i="30" s="1"/>
  <c r="AP249" i="30" s="1"/>
  <c r="W100" i="30"/>
  <c r="W89" i="30"/>
  <c r="W91" i="30" s="1"/>
  <c r="AO249" i="30" s="1"/>
  <c r="V89" i="30"/>
  <c r="V91" i="30" s="1"/>
  <c r="V92" i="30" s="1"/>
  <c r="T5" i="30"/>
  <c r="U89" i="30"/>
  <c r="U91" i="30" s="1"/>
  <c r="U92" i="30" s="1"/>
  <c r="S5" i="30"/>
  <c r="T89" i="30"/>
  <c r="T91" i="30" s="1"/>
  <c r="T92" i="30" s="1"/>
  <c r="R5" i="30"/>
  <c r="S89" i="30"/>
  <c r="S91" i="30" s="1"/>
  <c r="S92" i="30" s="1"/>
  <c r="Q5" i="30"/>
  <c r="AI54" i="30"/>
  <c r="R89" i="30"/>
  <c r="R91" i="30" s="1"/>
  <c r="R7" i="30" s="1"/>
  <c r="N5" i="30"/>
  <c r="O89" i="30"/>
  <c r="O91" i="30" s="1"/>
  <c r="O7" i="30" s="1"/>
  <c r="N100" i="30"/>
  <c r="N89" i="30"/>
  <c r="N91" i="30" s="1"/>
  <c r="N7" i="30" s="1"/>
  <c r="L5" i="30"/>
  <c r="M89" i="30"/>
  <c r="M91" i="30" s="1"/>
  <c r="AE249" i="30" s="1"/>
  <c r="K5" i="30"/>
  <c r="J5" i="30"/>
  <c r="K89" i="30"/>
  <c r="K91" i="30" s="1"/>
  <c r="K92" i="30" s="1"/>
  <c r="I5" i="30"/>
  <c r="H89" i="30"/>
  <c r="H91" i="30" s="1"/>
  <c r="Z249" i="30" s="1"/>
  <c r="F5" i="30"/>
  <c r="G89" i="30"/>
  <c r="G91" i="30" s="1"/>
  <c r="F100" i="30"/>
  <c r="F89" i="30"/>
  <c r="F91" i="30" s="1"/>
  <c r="F92" i="30" s="1"/>
  <c r="J89" i="30"/>
  <c r="J91" i="30" s="1"/>
  <c r="J7" i="30" s="1"/>
  <c r="L89" i="30"/>
  <c r="L91" i="30" s="1"/>
  <c r="L7" i="30" s="1"/>
  <c r="E89" i="30"/>
  <c r="E91" i="30" s="1"/>
  <c r="E92" i="30" s="1"/>
  <c r="AH72" i="30"/>
  <c r="AI68" i="30"/>
  <c r="C5" i="30"/>
  <c r="D5" i="30"/>
  <c r="D89" i="30"/>
  <c r="D91" i="30" s="1"/>
  <c r="D92" i="30" s="1"/>
  <c r="B5" i="30"/>
  <c r="C89" i="30"/>
  <c r="C91" i="30" s="1"/>
  <c r="C92" i="30" s="1"/>
  <c r="AF5" i="30"/>
  <c r="B89" i="30"/>
  <c r="B91" i="30" s="1"/>
  <c r="B92" i="30" s="1"/>
  <c r="D246" i="30"/>
  <c r="Q7" i="30"/>
  <c r="AI249" i="30"/>
  <c r="AT249" i="30"/>
  <c r="AB7" i="30"/>
  <c r="D270" i="30"/>
  <c r="F234" i="30"/>
  <c r="C7" i="30"/>
  <c r="U249" i="30"/>
  <c r="P7" i="30"/>
  <c r="AH249" i="30"/>
  <c r="I7" i="30"/>
  <c r="I92" i="30"/>
  <c r="AA249" i="30"/>
  <c r="G229" i="30"/>
  <c r="J232" i="30"/>
  <c r="K232" i="30" s="1"/>
  <c r="L232" i="30" s="1"/>
  <c r="M232" i="30" s="1"/>
  <c r="N232" i="30" s="1"/>
  <c r="O232" i="30" s="1"/>
  <c r="M92" i="30"/>
  <c r="AH68" i="30"/>
  <c r="O5" i="30"/>
  <c r="AE5" i="30"/>
  <c r="X100" i="30"/>
  <c r="AI100" i="30" s="1"/>
  <c r="H5" i="30"/>
  <c r="P5" i="30"/>
  <c r="X5" i="30"/>
  <c r="AH84" i="30"/>
  <c r="C270" i="30"/>
  <c r="AH50" i="30"/>
  <c r="AH54" i="30"/>
  <c r="AI84" i="30"/>
  <c r="AI50" i="30"/>
  <c r="AI72" i="30"/>
  <c r="G5" i="30"/>
  <c r="E230" i="30"/>
  <c r="B235" i="30"/>
  <c r="AF89" i="29"/>
  <c r="AF91" i="29" s="1"/>
  <c r="AF92" i="29" s="1"/>
  <c r="AE89" i="29"/>
  <c r="AE91" i="29" s="1"/>
  <c r="AE92" i="29" s="1"/>
  <c r="AD89" i="29"/>
  <c r="AD91" i="29" s="1"/>
  <c r="AD92" i="29" s="1"/>
  <c r="AF7" i="30" l="1"/>
  <c r="AF92" i="30"/>
  <c r="AE7" i="30"/>
  <c r="AE92" i="30"/>
  <c r="AD7" i="30"/>
  <c r="AD92" i="30"/>
  <c r="AC7" i="30"/>
  <c r="AU249" i="30"/>
  <c r="AA7" i="30"/>
  <c r="AA92" i="30"/>
  <c r="AR249" i="30"/>
  <c r="Z7" i="30"/>
  <c r="AQ249" i="30"/>
  <c r="Y92" i="30"/>
  <c r="X92" i="30"/>
  <c r="X7" i="30"/>
  <c r="AH100" i="30"/>
  <c r="W7" i="30"/>
  <c r="W92" i="30"/>
  <c r="AN249" i="30"/>
  <c r="V7" i="30"/>
  <c r="U7" i="30"/>
  <c r="AM249" i="30"/>
  <c r="AL249" i="30"/>
  <c r="T7" i="30"/>
  <c r="AK249" i="30"/>
  <c r="S7" i="30"/>
  <c r="AJ249" i="30"/>
  <c r="R92" i="30"/>
  <c r="AG249" i="30"/>
  <c r="O92" i="30"/>
  <c r="N92" i="30"/>
  <c r="AF249" i="30"/>
  <c r="M7" i="30"/>
  <c r="AC249" i="30"/>
  <c r="K7" i="30"/>
  <c r="AD249" i="30"/>
  <c r="AB249" i="30"/>
  <c r="J92" i="30"/>
  <c r="L92" i="30"/>
  <c r="H92" i="30"/>
  <c r="H7" i="30"/>
  <c r="C244" i="30"/>
  <c r="B244" i="30"/>
  <c r="Y249" i="30"/>
  <c r="G92" i="30"/>
  <c r="G7" i="30"/>
  <c r="X249" i="30"/>
  <c r="F7" i="30"/>
  <c r="E7" i="30"/>
  <c r="W249" i="30"/>
  <c r="AH89" i="30"/>
  <c r="V249" i="30"/>
  <c r="D7" i="30"/>
  <c r="AI89" i="30"/>
  <c r="E270" i="30"/>
  <c r="G234" i="30"/>
  <c r="B7" i="30"/>
  <c r="AI91" i="30"/>
  <c r="T249" i="30"/>
  <c r="AH91" i="30"/>
  <c r="F110" i="30"/>
  <c r="H229" i="30"/>
  <c r="G110" i="30"/>
  <c r="E235" i="30"/>
  <c r="F230" i="30"/>
  <c r="K6" i="30" l="1"/>
  <c r="A7" i="30"/>
  <c r="I229" i="30"/>
  <c r="F270" i="30"/>
  <c r="H234" i="30"/>
  <c r="G230" i="30"/>
  <c r="F235" i="30"/>
  <c r="AI92" i="30"/>
  <c r="AH92" i="30"/>
  <c r="H230" i="30" l="1"/>
  <c r="G235" i="30"/>
  <c r="G270" i="30"/>
  <c r="I234" i="30"/>
  <c r="I110" i="30" s="1"/>
  <c r="H110" i="30"/>
  <c r="J229" i="30"/>
  <c r="I230" i="30" l="1"/>
  <c r="H235" i="30"/>
  <c r="K229" i="30"/>
  <c r="H270" i="30"/>
  <c r="J234" i="30"/>
  <c r="K234" i="30" l="1"/>
  <c r="K110" i="30" s="1"/>
  <c r="I270" i="30"/>
  <c r="L229" i="30"/>
  <c r="J110" i="30"/>
  <c r="J230" i="30"/>
  <c r="M229" i="30" l="1"/>
  <c r="L110" i="30"/>
  <c r="K230" i="30"/>
  <c r="L234" i="30"/>
  <c r="J270" i="30"/>
  <c r="K270" i="30" l="1"/>
  <c r="M234" i="30"/>
  <c r="L230" i="30"/>
  <c r="N229" i="30"/>
  <c r="L270" i="30" l="1"/>
  <c r="N234" i="30"/>
  <c r="N110" i="30" s="1"/>
  <c r="O229" i="30"/>
  <c r="M110" i="30"/>
  <c r="M230" i="30"/>
  <c r="N230" i="30" l="1"/>
  <c r="O110" i="30"/>
  <c r="M270" i="30"/>
  <c r="O234" i="30"/>
  <c r="N270" i="30" l="1"/>
  <c r="O270" i="30"/>
  <c r="AI110" i="30"/>
  <c r="AH110" i="30"/>
  <c r="O230" i="30"/>
  <c r="Z113" i="29" l="1"/>
  <c r="Z49" i="29"/>
  <c r="Y113" i="29"/>
  <c r="Y49" i="29"/>
  <c r="X113" i="29"/>
  <c r="X49" i="29"/>
  <c r="W113" i="29"/>
  <c r="V75" i="29"/>
  <c r="V49" i="29"/>
  <c r="W49" i="29"/>
  <c r="U49" i="29"/>
  <c r="U50" i="29"/>
  <c r="U54" i="29"/>
  <c r="U68" i="29"/>
  <c r="U72" i="29"/>
  <c r="U84" i="29"/>
  <c r="U100" i="29" s="1"/>
  <c r="U110" i="29"/>
  <c r="S113" i="29"/>
  <c r="S49" i="29"/>
  <c r="R49" i="29"/>
  <c r="Q49" i="29"/>
  <c r="Q50" i="29"/>
  <c r="Q54" i="29"/>
  <c r="Q68" i="29"/>
  <c r="Q84" i="29"/>
  <c r="Q100" i="29" s="1"/>
  <c r="Q110" i="29"/>
  <c r="O49" i="29"/>
  <c r="P49" i="29"/>
  <c r="O50" i="29"/>
  <c r="P50" i="29"/>
  <c r="O54" i="29"/>
  <c r="P54" i="29"/>
  <c r="O68" i="29"/>
  <c r="P68" i="29"/>
  <c r="O72" i="29"/>
  <c r="P72" i="29"/>
  <c r="O84" i="29"/>
  <c r="O100" i="29" s="1"/>
  <c r="P84" i="29"/>
  <c r="P100" i="29" s="1"/>
  <c r="O110" i="29"/>
  <c r="P110" i="29"/>
  <c r="N49" i="29"/>
  <c r="U89" i="29" l="1"/>
  <c r="U91" i="29" s="1"/>
  <c r="U92" i="29" s="1"/>
  <c r="Q89" i="29"/>
  <c r="Q91" i="29" s="1"/>
  <c r="Q92" i="29" s="1"/>
  <c r="P89" i="29"/>
  <c r="P91" i="29" s="1"/>
  <c r="P92" i="29" s="1"/>
  <c r="O89" i="29"/>
  <c r="O91" i="29" s="1"/>
  <c r="O92" i="29" s="1"/>
  <c r="M49" i="29" l="1"/>
  <c r="L113" i="29"/>
  <c r="L49" i="29"/>
  <c r="K113" i="29"/>
  <c r="K49" i="29"/>
  <c r="J113" i="29"/>
  <c r="J49" i="29"/>
  <c r="I113" i="29"/>
  <c r="I49" i="29"/>
  <c r="H113" i="29"/>
  <c r="H49" i="29"/>
  <c r="G113" i="29"/>
  <c r="F113" i="29"/>
  <c r="E113" i="29"/>
  <c r="AF274" i="29"/>
  <c r="AE274" i="29"/>
  <c r="AD274" i="29"/>
  <c r="AC274" i="29"/>
  <c r="AB274" i="29"/>
  <c r="AA274" i="29"/>
  <c r="Z274" i="29"/>
  <c r="Y274" i="29"/>
  <c r="X274" i="29"/>
  <c r="W274" i="29"/>
  <c r="V274" i="29"/>
  <c r="U274" i="29"/>
  <c r="T274" i="29"/>
  <c r="S274" i="29"/>
  <c r="R274" i="29"/>
  <c r="Q274" i="29"/>
  <c r="P274" i="29"/>
  <c r="O274" i="29"/>
  <c r="N274" i="29"/>
  <c r="M274" i="29"/>
  <c r="L274" i="29"/>
  <c r="K274" i="29"/>
  <c r="J274" i="29"/>
  <c r="I274" i="29"/>
  <c r="H274" i="29"/>
  <c r="G274" i="29"/>
  <c r="F274" i="29"/>
  <c r="E274" i="29"/>
  <c r="D274" i="29"/>
  <c r="C274" i="29"/>
  <c r="B274" i="29"/>
  <c r="A274" i="29"/>
  <c r="AF273" i="29"/>
  <c r="AE273" i="29"/>
  <c r="AD273" i="29"/>
  <c r="AC273" i="29"/>
  <c r="AB273" i="29"/>
  <c r="AA273" i="29"/>
  <c r="Z273" i="29"/>
  <c r="Y273" i="29"/>
  <c r="X273" i="29"/>
  <c r="W273" i="29"/>
  <c r="V273" i="29"/>
  <c r="U273" i="29"/>
  <c r="T273" i="29"/>
  <c r="S273" i="29"/>
  <c r="R273" i="29"/>
  <c r="Q273" i="29"/>
  <c r="P273" i="29"/>
  <c r="O273" i="29"/>
  <c r="N273" i="29"/>
  <c r="M273" i="29"/>
  <c r="L273" i="29"/>
  <c r="K273" i="29"/>
  <c r="J273" i="29"/>
  <c r="I273" i="29"/>
  <c r="H273" i="29"/>
  <c r="G273" i="29"/>
  <c r="F273" i="29"/>
  <c r="E273" i="29"/>
  <c r="D273" i="29"/>
  <c r="C273" i="29"/>
  <c r="B273" i="29"/>
  <c r="A273" i="29"/>
  <c r="AF272" i="29"/>
  <c r="AE272" i="29"/>
  <c r="AD272" i="29"/>
  <c r="AC272" i="29"/>
  <c r="AB272" i="29"/>
  <c r="AA272" i="29"/>
  <c r="Z272" i="29"/>
  <c r="Y272" i="29"/>
  <c r="X272" i="29"/>
  <c r="W272" i="29"/>
  <c r="V272" i="29"/>
  <c r="U272" i="29"/>
  <c r="T272" i="29"/>
  <c r="S272" i="29"/>
  <c r="R272" i="29"/>
  <c r="Q272" i="29"/>
  <c r="P272" i="29"/>
  <c r="O272" i="29"/>
  <c r="N272" i="29"/>
  <c r="M272" i="29"/>
  <c r="L272" i="29"/>
  <c r="K272" i="29"/>
  <c r="J272" i="29"/>
  <c r="I272" i="29"/>
  <c r="H272" i="29"/>
  <c r="G272" i="29"/>
  <c r="F272" i="29"/>
  <c r="E272" i="29"/>
  <c r="D272" i="29"/>
  <c r="C272" i="29"/>
  <c r="B272" i="29"/>
  <c r="A272" i="29"/>
  <c r="AF271" i="29"/>
  <c r="AE271" i="29"/>
  <c r="AD271" i="29"/>
  <c r="AC271" i="29"/>
  <c r="AB271" i="29"/>
  <c r="AA271" i="29"/>
  <c r="Z271" i="29"/>
  <c r="Y271" i="29"/>
  <c r="X271" i="29"/>
  <c r="W271" i="29"/>
  <c r="V271" i="29"/>
  <c r="U271" i="29"/>
  <c r="T271" i="29"/>
  <c r="S271" i="29"/>
  <c r="R271" i="29"/>
  <c r="Q271" i="29"/>
  <c r="P271" i="29"/>
  <c r="O271" i="29"/>
  <c r="N271" i="29"/>
  <c r="M271" i="29"/>
  <c r="L271" i="29"/>
  <c r="K271" i="29"/>
  <c r="J271" i="29"/>
  <c r="I271" i="29"/>
  <c r="H271" i="29"/>
  <c r="G271" i="29"/>
  <c r="F271" i="29"/>
  <c r="E271" i="29"/>
  <c r="D271" i="29"/>
  <c r="C271" i="29"/>
  <c r="B271" i="29"/>
  <c r="A271" i="29"/>
  <c r="AE270" i="29"/>
  <c r="AD270" i="29"/>
  <c r="AC270" i="29"/>
  <c r="AB270" i="29"/>
  <c r="AA270" i="29"/>
  <c r="Z270" i="29"/>
  <c r="Y270" i="29"/>
  <c r="X270" i="29"/>
  <c r="W270" i="29"/>
  <c r="V270" i="29"/>
  <c r="U270" i="29"/>
  <c r="T270" i="29"/>
  <c r="S270" i="29"/>
  <c r="R270" i="29"/>
  <c r="Q270" i="29"/>
  <c r="P270" i="29"/>
  <c r="B270" i="29"/>
  <c r="S245" i="29"/>
  <c r="AG235" i="29"/>
  <c r="AF235" i="29"/>
  <c r="AE235" i="29"/>
  <c r="AD235" i="29"/>
  <c r="AC235" i="29"/>
  <c r="AB235" i="29"/>
  <c r="AA235" i="29"/>
  <c r="Z235" i="29"/>
  <c r="Y235" i="29"/>
  <c r="X235" i="29"/>
  <c r="W235" i="29"/>
  <c r="V235" i="29"/>
  <c r="U235" i="29"/>
  <c r="T235" i="29"/>
  <c r="S235" i="29"/>
  <c r="R235" i="29"/>
  <c r="Q235" i="29"/>
  <c r="C235" i="29"/>
  <c r="D234" i="29"/>
  <c r="E234" i="29" s="1"/>
  <c r="B234" i="29"/>
  <c r="AF270" i="29" s="1"/>
  <c r="D233" i="29"/>
  <c r="E233" i="29" s="1"/>
  <c r="F233" i="29" s="1"/>
  <c r="G233" i="29" s="1"/>
  <c r="H233" i="29" s="1"/>
  <c r="I233" i="29" s="1"/>
  <c r="J233" i="29" s="1"/>
  <c r="K233" i="29" s="1"/>
  <c r="L233" i="29" s="1"/>
  <c r="M233" i="29" s="1"/>
  <c r="N233" i="29" s="1"/>
  <c r="O233" i="29" s="1"/>
  <c r="P233" i="29" s="1"/>
  <c r="B233" i="29"/>
  <c r="E232" i="29"/>
  <c r="F232" i="29" s="1"/>
  <c r="G232" i="29" s="1"/>
  <c r="H232" i="29" s="1"/>
  <c r="I232" i="29" s="1"/>
  <c r="D232" i="29"/>
  <c r="B232" i="29"/>
  <c r="F231" i="29"/>
  <c r="G231" i="29" s="1"/>
  <c r="H231" i="29" s="1"/>
  <c r="E231" i="29"/>
  <c r="D231" i="29"/>
  <c r="B231" i="29"/>
  <c r="D230" i="29"/>
  <c r="E230" i="29" s="1"/>
  <c r="F230" i="29" s="1"/>
  <c r="G230" i="29" s="1"/>
  <c r="H230" i="29" s="1"/>
  <c r="I230" i="29" s="1"/>
  <c r="J230" i="29" s="1"/>
  <c r="K230" i="29" s="1"/>
  <c r="L230" i="29" s="1"/>
  <c r="M230" i="29" s="1"/>
  <c r="N230" i="29" s="1"/>
  <c r="O230" i="29" s="1"/>
  <c r="P230" i="29" s="1"/>
  <c r="B230" i="29"/>
  <c r="D229" i="29"/>
  <c r="B229" i="29"/>
  <c r="B110" i="29" s="1"/>
  <c r="AG227" i="29"/>
  <c r="AF227" i="29"/>
  <c r="AE227" i="29"/>
  <c r="AD227" i="29"/>
  <c r="AC227" i="29"/>
  <c r="AB227" i="29"/>
  <c r="AA227" i="29"/>
  <c r="Z227" i="29"/>
  <c r="Y227" i="29"/>
  <c r="X227" i="29"/>
  <c r="W227" i="29"/>
  <c r="V227" i="29"/>
  <c r="U227" i="29"/>
  <c r="T227" i="29"/>
  <c r="S227" i="29"/>
  <c r="R227" i="29"/>
  <c r="Q227" i="29"/>
  <c r="P227" i="29"/>
  <c r="O227" i="29"/>
  <c r="N227" i="29"/>
  <c r="M227" i="29"/>
  <c r="L227" i="29"/>
  <c r="K227" i="29"/>
  <c r="J227" i="29"/>
  <c r="I227" i="29"/>
  <c r="H227" i="29"/>
  <c r="G227" i="29"/>
  <c r="F227" i="29"/>
  <c r="E227" i="29"/>
  <c r="D227" i="29"/>
  <c r="C227" i="29"/>
  <c r="B227" i="29"/>
  <c r="AI120" i="29"/>
  <c r="AH120" i="29"/>
  <c r="AI119" i="29"/>
  <c r="AH119" i="29"/>
  <c r="AI118" i="29"/>
  <c r="AH118" i="29"/>
  <c r="AI117" i="29"/>
  <c r="AH117" i="29"/>
  <c r="AI116" i="29"/>
  <c r="AH116" i="29"/>
  <c r="AI115" i="29"/>
  <c r="AH115" i="29"/>
  <c r="AI114" i="29"/>
  <c r="AH114" i="29"/>
  <c r="AI113" i="29"/>
  <c r="AI112" i="29"/>
  <c r="AH112" i="29"/>
  <c r="AI111" i="29"/>
  <c r="AH111" i="29"/>
  <c r="AC110" i="29"/>
  <c r="AB110" i="29"/>
  <c r="Z110" i="29"/>
  <c r="Y110" i="29"/>
  <c r="X110" i="29"/>
  <c r="W110" i="29"/>
  <c r="V110" i="29"/>
  <c r="S110" i="29"/>
  <c r="R110" i="29"/>
  <c r="D110" i="29"/>
  <c r="C110" i="29"/>
  <c r="AI109" i="29"/>
  <c r="AH109" i="29"/>
  <c r="AI108" i="29"/>
  <c r="AH108" i="29"/>
  <c r="AI107" i="29"/>
  <c r="AH107" i="29"/>
  <c r="AI106" i="29"/>
  <c r="AH106" i="29"/>
  <c r="AI105" i="29"/>
  <c r="AH105" i="29"/>
  <c r="AI104" i="29"/>
  <c r="AH104" i="29"/>
  <c r="AI103" i="29"/>
  <c r="AH103" i="29"/>
  <c r="AI102" i="29"/>
  <c r="AH102" i="29"/>
  <c r="AI101" i="29"/>
  <c r="AH101" i="29"/>
  <c r="AI99" i="29"/>
  <c r="AH99" i="29"/>
  <c r="AI98" i="29"/>
  <c r="AH98" i="29"/>
  <c r="AI97" i="29"/>
  <c r="AH97" i="29"/>
  <c r="AI96" i="29"/>
  <c r="AH96" i="29"/>
  <c r="AI95" i="29"/>
  <c r="AH95" i="29"/>
  <c r="AI94" i="29"/>
  <c r="AH94" i="29"/>
  <c r="AI93" i="29"/>
  <c r="AH93" i="29"/>
  <c r="AI90" i="29"/>
  <c r="AH90" i="29"/>
  <c r="AI88" i="29"/>
  <c r="AH88" i="29"/>
  <c r="AG88" i="29"/>
  <c r="AI87" i="29"/>
  <c r="AH87" i="29"/>
  <c r="AI86" i="29"/>
  <c r="AH86" i="29"/>
  <c r="AI85" i="29"/>
  <c r="AH85" i="29"/>
  <c r="AN84" i="29"/>
  <c r="AG84" i="29"/>
  <c r="AG91" i="29" s="1"/>
  <c r="AC84" i="29"/>
  <c r="AC100" i="29" s="1"/>
  <c r="AB84" i="29"/>
  <c r="AB100" i="29" s="1"/>
  <c r="Z84" i="29"/>
  <c r="Z100" i="29" s="1"/>
  <c r="Y84" i="29"/>
  <c r="Y100" i="29" s="1"/>
  <c r="X84" i="29"/>
  <c r="W84" i="29"/>
  <c r="W100" i="29" s="1"/>
  <c r="V84" i="29"/>
  <c r="V100" i="29" s="1"/>
  <c r="S84" i="29"/>
  <c r="S100" i="29" s="1"/>
  <c r="R84" i="29"/>
  <c r="R100" i="29" s="1"/>
  <c r="N84" i="29"/>
  <c r="N100" i="29" s="1"/>
  <c r="M84" i="29"/>
  <c r="M100" i="29" s="1"/>
  <c r="L84" i="29"/>
  <c r="L100" i="29" s="1"/>
  <c r="K84" i="29"/>
  <c r="K100" i="29" s="1"/>
  <c r="J84" i="29"/>
  <c r="J100" i="29" s="1"/>
  <c r="I84" i="29"/>
  <c r="H5" i="29" s="1"/>
  <c r="H84" i="29"/>
  <c r="G84" i="29"/>
  <c r="F5" i="29" s="1"/>
  <c r="F84" i="29"/>
  <c r="E5" i="29" s="1"/>
  <c r="E84" i="29"/>
  <c r="E100" i="29" s="1"/>
  <c r="D84" i="29"/>
  <c r="D100" i="29" s="1"/>
  <c r="C84" i="29"/>
  <c r="C100" i="29" s="1"/>
  <c r="B84" i="29"/>
  <c r="B100" i="29" s="1"/>
  <c r="AN83" i="29"/>
  <c r="AI83" i="29"/>
  <c r="AH83" i="29"/>
  <c r="AN82" i="29"/>
  <c r="AI82" i="29"/>
  <c r="AH82" i="29"/>
  <c r="AN81" i="29"/>
  <c r="AI81" i="29"/>
  <c r="AH81" i="29"/>
  <c r="AI80" i="29"/>
  <c r="AH80" i="29"/>
  <c r="AI79" i="29"/>
  <c r="AH79" i="29"/>
  <c r="AI78" i="29"/>
  <c r="AH78" i="29"/>
  <c r="AI77" i="29"/>
  <c r="AH77" i="29"/>
  <c r="AI76" i="29"/>
  <c r="AH76" i="29"/>
  <c r="AI75" i="29"/>
  <c r="AH75" i="29"/>
  <c r="AI74" i="29"/>
  <c r="AH74" i="29"/>
  <c r="AI73" i="29"/>
  <c r="AH73" i="29"/>
  <c r="AI72" i="29"/>
  <c r="AG72" i="29"/>
  <c r="AC72" i="29"/>
  <c r="AB72" i="29"/>
  <c r="Z72" i="29"/>
  <c r="Y72" i="29"/>
  <c r="X72" i="29"/>
  <c r="W72" i="29"/>
  <c r="V72" i="29"/>
  <c r="S72" i="29"/>
  <c r="R72" i="29"/>
  <c r="N72" i="29"/>
  <c r="M72" i="29"/>
  <c r="L72" i="29"/>
  <c r="B72" i="29"/>
  <c r="AH72" i="29" s="1"/>
  <c r="AI71" i="29"/>
  <c r="AH71" i="29"/>
  <c r="AI70" i="29"/>
  <c r="AH70" i="29"/>
  <c r="AI69" i="29"/>
  <c r="AH69" i="29"/>
  <c r="AG68" i="29"/>
  <c r="AG3" i="29" s="1"/>
  <c r="AC68" i="29"/>
  <c r="AB68" i="29"/>
  <c r="Z68" i="29"/>
  <c r="Y68" i="29"/>
  <c r="X68" i="29"/>
  <c r="W68" i="29"/>
  <c r="V68" i="29"/>
  <c r="S68" i="29"/>
  <c r="R68" i="29"/>
  <c r="N68" i="29"/>
  <c r="M68" i="29"/>
  <c r="L68" i="29"/>
  <c r="K68" i="29"/>
  <c r="J68" i="29"/>
  <c r="I68" i="29"/>
  <c r="H68" i="29"/>
  <c r="G68" i="29"/>
  <c r="F68" i="29"/>
  <c r="E68" i="29"/>
  <c r="D68" i="29"/>
  <c r="C68" i="29"/>
  <c r="B68" i="29"/>
  <c r="AI67" i="29"/>
  <c r="AH67" i="29"/>
  <c r="AG67" i="29"/>
  <c r="AI66" i="29"/>
  <c r="AH66" i="29"/>
  <c r="AI65" i="29"/>
  <c r="AH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I56" i="29"/>
  <c r="AH56" i="29"/>
  <c r="AI55" i="29"/>
  <c r="AH55" i="29"/>
  <c r="AG54" i="29"/>
  <c r="AC54" i="29"/>
  <c r="AB54" i="29"/>
  <c r="Z54" i="29"/>
  <c r="Y54" i="29"/>
  <c r="X54" i="29"/>
  <c r="W54" i="29"/>
  <c r="V54" i="29"/>
  <c r="S54" i="29"/>
  <c r="R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AI53" i="29"/>
  <c r="AH53" i="29"/>
  <c r="AI52" i="29"/>
  <c r="AH52" i="29"/>
  <c r="AI51" i="29"/>
  <c r="AH51" i="29"/>
  <c r="AG50" i="29"/>
  <c r="AG2" i="29" s="1"/>
  <c r="AG6" i="29" s="1"/>
  <c r="AC50" i="29"/>
  <c r="AB50" i="29"/>
  <c r="Z50" i="29"/>
  <c r="Y50" i="29"/>
  <c r="X50" i="29"/>
  <c r="W50" i="29"/>
  <c r="V50" i="29"/>
  <c r="S50" i="29"/>
  <c r="R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D5" i="29"/>
  <c r="AC5" i="29"/>
  <c r="T5" i="29"/>
  <c r="N5" i="29"/>
  <c r="AG4" i="29"/>
  <c r="K4" i="29"/>
  <c r="E4" i="29"/>
  <c r="H4" i="29" s="1"/>
  <c r="B4" i="29"/>
  <c r="S246" i="29" s="1"/>
  <c r="AB5" i="29" l="1"/>
  <c r="Z89" i="29"/>
  <c r="Z91" i="29" s="1"/>
  <c r="Z92" i="29" s="1"/>
  <c r="Y89" i="29"/>
  <c r="Y91" i="29" s="1"/>
  <c r="Y7" i="29" s="1"/>
  <c r="V5" i="29"/>
  <c r="V89" i="29"/>
  <c r="V91" i="29" s="1"/>
  <c r="V92" i="29" s="1"/>
  <c r="U5" i="29"/>
  <c r="W89" i="29"/>
  <c r="W91" i="29" s="1"/>
  <c r="W92" i="29" s="1"/>
  <c r="R89" i="29"/>
  <c r="R91" i="29" s="1"/>
  <c r="R7" i="29" s="1"/>
  <c r="Z5" i="29"/>
  <c r="S89" i="29"/>
  <c r="S91" i="29" s="1"/>
  <c r="S7" i="29" s="1"/>
  <c r="AA5" i="29"/>
  <c r="AB89" i="29"/>
  <c r="AB91" i="29" s="1"/>
  <c r="AB7" i="29" s="1"/>
  <c r="AC89" i="29"/>
  <c r="AC91" i="29" s="1"/>
  <c r="AU249" i="29" s="1"/>
  <c r="R5" i="29"/>
  <c r="S5" i="29"/>
  <c r="N89" i="29"/>
  <c r="N91" i="29" s="1"/>
  <c r="N92" i="29" s="1"/>
  <c r="M5" i="29"/>
  <c r="M89" i="29"/>
  <c r="M91" i="29" s="1"/>
  <c r="M7" i="29" s="1"/>
  <c r="L5" i="29"/>
  <c r="K5" i="29"/>
  <c r="L89" i="29"/>
  <c r="L91" i="29" s="1"/>
  <c r="L7" i="29" s="1"/>
  <c r="J5" i="29"/>
  <c r="K89" i="29"/>
  <c r="K91" i="29" s="1"/>
  <c r="K7" i="29" s="1"/>
  <c r="J89" i="29"/>
  <c r="J91" i="29" s="1"/>
  <c r="J7" i="29" s="1"/>
  <c r="I89" i="29"/>
  <c r="I91" i="29" s="1"/>
  <c r="I92" i="29" s="1"/>
  <c r="G100" i="29"/>
  <c r="G89" i="29"/>
  <c r="G91" i="29" s="1"/>
  <c r="G7" i="29" s="1"/>
  <c r="AH113" i="29"/>
  <c r="F100" i="29"/>
  <c r="F89" i="29"/>
  <c r="F91" i="29" s="1"/>
  <c r="F92" i="29" s="1"/>
  <c r="D5" i="29"/>
  <c r="E89" i="29"/>
  <c r="E91" i="29" s="1"/>
  <c r="W249" i="29" s="1"/>
  <c r="C5" i="29"/>
  <c r="AI68" i="29"/>
  <c r="D89" i="29"/>
  <c r="D91" i="29" s="1"/>
  <c r="D7" i="29" s="1"/>
  <c r="B5" i="29"/>
  <c r="C89" i="29"/>
  <c r="C91" i="29" s="1"/>
  <c r="C92" i="29" s="1"/>
  <c r="AF5" i="29"/>
  <c r="B89" i="29"/>
  <c r="B91" i="29" s="1"/>
  <c r="AG249" i="29"/>
  <c r="O7" i="29"/>
  <c r="AO249" i="29"/>
  <c r="I7" i="29"/>
  <c r="Q7" i="29"/>
  <c r="AI249" i="29"/>
  <c r="Y92" i="29"/>
  <c r="G5" i="29"/>
  <c r="H100" i="29"/>
  <c r="O5" i="29"/>
  <c r="X100" i="29"/>
  <c r="W5" i="29"/>
  <c r="AE5" i="29"/>
  <c r="AL249" i="29"/>
  <c r="T7" i="29"/>
  <c r="J92" i="29"/>
  <c r="AB249" i="29"/>
  <c r="AA7" i="29"/>
  <c r="AS249" i="29"/>
  <c r="AM249" i="29"/>
  <c r="U7" i="29"/>
  <c r="AH68" i="29"/>
  <c r="F234" i="29"/>
  <c r="D270" i="29"/>
  <c r="V249" i="29"/>
  <c r="AF249" i="29"/>
  <c r="N7" i="29"/>
  <c r="AV249" i="29"/>
  <c r="AD7" i="29"/>
  <c r="E92" i="29"/>
  <c r="D235" i="29"/>
  <c r="AW249" i="29"/>
  <c r="AE7" i="29"/>
  <c r="H89" i="29"/>
  <c r="H91" i="29" s="1"/>
  <c r="X89" i="29"/>
  <c r="X91" i="29" s="1"/>
  <c r="AI54" i="29"/>
  <c r="M92" i="29"/>
  <c r="AE249" i="29"/>
  <c r="J232" i="29"/>
  <c r="K232" i="29" s="1"/>
  <c r="L232" i="29" s="1"/>
  <c r="M232" i="29" s="1"/>
  <c r="N232" i="29" s="1"/>
  <c r="O232" i="29" s="1"/>
  <c r="P232" i="29" s="1"/>
  <c r="X5" i="29"/>
  <c r="AH84" i="29"/>
  <c r="I5" i="29"/>
  <c r="Q5" i="29"/>
  <c r="Y5" i="29"/>
  <c r="AH50" i="29"/>
  <c r="AH54" i="29"/>
  <c r="AI84" i="29"/>
  <c r="E229" i="29"/>
  <c r="P5" i="29"/>
  <c r="I100" i="29"/>
  <c r="C270" i="29"/>
  <c r="AI50" i="29"/>
  <c r="AG89" i="29"/>
  <c r="B235" i="29"/>
  <c r="D246" i="29"/>
  <c r="AC7" i="29" l="1"/>
  <c r="Z7" i="29"/>
  <c r="AR249" i="29"/>
  <c r="AQ249" i="29"/>
  <c r="AN249" i="29"/>
  <c r="W7" i="29"/>
  <c r="V7" i="29"/>
  <c r="AK249" i="29"/>
  <c r="AJ249" i="29"/>
  <c r="R92" i="29"/>
  <c r="AC92" i="29"/>
  <c r="AT249" i="29"/>
  <c r="AI100" i="29"/>
  <c r="AB92" i="29"/>
  <c r="D92" i="29"/>
  <c r="S92" i="29"/>
  <c r="L92" i="29"/>
  <c r="AA249" i="29"/>
  <c r="AC249" i="29"/>
  <c r="C7" i="29"/>
  <c r="AD249" i="29"/>
  <c r="Y249" i="29"/>
  <c r="K92" i="29"/>
  <c r="F7" i="29"/>
  <c r="X249" i="29"/>
  <c r="G92" i="29"/>
  <c r="AI89" i="29"/>
  <c r="E7" i="29"/>
  <c r="U249" i="29"/>
  <c r="E110" i="29"/>
  <c r="F229" i="29"/>
  <c r="E235" i="29"/>
  <c r="X92" i="29"/>
  <c r="AP249" i="29"/>
  <c r="X7" i="29"/>
  <c r="AH100" i="29"/>
  <c r="AH249" i="29"/>
  <c r="P7" i="29"/>
  <c r="AX249" i="29"/>
  <c r="AF7" i="29"/>
  <c r="H92" i="29"/>
  <c r="Z249" i="29"/>
  <c r="H7" i="29"/>
  <c r="E270" i="29"/>
  <c r="G234" i="29"/>
  <c r="B244" i="29"/>
  <c r="B7" i="29"/>
  <c r="B92" i="29"/>
  <c r="T249" i="29"/>
  <c r="AH91" i="29"/>
  <c r="AI91" i="29"/>
  <c r="C244" i="29"/>
  <c r="AH89" i="29"/>
  <c r="K6" i="29" l="1"/>
  <c r="AI92" i="29"/>
  <c r="AH92" i="29"/>
  <c r="A7" i="29"/>
  <c r="F270" i="29"/>
  <c r="H234" i="29"/>
  <c r="G229" i="29"/>
  <c r="F110" i="29"/>
  <c r="F235" i="29"/>
  <c r="H229" i="29" l="1"/>
  <c r="G235" i="29"/>
  <c r="G110" i="29"/>
  <c r="G270" i="29"/>
  <c r="I234" i="29"/>
  <c r="H270" i="29" l="1"/>
  <c r="J234" i="29"/>
  <c r="I229" i="29"/>
  <c r="H110" i="29"/>
  <c r="H235" i="29"/>
  <c r="I110" i="29" l="1"/>
  <c r="J229" i="29"/>
  <c r="K234" i="29"/>
  <c r="I270" i="29"/>
  <c r="J270" i="29" l="1"/>
  <c r="L234" i="29"/>
  <c r="J110" i="29"/>
  <c r="K229" i="29"/>
  <c r="K110" i="29" l="1"/>
  <c r="L229" i="29"/>
  <c r="M234" i="29"/>
  <c r="K270" i="29"/>
  <c r="L270" i="29" l="1"/>
  <c r="N234" i="29"/>
  <c r="M229" i="29"/>
  <c r="L110" i="29"/>
  <c r="N229" i="29" l="1"/>
  <c r="M110" i="29"/>
  <c r="M270" i="29"/>
  <c r="O234" i="29"/>
  <c r="N270" i="29" l="1"/>
  <c r="P234" i="29"/>
  <c r="O270" i="29" s="1"/>
  <c r="N110" i="29"/>
  <c r="O229" i="29"/>
  <c r="P229" i="29" l="1"/>
  <c r="AI110" i="29" l="1"/>
  <c r="AH110" i="29"/>
  <c r="AC113" i="28" l="1"/>
  <c r="AB113" i="28"/>
  <c r="AA84" i="28"/>
  <c r="AA72" i="28"/>
  <c r="AA68" i="28"/>
  <c r="AA54" i="28"/>
  <c r="AA50" i="28"/>
  <c r="AA89" i="28" s="1"/>
  <c r="AA91" i="28" s="1"/>
  <c r="AA92" i="28" s="1"/>
  <c r="V50" i="28" l="1"/>
  <c r="V54" i="28"/>
  <c r="V68" i="28"/>
  <c r="V72" i="28"/>
  <c r="V84" i="28"/>
  <c r="V100" i="28" s="1"/>
  <c r="V110" i="28"/>
  <c r="U50" i="28"/>
  <c r="U54" i="28"/>
  <c r="U68" i="28"/>
  <c r="U72" i="28"/>
  <c r="U84" i="28"/>
  <c r="U100" i="28" s="1"/>
  <c r="U110" i="28"/>
  <c r="T50" i="28"/>
  <c r="T54" i="28"/>
  <c r="T68" i="28"/>
  <c r="T72" i="28"/>
  <c r="T84" i="28"/>
  <c r="T100" i="28" s="1"/>
  <c r="T110" i="28"/>
  <c r="L50" i="28"/>
  <c r="L54" i="28"/>
  <c r="L68" i="28"/>
  <c r="L84" i="28"/>
  <c r="L100" i="28" s="1"/>
  <c r="K50" i="28"/>
  <c r="K54" i="28"/>
  <c r="K68" i="28"/>
  <c r="K84" i="28"/>
  <c r="K100" i="28" s="1"/>
  <c r="J50" i="28"/>
  <c r="J54" i="28"/>
  <c r="J68" i="28"/>
  <c r="J84" i="28"/>
  <c r="J100" i="28" s="1"/>
  <c r="I50" i="28"/>
  <c r="I54" i="28"/>
  <c r="I68" i="28"/>
  <c r="I84" i="28"/>
  <c r="H50" i="28"/>
  <c r="H54" i="28"/>
  <c r="H68" i="28"/>
  <c r="H84" i="28"/>
  <c r="H100" i="28" s="1"/>
  <c r="G50" i="28"/>
  <c r="G54" i="28"/>
  <c r="G68" i="28"/>
  <c r="G84" i="28"/>
  <c r="G100" i="28" s="1"/>
  <c r="F50" i="28"/>
  <c r="F54" i="28"/>
  <c r="F68" i="28"/>
  <c r="F84" i="28"/>
  <c r="F100" i="28" s="1"/>
  <c r="E50" i="28"/>
  <c r="E89" i="28" s="1"/>
  <c r="E91" i="28" s="1"/>
  <c r="E54" i="28"/>
  <c r="E68" i="28"/>
  <c r="E84" i="28"/>
  <c r="E100" i="28" s="1"/>
  <c r="C110" i="28"/>
  <c r="D50" i="28"/>
  <c r="D5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E274" i="28"/>
  <c r="D274" i="28"/>
  <c r="C274" i="28"/>
  <c r="B274" i="28"/>
  <c r="A274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E273" i="28"/>
  <c r="D273" i="28"/>
  <c r="C273" i="28"/>
  <c r="B273" i="28"/>
  <c r="A273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E272" i="28"/>
  <c r="D272" i="28"/>
  <c r="C272" i="28"/>
  <c r="B272" i="28"/>
  <c r="A272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E271" i="28"/>
  <c r="D271" i="28"/>
  <c r="C271" i="28"/>
  <c r="B271" i="28"/>
  <c r="A271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B270" i="28"/>
  <c r="S24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C235" i="28"/>
  <c r="D234" i="28"/>
  <c r="C270" i="28" s="1"/>
  <c r="B234" i="28"/>
  <c r="AF270" i="28" s="1"/>
  <c r="D233" i="28"/>
  <c r="E233" i="28" s="1"/>
  <c r="F233" i="28" s="1"/>
  <c r="G233" i="28" s="1"/>
  <c r="H233" i="28" s="1"/>
  <c r="I233" i="28" s="1"/>
  <c r="J233" i="28" s="1"/>
  <c r="K233" i="28" s="1"/>
  <c r="L233" i="28" s="1"/>
  <c r="M233" i="28" s="1"/>
  <c r="N233" i="28" s="1"/>
  <c r="O233" i="28" s="1"/>
  <c r="P233" i="28" s="1"/>
  <c r="B233" i="28"/>
  <c r="D232" i="28"/>
  <c r="E232" i="28" s="1"/>
  <c r="F232" i="28" s="1"/>
  <c r="G232" i="28" s="1"/>
  <c r="H232" i="28" s="1"/>
  <c r="I232" i="28" s="1"/>
  <c r="B232" i="28"/>
  <c r="D231" i="28"/>
  <c r="E231" i="28" s="1"/>
  <c r="F231" i="28" s="1"/>
  <c r="G231" i="28" s="1"/>
  <c r="H231" i="28" s="1"/>
  <c r="B231" i="28"/>
  <c r="D230" i="28"/>
  <c r="E230" i="28" s="1"/>
  <c r="F230" i="28" s="1"/>
  <c r="G230" i="28" s="1"/>
  <c r="H230" i="28" s="1"/>
  <c r="I230" i="28" s="1"/>
  <c r="J230" i="28" s="1"/>
  <c r="K230" i="28" s="1"/>
  <c r="L230" i="28" s="1"/>
  <c r="M230" i="28" s="1"/>
  <c r="N230" i="28" s="1"/>
  <c r="O230" i="28" s="1"/>
  <c r="P230" i="28" s="1"/>
  <c r="B230" i="28"/>
  <c r="D229" i="28"/>
  <c r="D110" i="28" s="1"/>
  <c r="B229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E227" i="28"/>
  <c r="D227" i="28"/>
  <c r="C227" i="28"/>
  <c r="B227" i="28"/>
  <c r="AI120" i="28"/>
  <c r="AH120" i="28"/>
  <c r="AI119" i="28"/>
  <c r="AH119" i="28"/>
  <c r="AI118" i="28"/>
  <c r="AH118" i="28"/>
  <c r="AI117" i="28"/>
  <c r="AH117" i="28"/>
  <c r="AI116" i="28"/>
  <c r="AH116" i="28"/>
  <c r="AI115" i="28"/>
  <c r="AH115" i="28"/>
  <c r="AI114" i="28"/>
  <c r="AH114" i="28"/>
  <c r="AI113" i="28"/>
  <c r="AH113" i="28"/>
  <c r="AI112" i="28"/>
  <c r="AH112" i="28"/>
  <c r="AI111" i="28"/>
  <c r="AH111" i="28"/>
  <c r="AF110" i="28"/>
  <c r="AE110" i="28"/>
  <c r="AC110" i="28"/>
  <c r="AB110" i="28"/>
  <c r="Z110" i="28"/>
  <c r="Y110" i="28"/>
  <c r="X110" i="28"/>
  <c r="W110" i="28"/>
  <c r="S110" i="28"/>
  <c r="R110" i="28"/>
  <c r="Q110" i="28"/>
  <c r="AI109" i="28"/>
  <c r="AH109" i="28"/>
  <c r="AI108" i="28"/>
  <c r="AH108" i="28"/>
  <c r="AI107" i="28"/>
  <c r="AH107" i="28"/>
  <c r="AI106" i="28"/>
  <c r="AH106" i="28"/>
  <c r="AI105" i="28"/>
  <c r="AH105" i="28"/>
  <c r="AI104" i="28"/>
  <c r="AH104" i="28"/>
  <c r="AI103" i="28"/>
  <c r="AH103" i="28"/>
  <c r="AI102" i="28"/>
  <c r="AH102" i="28"/>
  <c r="AI101" i="28"/>
  <c r="AH101" i="28"/>
  <c r="AI99" i="28"/>
  <c r="AH99" i="28"/>
  <c r="AI98" i="28"/>
  <c r="AH98" i="28"/>
  <c r="AI97" i="28"/>
  <c r="AH97" i="28"/>
  <c r="AI96" i="28"/>
  <c r="AH96" i="28"/>
  <c r="AI95" i="28"/>
  <c r="AH95" i="28"/>
  <c r="AI94" i="28"/>
  <c r="AH94" i="28"/>
  <c r="AI93" i="28"/>
  <c r="AH93" i="28"/>
  <c r="AI90" i="28"/>
  <c r="AH90" i="28"/>
  <c r="AI88" i="28"/>
  <c r="AH88" i="28"/>
  <c r="AG88" i="28"/>
  <c r="AI87" i="28"/>
  <c r="AH87" i="28"/>
  <c r="AI86" i="28"/>
  <c r="AH86" i="28"/>
  <c r="AI85" i="28"/>
  <c r="AH85" i="28"/>
  <c r="AN84" i="28"/>
  <c r="AG84" i="28"/>
  <c r="AF84" i="28"/>
  <c r="AE5" i="28" s="1"/>
  <c r="AE84" i="28"/>
  <c r="AE100" i="28" s="1"/>
  <c r="AD84" i="28"/>
  <c r="AD100" i="28" s="1"/>
  <c r="AC84" i="28"/>
  <c r="AC100" i="28" s="1"/>
  <c r="AB84" i="28"/>
  <c r="AA5" i="28" s="1"/>
  <c r="Z84" i="28"/>
  <c r="Z100" i="28" s="1"/>
  <c r="Y84" i="28"/>
  <c r="X84" i="28"/>
  <c r="X100" i="28" s="1"/>
  <c r="W84" i="28"/>
  <c r="W100" i="28" s="1"/>
  <c r="S84" i="28"/>
  <c r="S100" i="28" s="1"/>
  <c r="R84" i="28"/>
  <c r="R100" i="28" s="1"/>
  <c r="Q84" i="28"/>
  <c r="P84" i="28"/>
  <c r="P100" i="28" s="1"/>
  <c r="O84" i="28"/>
  <c r="O100" i="28" s="1"/>
  <c r="N84" i="28"/>
  <c r="N100" i="28" s="1"/>
  <c r="M84" i="28"/>
  <c r="M100" i="28" s="1"/>
  <c r="D84" i="28"/>
  <c r="D100" i="28" s="1"/>
  <c r="C84" i="28"/>
  <c r="C100" i="28" s="1"/>
  <c r="B84" i="28"/>
  <c r="AF5" i="28" s="1"/>
  <c r="AI83" i="28"/>
  <c r="AH83" i="28"/>
  <c r="AN82" i="28"/>
  <c r="AN83" i="28" s="1"/>
  <c r="AI82" i="28"/>
  <c r="AH82" i="28"/>
  <c r="AN81" i="28"/>
  <c r="AI81" i="28"/>
  <c r="AH81" i="28"/>
  <c r="AI80" i="28"/>
  <c r="AH80" i="28"/>
  <c r="AI79" i="28"/>
  <c r="AH79" i="28"/>
  <c r="AI78" i="28"/>
  <c r="AH78" i="28"/>
  <c r="AI77" i="28"/>
  <c r="AH77" i="28"/>
  <c r="AI76" i="28"/>
  <c r="AH76" i="28"/>
  <c r="AI75" i="28"/>
  <c r="AH75" i="28"/>
  <c r="AI74" i="28"/>
  <c r="AH74" i="28"/>
  <c r="AI73" i="28"/>
  <c r="AH73" i="28"/>
  <c r="AG72" i="28"/>
  <c r="AG4" i="28" s="1"/>
  <c r="AF72" i="28"/>
  <c r="AE72" i="28"/>
  <c r="AD72" i="28"/>
  <c r="AC72" i="28"/>
  <c r="AB72" i="28"/>
  <c r="Z72" i="28"/>
  <c r="Y72" i="28"/>
  <c r="X72" i="28"/>
  <c r="W72" i="28"/>
  <c r="S72" i="28"/>
  <c r="R72" i="28"/>
  <c r="Q72" i="28"/>
  <c r="P72" i="28"/>
  <c r="O72" i="28"/>
  <c r="N72" i="28"/>
  <c r="M72" i="28"/>
  <c r="B72" i="28"/>
  <c r="AI71" i="28"/>
  <c r="AH71" i="28"/>
  <c r="AI70" i="28"/>
  <c r="AH70" i="28"/>
  <c r="AI69" i="28"/>
  <c r="AH69" i="28"/>
  <c r="AF68" i="28"/>
  <c r="AE68" i="28"/>
  <c r="AD68" i="28"/>
  <c r="AC68" i="28"/>
  <c r="AB68" i="28"/>
  <c r="Z68" i="28"/>
  <c r="Y68" i="28"/>
  <c r="X68" i="28"/>
  <c r="W68" i="28"/>
  <c r="S68" i="28"/>
  <c r="R68" i="28"/>
  <c r="Q68" i="28"/>
  <c r="P68" i="28"/>
  <c r="O68" i="28"/>
  <c r="N68" i="28"/>
  <c r="M68" i="28"/>
  <c r="D68" i="28"/>
  <c r="C68" i="28"/>
  <c r="B68" i="28"/>
  <c r="AI67" i="28"/>
  <c r="AH67" i="28"/>
  <c r="AG67" i="28"/>
  <c r="AG68" i="28" s="1"/>
  <c r="AG3" i="28" s="1"/>
  <c r="AI66" i="28"/>
  <c r="AH66" i="28"/>
  <c r="AI65" i="28"/>
  <c r="AH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I56" i="28"/>
  <c r="AH56" i="28"/>
  <c r="AI55" i="28"/>
  <c r="AH55" i="28"/>
  <c r="AG54" i="28"/>
  <c r="AF54" i="28"/>
  <c r="AE54" i="28"/>
  <c r="AD54" i="28"/>
  <c r="AC54" i="28"/>
  <c r="AB54" i="28"/>
  <c r="Z54" i="28"/>
  <c r="Y54" i="28"/>
  <c r="X54" i="28"/>
  <c r="W54" i="28"/>
  <c r="S54" i="28"/>
  <c r="R54" i="28"/>
  <c r="Q54" i="28"/>
  <c r="P54" i="28"/>
  <c r="O54" i="28"/>
  <c r="N54" i="28"/>
  <c r="M54" i="28"/>
  <c r="C54" i="28"/>
  <c r="AI53" i="28"/>
  <c r="AH53" i="28"/>
  <c r="AI52" i="28"/>
  <c r="AH52" i="28"/>
  <c r="AI51" i="28"/>
  <c r="AH51" i="28"/>
  <c r="AG50" i="28"/>
  <c r="AG2" i="28" s="1"/>
  <c r="AF50" i="28"/>
  <c r="AE50" i="28"/>
  <c r="AD50" i="28"/>
  <c r="AC50" i="28"/>
  <c r="AB50" i="28"/>
  <c r="Z50" i="28"/>
  <c r="Y50" i="28"/>
  <c r="X50" i="28"/>
  <c r="W50" i="28"/>
  <c r="S50" i="28"/>
  <c r="R50" i="28"/>
  <c r="Q50" i="28"/>
  <c r="P50" i="28"/>
  <c r="O50" i="28"/>
  <c r="N50" i="28"/>
  <c r="M50" i="28"/>
  <c r="C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Z5" i="28"/>
  <c r="J5" i="28"/>
  <c r="G5" i="28"/>
  <c r="F5" i="28"/>
  <c r="E5" i="28"/>
  <c r="K4" i="28"/>
  <c r="E4" i="28"/>
  <c r="H4" i="28" s="1"/>
  <c r="B4" i="28"/>
  <c r="D246" i="28" s="1"/>
  <c r="AC50" i="27"/>
  <c r="AB50" i="27"/>
  <c r="U113" i="27"/>
  <c r="AF100" i="28" l="1"/>
  <c r="AE89" i="28"/>
  <c r="AE91" i="28" s="1"/>
  <c r="AD5" i="28"/>
  <c r="AC5" i="28"/>
  <c r="AC89" i="28"/>
  <c r="AC91" i="28" s="1"/>
  <c r="AC7" i="28" s="1"/>
  <c r="Z89" i="28"/>
  <c r="Z91" i="28" s="1"/>
  <c r="Z7" i="28" s="1"/>
  <c r="W5" i="28"/>
  <c r="V5" i="28"/>
  <c r="W89" i="28"/>
  <c r="W91" i="28" s="1"/>
  <c r="W7" i="28" s="1"/>
  <c r="V89" i="28"/>
  <c r="V91" i="28" s="1"/>
  <c r="V92" i="28" s="1"/>
  <c r="U89" i="28"/>
  <c r="U91" i="28" s="1"/>
  <c r="U92" i="28" s="1"/>
  <c r="T89" i="28"/>
  <c r="T91" i="28" s="1"/>
  <c r="T92" i="28" s="1"/>
  <c r="R89" i="28"/>
  <c r="R91" i="28" s="1"/>
  <c r="R92" i="28" s="1"/>
  <c r="O5" i="28"/>
  <c r="N5" i="28"/>
  <c r="O89" i="28"/>
  <c r="O91" i="28" s="1"/>
  <c r="AG249" i="28" s="1"/>
  <c r="M5" i="28"/>
  <c r="M89" i="28"/>
  <c r="M91" i="28" s="1"/>
  <c r="M7" i="28" s="1"/>
  <c r="E234" i="28"/>
  <c r="D270" i="28" s="1"/>
  <c r="I89" i="28"/>
  <c r="I91" i="28" s="1"/>
  <c r="I92" i="28" s="1"/>
  <c r="R5" i="28"/>
  <c r="AG91" i="28"/>
  <c r="S89" i="28"/>
  <c r="S91" i="28" s="1"/>
  <c r="AK249" i="28" s="1"/>
  <c r="AB89" i="28"/>
  <c r="AB91" i="28" s="1"/>
  <c r="AT249" i="28" s="1"/>
  <c r="U5" i="28"/>
  <c r="N89" i="28"/>
  <c r="N91" i="28" s="1"/>
  <c r="AF249" i="28" s="1"/>
  <c r="AD89" i="28"/>
  <c r="AD91" i="28" s="1"/>
  <c r="AD7" i="28" s="1"/>
  <c r="AH72" i="28"/>
  <c r="B110" i="28"/>
  <c r="L89" i="28"/>
  <c r="L91" i="28" s="1"/>
  <c r="L92" i="28" s="1"/>
  <c r="D235" i="28"/>
  <c r="K5" i="28"/>
  <c r="Q89" i="28"/>
  <c r="Q91" i="28" s="1"/>
  <c r="AI249" i="28" s="1"/>
  <c r="Y89" i="28"/>
  <c r="Y91" i="28" s="1"/>
  <c r="Y7" i="28" s="1"/>
  <c r="K89" i="28"/>
  <c r="K91" i="28" s="1"/>
  <c r="K92" i="28" s="1"/>
  <c r="J89" i="28"/>
  <c r="J91" i="28" s="1"/>
  <c r="J92" i="28" s="1"/>
  <c r="AI68" i="28"/>
  <c r="AH68" i="28"/>
  <c r="I100" i="28"/>
  <c r="H89" i="28"/>
  <c r="H91" i="28" s="1"/>
  <c r="H92" i="28" s="1"/>
  <c r="G89" i="28"/>
  <c r="G91" i="28" s="1"/>
  <c r="G92" i="28" s="1"/>
  <c r="F89" i="28"/>
  <c r="F91" i="28" s="1"/>
  <c r="F92" i="28" s="1"/>
  <c r="E92" i="28"/>
  <c r="E7" i="28"/>
  <c r="D89" i="28"/>
  <c r="D91" i="28" s="1"/>
  <c r="D92" i="28" s="1"/>
  <c r="B5" i="28"/>
  <c r="C89" i="28"/>
  <c r="C91" i="28" s="1"/>
  <c r="U249" i="28" s="1"/>
  <c r="B89" i="28"/>
  <c r="S246" i="28"/>
  <c r="P89" i="28"/>
  <c r="P91" i="28" s="1"/>
  <c r="AH54" i="28"/>
  <c r="H5" i="28"/>
  <c r="Q100" i="28"/>
  <c r="P5" i="28"/>
  <c r="Y100" i="28"/>
  <c r="X5" i="28"/>
  <c r="AF89" i="28"/>
  <c r="AF91" i="28" s="1"/>
  <c r="AI54" i="28"/>
  <c r="AU249" i="28"/>
  <c r="Y249" i="28"/>
  <c r="G7" i="28"/>
  <c r="AW249" i="28"/>
  <c r="AE7" i="28"/>
  <c r="X89" i="28"/>
  <c r="X91" i="28" s="1"/>
  <c r="AG6" i="28"/>
  <c r="B91" i="28"/>
  <c r="AR249" i="28"/>
  <c r="J232" i="28"/>
  <c r="K232" i="28" s="1"/>
  <c r="L232" i="28" s="1"/>
  <c r="M232" i="28" s="1"/>
  <c r="N232" i="28" s="1"/>
  <c r="O232" i="28" s="1"/>
  <c r="P232" i="28" s="1"/>
  <c r="W249" i="28"/>
  <c r="AA7" i="28"/>
  <c r="AS249" i="28"/>
  <c r="V249" i="28"/>
  <c r="D7" i="28"/>
  <c r="F7" i="28"/>
  <c r="AE92" i="28"/>
  <c r="AE249" i="28"/>
  <c r="C5" i="28"/>
  <c r="S5" i="28"/>
  <c r="AI72" i="28"/>
  <c r="AH84" i="28"/>
  <c r="F234" i="28"/>
  <c r="I5" i="28"/>
  <c r="Q5" i="28"/>
  <c r="Y5" i="28"/>
  <c r="AH50" i="28"/>
  <c r="AI84" i="28"/>
  <c r="B100" i="28"/>
  <c r="E229" i="28"/>
  <c r="E110" i="28" s="1"/>
  <c r="AG89" i="28"/>
  <c r="AB100" i="28"/>
  <c r="B235" i="28"/>
  <c r="AI50" i="28"/>
  <c r="D5" i="28"/>
  <c r="L5" i="28"/>
  <c r="T5" i="28"/>
  <c r="AB5" i="28"/>
  <c r="Z92" i="28" l="1"/>
  <c r="U7" i="28"/>
  <c r="AC92" i="28"/>
  <c r="C7" i="28"/>
  <c r="AB92" i="28"/>
  <c r="O7" i="28"/>
  <c r="L7" i="28"/>
  <c r="O92" i="28"/>
  <c r="AD92" i="28"/>
  <c r="AV249" i="28"/>
  <c r="AB7" i="28"/>
  <c r="AD249" i="28"/>
  <c r="M92" i="28"/>
  <c r="R7" i="28"/>
  <c r="T7" i="28"/>
  <c r="AB249" i="28"/>
  <c r="J7" i="28"/>
  <c r="AM249" i="28"/>
  <c r="AL249" i="28"/>
  <c r="AQ249" i="28"/>
  <c r="Y92" i="28"/>
  <c r="AO249" i="28"/>
  <c r="W92" i="28"/>
  <c r="V7" i="28"/>
  <c r="AN249" i="28"/>
  <c r="S92" i="28"/>
  <c r="S7" i="28"/>
  <c r="AJ249" i="28"/>
  <c r="Q7" i="28"/>
  <c r="Q92" i="28"/>
  <c r="N92" i="28"/>
  <c r="N7" i="28"/>
  <c r="AC249" i="28"/>
  <c r="K7" i="28"/>
  <c r="C244" i="28"/>
  <c r="X249" i="28"/>
  <c r="C92" i="28"/>
  <c r="B244" i="28"/>
  <c r="B7" i="28"/>
  <c r="B92" i="28"/>
  <c r="AI91" i="28"/>
  <c r="T249" i="28"/>
  <c r="AH91" i="28"/>
  <c r="AH89" i="28"/>
  <c r="X7" i="28"/>
  <c r="X92" i="28"/>
  <c r="AP249" i="28"/>
  <c r="E270" i="28"/>
  <c r="G234" i="28"/>
  <c r="AI89" i="28"/>
  <c r="AF92" i="28"/>
  <c r="AX249" i="28"/>
  <c r="AF7" i="28"/>
  <c r="F229" i="28"/>
  <c r="F110" i="28" s="1"/>
  <c r="E235" i="28"/>
  <c r="H7" i="28"/>
  <c r="Z249" i="28"/>
  <c r="AI100" i="28"/>
  <c r="AH100" i="28"/>
  <c r="AA249" i="28"/>
  <c r="I7" i="28"/>
  <c r="P7" i="28"/>
  <c r="P92" i="28"/>
  <c r="AH249" i="28"/>
  <c r="K6" i="28" l="1"/>
  <c r="F270" i="28"/>
  <c r="H234" i="28"/>
  <c r="AI92" i="28"/>
  <c r="AH92" i="28"/>
  <c r="F235" i="28"/>
  <c r="G229" i="28"/>
  <c r="G110" i="28" s="1"/>
  <c r="A7" i="28"/>
  <c r="H229" i="28" l="1"/>
  <c r="H110" i="28" s="1"/>
  <c r="G235" i="28"/>
  <c r="G270" i="28"/>
  <c r="I234" i="28"/>
  <c r="H270" i="28" l="1"/>
  <c r="J234" i="28"/>
  <c r="I229" i="28"/>
  <c r="I110" i="28" s="1"/>
  <c r="H235" i="28"/>
  <c r="J229" i="28" l="1"/>
  <c r="J110" i="28" s="1"/>
  <c r="K234" i="28"/>
  <c r="I270" i="28"/>
  <c r="K229" i="28" l="1"/>
  <c r="K110" i="28" s="1"/>
  <c r="J270" i="28"/>
  <c r="L234" i="28"/>
  <c r="L229" i="28" l="1"/>
  <c r="L110" i="28" s="1"/>
  <c r="K270" i="28"/>
  <c r="M234" i="28"/>
  <c r="L270" i="28" l="1"/>
  <c r="N234" i="28"/>
  <c r="M229" i="28"/>
  <c r="N229" i="28" l="1"/>
  <c r="M110" i="28"/>
  <c r="M270" i="28"/>
  <c r="O234" i="28"/>
  <c r="O229" i="28" l="1"/>
  <c r="N110" i="28"/>
  <c r="N270" i="28"/>
  <c r="P234" i="28"/>
  <c r="O270" i="28" s="1"/>
  <c r="P229" i="28" l="1"/>
  <c r="O110" i="28"/>
  <c r="AI110" i="28" l="1"/>
  <c r="AH110" i="28"/>
  <c r="O50" i="27" l="1"/>
  <c r="P50" i="27"/>
  <c r="Q50" i="27"/>
  <c r="O54" i="27"/>
  <c r="P54" i="27"/>
  <c r="Q54" i="27"/>
  <c r="O68" i="27"/>
  <c r="P68" i="27"/>
  <c r="Q68" i="27"/>
  <c r="O72" i="27"/>
  <c r="P72" i="27"/>
  <c r="Q72" i="27"/>
  <c r="O84" i="27"/>
  <c r="P84" i="27"/>
  <c r="Q84" i="27"/>
  <c r="O99" i="27"/>
  <c r="P99" i="27"/>
  <c r="Q99" i="27"/>
  <c r="O110" i="27"/>
  <c r="P110" i="27"/>
  <c r="Q110" i="27"/>
  <c r="N50" i="27"/>
  <c r="N54" i="27"/>
  <c r="N68" i="27"/>
  <c r="N72" i="27"/>
  <c r="N84" i="27"/>
  <c r="N99" i="27"/>
  <c r="N110" i="27"/>
  <c r="O89" i="27" l="1"/>
  <c r="O91" i="27" s="1"/>
  <c r="O92" i="27" s="1"/>
  <c r="P89" i="27"/>
  <c r="P91" i="27" s="1"/>
  <c r="P92" i="27" s="1"/>
  <c r="Q89" i="27"/>
  <c r="Q91" i="27" s="1"/>
  <c r="Q92" i="27" s="1"/>
  <c r="N89" i="27"/>
  <c r="N91" i="27" s="1"/>
  <c r="N92" i="27" s="1"/>
  <c r="L113" i="27" l="1"/>
  <c r="K113" i="27"/>
  <c r="J113" i="27"/>
  <c r="I113" i="27"/>
  <c r="C99" i="27"/>
  <c r="D99" i="27"/>
  <c r="E99" i="27"/>
  <c r="F99" i="27"/>
  <c r="G99" i="27"/>
  <c r="H99" i="27"/>
  <c r="I99" i="27"/>
  <c r="J99" i="27"/>
  <c r="K99" i="27"/>
  <c r="L99" i="27"/>
  <c r="M99" i="27"/>
  <c r="R99" i="27"/>
  <c r="S99" i="27"/>
  <c r="T99" i="27"/>
  <c r="U99" i="27"/>
  <c r="V99" i="27"/>
  <c r="W99" i="27"/>
  <c r="X99" i="27"/>
  <c r="Y99" i="27"/>
  <c r="Z99" i="27"/>
  <c r="AA99" i="27"/>
  <c r="AB99" i="27"/>
  <c r="AC99" i="27"/>
  <c r="AD99" i="27"/>
  <c r="AE99" i="27"/>
  <c r="AF99" i="27"/>
  <c r="B99" i="27"/>
  <c r="AF274" i="27" l="1"/>
  <c r="AE274" i="27"/>
  <c r="AD274" i="27"/>
  <c r="AC274" i="27"/>
  <c r="AB274" i="27"/>
  <c r="AA274" i="27"/>
  <c r="Z274" i="27"/>
  <c r="Y274" i="27"/>
  <c r="X274" i="27"/>
  <c r="W274" i="27"/>
  <c r="V274" i="27"/>
  <c r="U274" i="27"/>
  <c r="T274" i="27"/>
  <c r="S274" i="27"/>
  <c r="R274" i="27"/>
  <c r="Q274" i="27"/>
  <c r="P274" i="27"/>
  <c r="O274" i="27"/>
  <c r="N274" i="27"/>
  <c r="M274" i="27"/>
  <c r="L274" i="27"/>
  <c r="K274" i="27"/>
  <c r="J274" i="27"/>
  <c r="I274" i="27"/>
  <c r="H274" i="27"/>
  <c r="G274" i="27"/>
  <c r="F274" i="27"/>
  <c r="E274" i="27"/>
  <c r="D274" i="27"/>
  <c r="C274" i="27"/>
  <c r="B274" i="27"/>
  <c r="A274" i="27"/>
  <c r="AF273" i="27"/>
  <c r="AE273" i="27"/>
  <c r="AD273" i="27"/>
  <c r="AC273" i="27"/>
  <c r="AB273" i="27"/>
  <c r="AA273" i="27"/>
  <c r="Z273" i="27"/>
  <c r="Y273" i="27"/>
  <c r="X273" i="27"/>
  <c r="W273" i="27"/>
  <c r="V273" i="27"/>
  <c r="U273" i="27"/>
  <c r="T273" i="27"/>
  <c r="S273" i="27"/>
  <c r="R273" i="27"/>
  <c r="Q273" i="27"/>
  <c r="P273" i="27"/>
  <c r="O273" i="27"/>
  <c r="N273" i="27"/>
  <c r="M273" i="27"/>
  <c r="L273" i="27"/>
  <c r="K273" i="27"/>
  <c r="J273" i="27"/>
  <c r="I273" i="27"/>
  <c r="H273" i="27"/>
  <c r="G273" i="27"/>
  <c r="F273" i="27"/>
  <c r="E273" i="27"/>
  <c r="D273" i="27"/>
  <c r="C273" i="27"/>
  <c r="B273" i="27"/>
  <c r="A273" i="27"/>
  <c r="AF272" i="27"/>
  <c r="AE272" i="27"/>
  <c r="AD272" i="27"/>
  <c r="AC272" i="27"/>
  <c r="AB272" i="27"/>
  <c r="AA272" i="27"/>
  <c r="Z272" i="27"/>
  <c r="Y272" i="27"/>
  <c r="X272" i="27"/>
  <c r="W272" i="27"/>
  <c r="V272" i="27"/>
  <c r="U272" i="27"/>
  <c r="T272" i="27"/>
  <c r="S272" i="27"/>
  <c r="R272" i="27"/>
  <c r="Q272" i="27"/>
  <c r="P272" i="27"/>
  <c r="O272" i="27"/>
  <c r="N272" i="27"/>
  <c r="M272" i="27"/>
  <c r="L272" i="27"/>
  <c r="K272" i="27"/>
  <c r="J272" i="27"/>
  <c r="I272" i="27"/>
  <c r="H272" i="27"/>
  <c r="G272" i="27"/>
  <c r="F272" i="27"/>
  <c r="E272" i="27"/>
  <c r="D272" i="27"/>
  <c r="C272" i="27"/>
  <c r="B272" i="27"/>
  <c r="A272" i="27"/>
  <c r="AF271" i="27"/>
  <c r="AE271" i="27"/>
  <c r="AD271" i="27"/>
  <c r="AC271" i="27"/>
  <c r="AB271" i="27"/>
  <c r="AA271" i="27"/>
  <c r="Z271" i="27"/>
  <c r="Y271" i="27"/>
  <c r="X271" i="27"/>
  <c r="W271" i="27"/>
  <c r="V271" i="27"/>
  <c r="U271" i="27"/>
  <c r="T271" i="27"/>
  <c r="S271" i="27"/>
  <c r="R271" i="27"/>
  <c r="Q271" i="27"/>
  <c r="P271" i="27"/>
  <c r="O271" i="27"/>
  <c r="N271" i="27"/>
  <c r="M271" i="27"/>
  <c r="L271" i="27"/>
  <c r="K271" i="27"/>
  <c r="J271" i="27"/>
  <c r="I271" i="27"/>
  <c r="H271" i="27"/>
  <c r="G271" i="27"/>
  <c r="F271" i="27"/>
  <c r="E271" i="27"/>
  <c r="D271" i="27"/>
  <c r="C271" i="27"/>
  <c r="B271" i="27"/>
  <c r="A271" i="27"/>
  <c r="AE270" i="27"/>
  <c r="AD270" i="27"/>
  <c r="AC270" i="27"/>
  <c r="AB270" i="27"/>
  <c r="AA270" i="27"/>
  <c r="Z270" i="27"/>
  <c r="Y270" i="27"/>
  <c r="X270" i="27"/>
  <c r="W270" i="27"/>
  <c r="V270" i="27"/>
  <c r="U270" i="27"/>
  <c r="T270" i="27"/>
  <c r="S270" i="27"/>
  <c r="R270" i="27"/>
  <c r="Q270" i="27"/>
  <c r="P270" i="27"/>
  <c r="B270" i="27"/>
  <c r="S245" i="27"/>
  <c r="AG235" i="27"/>
  <c r="AF235" i="27"/>
  <c r="AE235" i="27"/>
  <c r="AD235" i="27"/>
  <c r="AC235" i="27"/>
  <c r="AB235" i="27"/>
  <c r="AA235" i="27"/>
  <c r="Z235" i="27"/>
  <c r="Y235" i="27"/>
  <c r="X235" i="27"/>
  <c r="W235" i="27"/>
  <c r="V235" i="27"/>
  <c r="U235" i="27"/>
  <c r="T235" i="27"/>
  <c r="S235" i="27"/>
  <c r="R235" i="27"/>
  <c r="Q235" i="27"/>
  <c r="D235" i="27"/>
  <c r="C235" i="27"/>
  <c r="E234" i="27"/>
  <c r="D270" i="27" s="1"/>
  <c r="D234" i="27"/>
  <c r="C270" i="27" s="1"/>
  <c r="B234" i="27"/>
  <c r="AF270" i="27" s="1"/>
  <c r="D233" i="27"/>
  <c r="E233" i="27" s="1"/>
  <c r="F233" i="27" s="1"/>
  <c r="G233" i="27" s="1"/>
  <c r="H233" i="27" s="1"/>
  <c r="I233" i="27" s="1"/>
  <c r="J233" i="27" s="1"/>
  <c r="K233" i="27" s="1"/>
  <c r="L233" i="27" s="1"/>
  <c r="M233" i="27" s="1"/>
  <c r="N233" i="27" s="1"/>
  <c r="O233" i="27" s="1"/>
  <c r="P233" i="27" s="1"/>
  <c r="B233" i="27"/>
  <c r="D232" i="27"/>
  <c r="E232" i="27" s="1"/>
  <c r="F232" i="27" s="1"/>
  <c r="G232" i="27" s="1"/>
  <c r="H232" i="27" s="1"/>
  <c r="I232" i="27" s="1"/>
  <c r="B232" i="27"/>
  <c r="E231" i="27"/>
  <c r="F231" i="27" s="1"/>
  <c r="G231" i="27" s="1"/>
  <c r="H231" i="27" s="1"/>
  <c r="D231" i="27"/>
  <c r="B231" i="27"/>
  <c r="E230" i="27"/>
  <c r="F230" i="27" s="1"/>
  <c r="D230" i="27"/>
  <c r="B230" i="27"/>
  <c r="F229" i="27"/>
  <c r="G229" i="27" s="1"/>
  <c r="E229" i="27"/>
  <c r="D229" i="27"/>
  <c r="B229" i="27"/>
  <c r="B110" i="27" s="1"/>
  <c r="AG227" i="27"/>
  <c r="AF227" i="27"/>
  <c r="AE227" i="27"/>
  <c r="AD227" i="27"/>
  <c r="AC227" i="27"/>
  <c r="AB227" i="27"/>
  <c r="AA227" i="27"/>
  <c r="Z227" i="27"/>
  <c r="Y227" i="27"/>
  <c r="X227" i="27"/>
  <c r="W227" i="27"/>
  <c r="V227" i="27"/>
  <c r="U227" i="27"/>
  <c r="T227" i="27"/>
  <c r="S227" i="27"/>
  <c r="R227" i="27"/>
  <c r="Q227" i="27"/>
  <c r="P227" i="27"/>
  <c r="O227" i="27"/>
  <c r="N227" i="27"/>
  <c r="M227" i="27"/>
  <c r="L227" i="27"/>
  <c r="K227" i="27"/>
  <c r="J227" i="27"/>
  <c r="I227" i="27"/>
  <c r="H227" i="27"/>
  <c r="G227" i="27"/>
  <c r="F227" i="27"/>
  <c r="E227" i="27"/>
  <c r="D227" i="27"/>
  <c r="C227" i="27"/>
  <c r="B227" i="27"/>
  <c r="AI120" i="27"/>
  <c r="AH120" i="27"/>
  <c r="AI119" i="27"/>
  <c r="AH119" i="27"/>
  <c r="AI118" i="27"/>
  <c r="AH118" i="27"/>
  <c r="AI117" i="27"/>
  <c r="AH117" i="27"/>
  <c r="AI116" i="27"/>
  <c r="AH116" i="27"/>
  <c r="AI115" i="27"/>
  <c r="AH115" i="27"/>
  <c r="AI114" i="27"/>
  <c r="AH114" i="27"/>
  <c r="AI113" i="27"/>
  <c r="AH113" i="27"/>
  <c r="AI112" i="27"/>
  <c r="AH112" i="27"/>
  <c r="AI111" i="27"/>
  <c r="AH111" i="27"/>
  <c r="AF110" i="27"/>
  <c r="AE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E110" i="27"/>
  <c r="D110" i="27"/>
  <c r="C110" i="27"/>
  <c r="AI109" i="27"/>
  <c r="AH109" i="27"/>
  <c r="AI108" i="27"/>
  <c r="AH108" i="27"/>
  <c r="AI107" i="27"/>
  <c r="AH107" i="27"/>
  <c r="AI106" i="27"/>
  <c r="AH106" i="27"/>
  <c r="AI105" i="27"/>
  <c r="AH105" i="27"/>
  <c r="AI104" i="27"/>
  <c r="AH104" i="27"/>
  <c r="AI103" i="27"/>
  <c r="AH103" i="27"/>
  <c r="AI102" i="27"/>
  <c r="AH102" i="27"/>
  <c r="AI101" i="27"/>
  <c r="AH101" i="27"/>
  <c r="AI99" i="27"/>
  <c r="AH99" i="27"/>
  <c r="AI98" i="27"/>
  <c r="AH98" i="27"/>
  <c r="AI97" i="27"/>
  <c r="AH97" i="27"/>
  <c r="AI96" i="27"/>
  <c r="AH96" i="27"/>
  <c r="AI95" i="27"/>
  <c r="AH95" i="27"/>
  <c r="AI94" i="27"/>
  <c r="AH94" i="27"/>
  <c r="AI93" i="27"/>
  <c r="AH93" i="27"/>
  <c r="AI90" i="27"/>
  <c r="AH90" i="27"/>
  <c r="AI88" i="27"/>
  <c r="AH88" i="27"/>
  <c r="AG88" i="27"/>
  <c r="AI87" i="27"/>
  <c r="AH87" i="27"/>
  <c r="AI86" i="27"/>
  <c r="AH86" i="27"/>
  <c r="AI85" i="27"/>
  <c r="AH85" i="27"/>
  <c r="AN84" i="27"/>
  <c r="AG84" i="27"/>
  <c r="AG91" i="27" s="1"/>
  <c r="AF84" i="27"/>
  <c r="AE5" i="27" s="1"/>
  <c r="AE84" i="27"/>
  <c r="AD84" i="27"/>
  <c r="AC5" i="27" s="1"/>
  <c r="AC84" i="27"/>
  <c r="AB84" i="27"/>
  <c r="AA84" i="27"/>
  <c r="Z5" i="27" s="1"/>
  <c r="Z84" i="27"/>
  <c r="Y5" i="27" s="1"/>
  <c r="Y84" i="27"/>
  <c r="X84" i="27"/>
  <c r="W5" i="27" s="1"/>
  <c r="W84" i="27"/>
  <c r="V84" i="27"/>
  <c r="U5" i="27" s="1"/>
  <c r="U84" i="27"/>
  <c r="T5" i="27" s="1"/>
  <c r="T84" i="27"/>
  <c r="S84" i="27"/>
  <c r="R5" i="27" s="1"/>
  <c r="R84" i="27"/>
  <c r="M84" i="27"/>
  <c r="L5" i="27" s="1"/>
  <c r="L84" i="27"/>
  <c r="K84" i="27"/>
  <c r="J5" i="27" s="1"/>
  <c r="J84" i="27"/>
  <c r="I5" i="27" s="1"/>
  <c r="I84" i="27"/>
  <c r="H84" i="27"/>
  <c r="G5" i="27" s="1"/>
  <c r="G84" i="27"/>
  <c r="F84" i="27"/>
  <c r="E84" i="27"/>
  <c r="D5" i="27" s="1"/>
  <c r="D84" i="27"/>
  <c r="C84" i="27"/>
  <c r="B84" i="27"/>
  <c r="AN83" i="27"/>
  <c r="AI83" i="27"/>
  <c r="AH83" i="27"/>
  <c r="AN82" i="27"/>
  <c r="AI82" i="27"/>
  <c r="AH82" i="27"/>
  <c r="AN81" i="27"/>
  <c r="AI81" i="27"/>
  <c r="AH81" i="27"/>
  <c r="AI80" i="27"/>
  <c r="AH80" i="27"/>
  <c r="AI79" i="27"/>
  <c r="AH79" i="27"/>
  <c r="AI78" i="27"/>
  <c r="AH78" i="27"/>
  <c r="AI77" i="27"/>
  <c r="AH77" i="27"/>
  <c r="AI76" i="27"/>
  <c r="AH76" i="27"/>
  <c r="AI75" i="27"/>
  <c r="AH75" i="27"/>
  <c r="AI74" i="27"/>
  <c r="AH74" i="27"/>
  <c r="AI73" i="27"/>
  <c r="AH73" i="27"/>
  <c r="AG72" i="27"/>
  <c r="AG4" i="27" s="1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M72" i="27"/>
  <c r="L72" i="27"/>
  <c r="AH72" i="27" s="1"/>
  <c r="B72" i="27"/>
  <c r="AI72" i="27" s="1"/>
  <c r="AI71" i="27"/>
  <c r="AH71" i="27"/>
  <c r="AI70" i="27"/>
  <c r="AH70" i="27"/>
  <c r="AI69" i="27"/>
  <c r="AH69" i="27"/>
  <c r="AG68" i="27"/>
  <c r="AF68" i="27"/>
  <c r="AE68" i="27"/>
  <c r="AD68" i="27"/>
  <c r="AC68" i="27"/>
  <c r="AB68" i="27"/>
  <c r="AA68" i="27"/>
  <c r="Z68" i="27"/>
  <c r="Y68" i="27"/>
  <c r="X68" i="27"/>
  <c r="W68" i="27"/>
  <c r="V68" i="27"/>
  <c r="U68" i="27"/>
  <c r="T68" i="27"/>
  <c r="S68" i="27"/>
  <c r="R68" i="27"/>
  <c r="M68" i="27"/>
  <c r="L68" i="27"/>
  <c r="K68" i="27"/>
  <c r="J68" i="27"/>
  <c r="I68" i="27"/>
  <c r="H68" i="27"/>
  <c r="G68" i="27"/>
  <c r="F68" i="27"/>
  <c r="E68" i="27"/>
  <c r="D68" i="27"/>
  <c r="C68" i="27"/>
  <c r="B68" i="27"/>
  <c r="AI67" i="27"/>
  <c r="AH67" i="27"/>
  <c r="AG67" i="27"/>
  <c r="AI66" i="27"/>
  <c r="AH66" i="27"/>
  <c r="AI65" i="27"/>
  <c r="AH65" i="27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I56" i="27"/>
  <c r="AH56" i="27"/>
  <c r="AI55" i="27"/>
  <c r="AH55" i="27"/>
  <c r="AG54" i="27"/>
  <c r="AF54" i="27"/>
  <c r="AE54" i="27"/>
  <c r="AD54" i="27"/>
  <c r="AC54" i="27"/>
  <c r="AB54" i="27"/>
  <c r="AB89" i="27" s="1"/>
  <c r="AB91" i="27" s="1"/>
  <c r="AA54" i="27"/>
  <c r="Z54" i="27"/>
  <c r="Y54" i="27"/>
  <c r="X54" i="27"/>
  <c r="W54" i="27"/>
  <c r="V54" i="27"/>
  <c r="U54" i="27"/>
  <c r="T54" i="27"/>
  <c r="S54" i="27"/>
  <c r="R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AI53" i="27"/>
  <c r="AH53" i="27"/>
  <c r="AI52" i="27"/>
  <c r="AH52" i="27"/>
  <c r="AI51" i="27"/>
  <c r="AH51" i="27"/>
  <c r="AG50" i="27"/>
  <c r="AG89" i="27" s="1"/>
  <c r="AF50" i="27"/>
  <c r="AE50" i="27"/>
  <c r="AD50" i="27"/>
  <c r="AD89" i="27" s="1"/>
  <c r="AD91" i="27" s="1"/>
  <c r="AC89" i="27"/>
  <c r="AC91" i="27" s="1"/>
  <c r="AA50" i="27"/>
  <c r="Z50" i="27"/>
  <c r="Y50" i="27"/>
  <c r="X50" i="27"/>
  <c r="W50" i="27"/>
  <c r="V50" i="27"/>
  <c r="U50" i="27"/>
  <c r="T50" i="27"/>
  <c r="S50" i="27"/>
  <c r="R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B5" i="27"/>
  <c r="Q5" i="27"/>
  <c r="O5" i="27"/>
  <c r="M5" i="27"/>
  <c r="E5" i="27"/>
  <c r="B5" i="27"/>
  <c r="K4" i="27"/>
  <c r="E4" i="27"/>
  <c r="H4" i="27" s="1"/>
  <c r="B4" i="27"/>
  <c r="S246" i="27" s="1"/>
  <c r="AG3" i="27"/>
  <c r="AG6" i="27" s="1"/>
  <c r="AG2" i="27"/>
  <c r="AD50" i="26"/>
  <c r="AC50" i="26"/>
  <c r="AC54" i="26"/>
  <c r="AB113" i="26"/>
  <c r="AF89" i="27" l="1"/>
  <c r="AF91" i="27" s="1"/>
  <c r="AF7" i="27" s="1"/>
  <c r="AE89" i="27"/>
  <c r="AE91" i="27" s="1"/>
  <c r="AE7" i="27" s="1"/>
  <c r="AA89" i="27"/>
  <c r="AA91" i="27" s="1"/>
  <c r="Z89" i="27"/>
  <c r="Z91" i="27" s="1"/>
  <c r="Z7" i="27" s="1"/>
  <c r="Y89" i="27"/>
  <c r="Y91" i="27" s="1"/>
  <c r="Y92" i="27" s="1"/>
  <c r="X89" i="27"/>
  <c r="X91" i="27" s="1"/>
  <c r="AP249" i="27" s="1"/>
  <c r="W89" i="27"/>
  <c r="W91" i="27" s="1"/>
  <c r="W92" i="27" s="1"/>
  <c r="V89" i="27"/>
  <c r="V91" i="27" s="1"/>
  <c r="AN249" i="27" s="1"/>
  <c r="U89" i="27"/>
  <c r="U91" i="27" s="1"/>
  <c r="U7" i="27" s="1"/>
  <c r="T89" i="27"/>
  <c r="T91" i="27" s="1"/>
  <c r="T92" i="27" s="1"/>
  <c r="S89" i="27"/>
  <c r="S91" i="27" s="1"/>
  <c r="S92" i="27" s="1"/>
  <c r="R89" i="27"/>
  <c r="R91" i="27" s="1"/>
  <c r="R92" i="27" s="1"/>
  <c r="M89" i="27"/>
  <c r="M91" i="27" s="1"/>
  <c r="L89" i="27"/>
  <c r="L91" i="27" s="1"/>
  <c r="L92" i="27" s="1"/>
  <c r="K89" i="27"/>
  <c r="K91" i="27" s="1"/>
  <c r="J89" i="27"/>
  <c r="J91" i="27" s="1"/>
  <c r="H89" i="27"/>
  <c r="H91" i="27" s="1"/>
  <c r="H92" i="27" s="1"/>
  <c r="E89" i="27"/>
  <c r="E91" i="27" s="1"/>
  <c r="E7" i="27" s="1"/>
  <c r="G89" i="27"/>
  <c r="G91" i="27" s="1"/>
  <c r="G7" i="27" s="1"/>
  <c r="I89" i="27"/>
  <c r="I91" i="27" s="1"/>
  <c r="I92" i="27" s="1"/>
  <c r="F89" i="27"/>
  <c r="F91" i="27" s="1"/>
  <c r="D89" i="27"/>
  <c r="D91" i="27" s="1"/>
  <c r="D92" i="27" s="1"/>
  <c r="AI54" i="27"/>
  <c r="AH68" i="27"/>
  <c r="AH54" i="27"/>
  <c r="C89" i="27"/>
  <c r="AH50" i="27"/>
  <c r="AF5" i="27"/>
  <c r="AI50" i="27"/>
  <c r="B89" i="27"/>
  <c r="G230" i="27"/>
  <c r="H230" i="27" s="1"/>
  <c r="I230" i="27" s="1"/>
  <c r="J230" i="27" s="1"/>
  <c r="K230" i="27" s="1"/>
  <c r="L230" i="27" s="1"/>
  <c r="M230" i="27" s="1"/>
  <c r="N230" i="27" s="1"/>
  <c r="O230" i="27" s="1"/>
  <c r="P230" i="27" s="1"/>
  <c r="H7" i="27"/>
  <c r="P7" i="27"/>
  <c r="AH249" i="27"/>
  <c r="Q7" i="27"/>
  <c r="AI249" i="27"/>
  <c r="Y249" i="27"/>
  <c r="G92" i="27"/>
  <c r="I7" i="27"/>
  <c r="AI100" i="27"/>
  <c r="AH100" i="27"/>
  <c r="K92" i="27"/>
  <c r="AC249" i="27"/>
  <c r="K7" i="27"/>
  <c r="AB92" i="27"/>
  <c r="AT249" i="27"/>
  <c r="AB7" i="27"/>
  <c r="C91" i="27"/>
  <c r="AA92" i="27"/>
  <c r="AS249" i="27"/>
  <c r="AA7" i="27"/>
  <c r="J92" i="27"/>
  <c r="AB249" i="27"/>
  <c r="J7" i="27"/>
  <c r="H229" i="27"/>
  <c r="J232" i="27"/>
  <c r="K232" i="27" s="1"/>
  <c r="L232" i="27" s="1"/>
  <c r="M232" i="27" s="1"/>
  <c r="N232" i="27" s="1"/>
  <c r="O232" i="27" s="1"/>
  <c r="P232" i="27" s="1"/>
  <c r="E92" i="27"/>
  <c r="W249" i="27"/>
  <c r="AG249" i="27"/>
  <c r="O7" i="27"/>
  <c r="M92" i="27"/>
  <c r="AE249" i="27"/>
  <c r="M7" i="27"/>
  <c r="AC92" i="27"/>
  <c r="AU249" i="27"/>
  <c r="AC7" i="27"/>
  <c r="X249" i="27"/>
  <c r="F7" i="27"/>
  <c r="F92" i="27"/>
  <c r="AF249" i="27"/>
  <c r="N7" i="27"/>
  <c r="AV249" i="27"/>
  <c r="AD7" i="27"/>
  <c r="AD92" i="27"/>
  <c r="F5" i="27"/>
  <c r="N5" i="27"/>
  <c r="V5" i="27"/>
  <c r="AD5" i="27"/>
  <c r="E235" i="27"/>
  <c r="D246" i="27"/>
  <c r="H5" i="27"/>
  <c r="P5" i="27"/>
  <c r="X5" i="27"/>
  <c r="AH84" i="27"/>
  <c r="F234" i="27"/>
  <c r="F110" i="27" s="1"/>
  <c r="AI68" i="27"/>
  <c r="AI84" i="27"/>
  <c r="C5" i="27"/>
  <c r="K5" i="27"/>
  <c r="S5" i="27"/>
  <c r="AA5" i="27"/>
  <c r="B235" i="27"/>
  <c r="AX249" i="27" l="1"/>
  <c r="AF92" i="27"/>
  <c r="AE92" i="27"/>
  <c r="AW249" i="27"/>
  <c r="AR249" i="27"/>
  <c r="Z92" i="27"/>
  <c r="AQ249" i="27"/>
  <c r="Y7" i="27"/>
  <c r="X7" i="27"/>
  <c r="X92" i="27"/>
  <c r="W7" i="27"/>
  <c r="AO249" i="27"/>
  <c r="AM249" i="27"/>
  <c r="V92" i="27"/>
  <c r="V7" i="27"/>
  <c r="U92" i="27"/>
  <c r="T7" i="27"/>
  <c r="AL249" i="27"/>
  <c r="S7" i="27"/>
  <c r="AK249" i="27"/>
  <c r="AH89" i="27"/>
  <c r="R7" i="27"/>
  <c r="AJ249" i="27"/>
  <c r="D7" i="27"/>
  <c r="V249" i="27"/>
  <c r="B244" i="27"/>
  <c r="C244" i="27"/>
  <c r="K6" i="27" s="1"/>
  <c r="AA249" i="27"/>
  <c r="Z249" i="27"/>
  <c r="L7" i="27"/>
  <c r="AD249" i="27"/>
  <c r="AI89" i="27"/>
  <c r="B91" i="27"/>
  <c r="I229" i="27"/>
  <c r="C92" i="27"/>
  <c r="U249" i="27"/>
  <c r="C7" i="27"/>
  <c r="F235" i="27"/>
  <c r="E270" i="27"/>
  <c r="G234" i="27"/>
  <c r="B92" i="27"/>
  <c r="AI91" i="27"/>
  <c r="T249" i="27"/>
  <c r="AH91" i="27"/>
  <c r="B7" i="27"/>
  <c r="A7" i="27" l="1"/>
  <c r="AI92" i="27"/>
  <c r="AH92" i="27"/>
  <c r="F270" i="27"/>
  <c r="H234" i="27"/>
  <c r="G110" i="27"/>
  <c r="G235" i="27"/>
  <c r="J229" i="27"/>
  <c r="G270" i="27" l="1"/>
  <c r="I234" i="27"/>
  <c r="H110" i="27"/>
  <c r="H235" i="27"/>
  <c r="K229" i="27"/>
  <c r="H270" i="27" l="1"/>
  <c r="J234" i="27"/>
  <c r="I110" i="27"/>
  <c r="L229" i="27"/>
  <c r="M229" i="27" l="1"/>
  <c r="K234" i="27"/>
  <c r="I270" i="27"/>
  <c r="J110" i="27"/>
  <c r="J270" i="27" l="1"/>
  <c r="L234" i="27"/>
  <c r="K110" i="27"/>
  <c r="N229" i="27"/>
  <c r="O229" i="27" l="1"/>
  <c r="K270" i="27"/>
  <c r="M234" i="27"/>
  <c r="L110" i="27"/>
  <c r="L270" i="27" l="1"/>
  <c r="N234" i="27"/>
  <c r="M110" i="27"/>
  <c r="P229" i="27"/>
  <c r="M270" i="27" l="1"/>
  <c r="O234" i="27"/>
  <c r="N270" i="27" l="1"/>
  <c r="P234" i="27"/>
  <c r="O270" i="27" s="1"/>
  <c r="AI110" i="27" l="1"/>
  <c r="AH110" i="27"/>
  <c r="X113" i="26" l="1"/>
  <c r="X49" i="26"/>
  <c r="W113" i="26"/>
  <c r="W49" i="26"/>
  <c r="R50" i="26"/>
  <c r="R54" i="26"/>
  <c r="R68" i="26"/>
  <c r="R72" i="26"/>
  <c r="R84" i="26"/>
  <c r="R100" i="26" s="1"/>
  <c r="R110" i="26"/>
  <c r="Q50" i="26"/>
  <c r="Q54" i="26"/>
  <c r="Q68" i="26"/>
  <c r="Q72" i="26"/>
  <c r="Q84" i="26"/>
  <c r="Q100" i="26" s="1"/>
  <c r="Q110" i="26"/>
  <c r="R89" i="26" l="1"/>
  <c r="R91" i="26" s="1"/>
  <c r="R92" i="26" s="1"/>
  <c r="Q89" i="26"/>
  <c r="Q91" i="26" s="1"/>
  <c r="Q92" i="26" s="1"/>
  <c r="P50" i="26" l="1"/>
  <c r="P54" i="26"/>
  <c r="P68" i="26"/>
  <c r="P72" i="26"/>
  <c r="P84" i="26"/>
  <c r="P100" i="26" s="1"/>
  <c r="P110" i="26"/>
  <c r="O50" i="26"/>
  <c r="O54" i="26"/>
  <c r="O68" i="26"/>
  <c r="O72" i="26"/>
  <c r="O84" i="26"/>
  <c r="O100" i="26" s="1"/>
  <c r="O110" i="26"/>
  <c r="O89" i="26" l="1"/>
  <c r="O91" i="26" s="1"/>
  <c r="O92" i="26" s="1"/>
  <c r="P89" i="26"/>
  <c r="P91" i="26" s="1"/>
  <c r="P92" i="26" s="1"/>
  <c r="N50" i="26" l="1"/>
  <c r="N54" i="26"/>
  <c r="N68" i="26"/>
  <c r="N72" i="26"/>
  <c r="N84" i="26"/>
  <c r="N100" i="26" s="1"/>
  <c r="N110" i="26"/>
  <c r="I54" i="26"/>
  <c r="H54" i="26"/>
  <c r="H50" i="26"/>
  <c r="G50" i="26"/>
  <c r="E50" i="26"/>
  <c r="F50" i="26"/>
  <c r="E54" i="26"/>
  <c r="F54" i="26"/>
  <c r="E68" i="26"/>
  <c r="F68" i="26"/>
  <c r="E84" i="26"/>
  <c r="E100" i="26" s="1"/>
  <c r="F84" i="26"/>
  <c r="E5" i="26" s="1"/>
  <c r="AF274" i="26"/>
  <c r="AE274" i="26"/>
  <c r="AD274" i="26"/>
  <c r="AC274" i="26"/>
  <c r="AB274" i="26"/>
  <c r="AA274" i="26"/>
  <c r="Z274" i="26"/>
  <c r="Y274" i="26"/>
  <c r="X274" i="26"/>
  <c r="W274" i="26"/>
  <c r="V274" i="26"/>
  <c r="U274" i="26"/>
  <c r="T274" i="26"/>
  <c r="S274" i="26"/>
  <c r="R274" i="26"/>
  <c r="Q274" i="26"/>
  <c r="P274" i="26"/>
  <c r="O274" i="26"/>
  <c r="N274" i="26"/>
  <c r="M274" i="26"/>
  <c r="L274" i="26"/>
  <c r="K274" i="26"/>
  <c r="J274" i="26"/>
  <c r="I274" i="26"/>
  <c r="H274" i="26"/>
  <c r="G274" i="26"/>
  <c r="F274" i="26"/>
  <c r="E274" i="26"/>
  <c r="D274" i="26"/>
  <c r="C274" i="26"/>
  <c r="B274" i="26"/>
  <c r="A274" i="26"/>
  <c r="AF273" i="26"/>
  <c r="AE273" i="26"/>
  <c r="AD273" i="26"/>
  <c r="AC273" i="26"/>
  <c r="AB273" i="26"/>
  <c r="AA273" i="26"/>
  <c r="Z273" i="26"/>
  <c r="Y273" i="26"/>
  <c r="X273" i="26"/>
  <c r="W273" i="26"/>
  <c r="V273" i="26"/>
  <c r="U273" i="26"/>
  <c r="T273" i="26"/>
  <c r="S273" i="26"/>
  <c r="R273" i="26"/>
  <c r="Q273" i="26"/>
  <c r="P273" i="26"/>
  <c r="O273" i="26"/>
  <c r="N273" i="26"/>
  <c r="M273" i="26"/>
  <c r="L273" i="26"/>
  <c r="K273" i="26"/>
  <c r="J273" i="26"/>
  <c r="I273" i="26"/>
  <c r="H273" i="26"/>
  <c r="G273" i="26"/>
  <c r="F273" i="26"/>
  <c r="E273" i="26"/>
  <c r="D273" i="26"/>
  <c r="C273" i="26"/>
  <c r="B273" i="26"/>
  <c r="A273" i="26"/>
  <c r="AF272" i="26"/>
  <c r="AE272" i="26"/>
  <c r="AD272" i="26"/>
  <c r="AC272" i="26"/>
  <c r="AB272" i="26"/>
  <c r="AA272" i="26"/>
  <c r="Z272" i="26"/>
  <c r="Y272" i="26"/>
  <c r="X272" i="26"/>
  <c r="W272" i="26"/>
  <c r="V272" i="26"/>
  <c r="U272" i="26"/>
  <c r="T272" i="26"/>
  <c r="S272" i="26"/>
  <c r="R272" i="26"/>
  <c r="Q272" i="26"/>
  <c r="P272" i="26"/>
  <c r="O272" i="26"/>
  <c r="N272" i="26"/>
  <c r="M272" i="26"/>
  <c r="L272" i="26"/>
  <c r="K272" i="26"/>
  <c r="J272" i="26"/>
  <c r="I272" i="26"/>
  <c r="H272" i="26"/>
  <c r="G272" i="26"/>
  <c r="F272" i="26"/>
  <c r="E272" i="26"/>
  <c r="D272" i="26"/>
  <c r="C272" i="26"/>
  <c r="B272" i="26"/>
  <c r="A272" i="26"/>
  <c r="AF271" i="26"/>
  <c r="AE271" i="26"/>
  <c r="AD271" i="26"/>
  <c r="AC271" i="26"/>
  <c r="AB271" i="26"/>
  <c r="AA271" i="26"/>
  <c r="Z271" i="26"/>
  <c r="Y271" i="26"/>
  <c r="X271" i="26"/>
  <c r="W271" i="26"/>
  <c r="V271" i="26"/>
  <c r="U271" i="26"/>
  <c r="T271" i="26"/>
  <c r="S271" i="26"/>
  <c r="R271" i="26"/>
  <c r="Q271" i="26"/>
  <c r="P271" i="26"/>
  <c r="O271" i="26"/>
  <c r="N271" i="26"/>
  <c r="M271" i="26"/>
  <c r="L271" i="26"/>
  <c r="K271" i="26"/>
  <c r="J271" i="26"/>
  <c r="I271" i="26"/>
  <c r="H271" i="26"/>
  <c r="G271" i="26"/>
  <c r="F271" i="26"/>
  <c r="E271" i="26"/>
  <c r="D271" i="26"/>
  <c r="C271" i="26"/>
  <c r="B271" i="26"/>
  <c r="A271" i="26"/>
  <c r="AE270" i="26"/>
  <c r="AD270" i="26"/>
  <c r="AC270" i="26"/>
  <c r="AB270" i="26"/>
  <c r="AA270" i="26"/>
  <c r="Z270" i="26"/>
  <c r="Y270" i="26"/>
  <c r="X270" i="26"/>
  <c r="W270" i="26"/>
  <c r="V270" i="26"/>
  <c r="U270" i="26"/>
  <c r="T270" i="26"/>
  <c r="S270" i="26"/>
  <c r="R270" i="26"/>
  <c r="Q270" i="26"/>
  <c r="P270" i="26"/>
  <c r="C270" i="26"/>
  <c r="B270" i="26"/>
  <c r="S245" i="26"/>
  <c r="AG235" i="26"/>
  <c r="AF235" i="26"/>
  <c r="AE235" i="26"/>
  <c r="AD235" i="26"/>
  <c r="AC235" i="26"/>
  <c r="AB235" i="26"/>
  <c r="AA235" i="26"/>
  <c r="Z235" i="26"/>
  <c r="Y235" i="26"/>
  <c r="X235" i="26"/>
  <c r="W235" i="26"/>
  <c r="V235" i="26"/>
  <c r="U235" i="26"/>
  <c r="T235" i="26"/>
  <c r="S235" i="26"/>
  <c r="R235" i="26"/>
  <c r="Q235" i="26"/>
  <c r="C235" i="26"/>
  <c r="D234" i="26"/>
  <c r="E234" i="26" s="1"/>
  <c r="B234" i="26"/>
  <c r="AF270" i="26" s="1"/>
  <c r="D233" i="26"/>
  <c r="E233" i="26" s="1"/>
  <c r="F233" i="26" s="1"/>
  <c r="G233" i="26" s="1"/>
  <c r="H233" i="26" s="1"/>
  <c r="I233" i="26" s="1"/>
  <c r="J233" i="26" s="1"/>
  <c r="K233" i="26" s="1"/>
  <c r="L233" i="26" s="1"/>
  <c r="M233" i="26" s="1"/>
  <c r="N233" i="26" s="1"/>
  <c r="O233" i="26" s="1"/>
  <c r="P233" i="26" s="1"/>
  <c r="B233" i="26"/>
  <c r="D232" i="26"/>
  <c r="E232" i="26" s="1"/>
  <c r="F232" i="26" s="1"/>
  <c r="G232" i="26" s="1"/>
  <c r="H232" i="26" s="1"/>
  <c r="I232" i="26" s="1"/>
  <c r="B232" i="26"/>
  <c r="F231" i="26"/>
  <c r="G231" i="26" s="1"/>
  <c r="H231" i="26" s="1"/>
  <c r="E231" i="26"/>
  <c r="D231" i="26"/>
  <c r="B231" i="26"/>
  <c r="D230" i="26"/>
  <c r="E230" i="26" s="1"/>
  <c r="F230" i="26" s="1"/>
  <c r="G230" i="26" s="1"/>
  <c r="H230" i="26" s="1"/>
  <c r="I230" i="26" s="1"/>
  <c r="J230" i="26" s="1"/>
  <c r="K230" i="26" s="1"/>
  <c r="L230" i="26" s="1"/>
  <c r="M230" i="26" s="1"/>
  <c r="N230" i="26" s="1"/>
  <c r="O230" i="26" s="1"/>
  <c r="P230" i="26" s="1"/>
  <c r="B230" i="26"/>
  <c r="D229" i="26"/>
  <c r="D235" i="26" s="1"/>
  <c r="B229" i="26"/>
  <c r="B235" i="26" s="1"/>
  <c r="AG227" i="26"/>
  <c r="AF227" i="26"/>
  <c r="AE227" i="26"/>
  <c r="AD227" i="26"/>
  <c r="AC227" i="26"/>
  <c r="AB227" i="26"/>
  <c r="AA227" i="26"/>
  <c r="Z227" i="26"/>
  <c r="Y227" i="26"/>
  <c r="X227" i="26"/>
  <c r="W227" i="26"/>
  <c r="V227" i="26"/>
  <c r="U227" i="26"/>
  <c r="T227" i="26"/>
  <c r="S227" i="26"/>
  <c r="R227" i="26"/>
  <c r="Q227" i="26"/>
  <c r="P227" i="26"/>
  <c r="O227" i="26"/>
  <c r="N227" i="26"/>
  <c r="M227" i="26"/>
  <c r="L227" i="26"/>
  <c r="K227" i="26"/>
  <c r="J227" i="26"/>
  <c r="I227" i="26"/>
  <c r="H227" i="26"/>
  <c r="G227" i="26"/>
  <c r="F227" i="26"/>
  <c r="E227" i="26"/>
  <c r="D227" i="26"/>
  <c r="C227" i="26"/>
  <c r="B227" i="26"/>
  <c r="AI120" i="26"/>
  <c r="AH120" i="26"/>
  <c r="AI119" i="26"/>
  <c r="AH119" i="26"/>
  <c r="AI118" i="26"/>
  <c r="AH118" i="26"/>
  <c r="AI117" i="26"/>
  <c r="AH117" i="26"/>
  <c r="AI116" i="26"/>
  <c r="AH116" i="26"/>
  <c r="AI115" i="26"/>
  <c r="AH115" i="26"/>
  <c r="AI114" i="26"/>
  <c r="AH114" i="26"/>
  <c r="AI113" i="26"/>
  <c r="AH113" i="26"/>
  <c r="AI112" i="26"/>
  <c r="AH112" i="26"/>
  <c r="AI111" i="26"/>
  <c r="AH111" i="26"/>
  <c r="AF110" i="26"/>
  <c r="AE110" i="26"/>
  <c r="AC110" i="26"/>
  <c r="AB110" i="26"/>
  <c r="AA110" i="26"/>
  <c r="Z110" i="26"/>
  <c r="Y110" i="26"/>
  <c r="X110" i="26"/>
  <c r="W110" i="26"/>
  <c r="V110" i="26"/>
  <c r="U110" i="26"/>
  <c r="T110" i="26"/>
  <c r="S110" i="26"/>
  <c r="C110" i="26"/>
  <c r="B110" i="26"/>
  <c r="AI109" i="26"/>
  <c r="AH109" i="26"/>
  <c r="AI108" i="26"/>
  <c r="AH108" i="26"/>
  <c r="AI107" i="26"/>
  <c r="AH107" i="26"/>
  <c r="AI106" i="26"/>
  <c r="AH106" i="26"/>
  <c r="AI105" i="26"/>
  <c r="AH105" i="26"/>
  <c r="AI104" i="26"/>
  <c r="AH104" i="26"/>
  <c r="AI103" i="26"/>
  <c r="AH103" i="26"/>
  <c r="AI102" i="26"/>
  <c r="AH102" i="26"/>
  <c r="AI101" i="26"/>
  <c r="AH101" i="26"/>
  <c r="K100" i="26"/>
  <c r="AI99" i="26"/>
  <c r="AH99" i="26"/>
  <c r="AI98" i="26"/>
  <c r="AH98" i="26"/>
  <c r="AI97" i="26"/>
  <c r="AH97" i="26"/>
  <c r="AI96" i="26"/>
  <c r="AH96" i="26"/>
  <c r="AI95" i="26"/>
  <c r="AH95" i="26"/>
  <c r="AI94" i="26"/>
  <c r="AH94" i="26"/>
  <c r="AI93" i="26"/>
  <c r="AH93" i="26"/>
  <c r="AI90" i="26"/>
  <c r="AH90" i="26"/>
  <c r="AI88" i="26"/>
  <c r="AH88" i="26"/>
  <c r="AG88" i="26"/>
  <c r="AG91" i="26" s="1"/>
  <c r="AI87" i="26"/>
  <c r="AH87" i="26"/>
  <c r="AI86" i="26"/>
  <c r="AH86" i="26"/>
  <c r="AI85" i="26"/>
  <c r="AH85" i="26"/>
  <c r="AN84" i="26"/>
  <c r="AG84" i="26"/>
  <c r="AF84" i="26"/>
  <c r="AE84" i="26"/>
  <c r="AD5" i="26" s="1"/>
  <c r="AD84" i="26"/>
  <c r="AD100" i="26" s="1"/>
  <c r="AC84" i="26"/>
  <c r="AC100" i="26" s="1"/>
  <c r="AB84" i="26"/>
  <c r="AA5" i="26" s="1"/>
  <c r="AA84" i="26"/>
  <c r="Z5" i="26" s="1"/>
  <c r="Z84" i="26"/>
  <c r="Z100" i="26" s="1"/>
  <c r="Y84" i="26"/>
  <c r="X5" i="26" s="1"/>
  <c r="X84" i="26"/>
  <c r="W84" i="26"/>
  <c r="W100" i="26" s="1"/>
  <c r="V84" i="26"/>
  <c r="V100" i="26" s="1"/>
  <c r="U84" i="26"/>
  <c r="U100" i="26" s="1"/>
  <c r="T84" i="26"/>
  <c r="S5" i="26" s="1"/>
  <c r="S84" i="26"/>
  <c r="S100" i="26" s="1"/>
  <c r="M84" i="26"/>
  <c r="M100" i="26" s="1"/>
  <c r="L84" i="26"/>
  <c r="K5" i="26" s="1"/>
  <c r="K84" i="26"/>
  <c r="J84" i="26"/>
  <c r="J100" i="26" s="1"/>
  <c r="I84" i="26"/>
  <c r="H5" i="26" s="1"/>
  <c r="H84" i="26"/>
  <c r="G84" i="26"/>
  <c r="F5" i="26" s="1"/>
  <c r="D84" i="26"/>
  <c r="C5" i="26" s="1"/>
  <c r="C84" i="26"/>
  <c r="B5" i="26" s="1"/>
  <c r="B84" i="26"/>
  <c r="AI83" i="26"/>
  <c r="AH83" i="26"/>
  <c r="AN82" i="26"/>
  <c r="AI82" i="26"/>
  <c r="AH82" i="26"/>
  <c r="AN81" i="26"/>
  <c r="AN83" i="26" s="1"/>
  <c r="AI81" i="26"/>
  <c r="AH81" i="26"/>
  <c r="AI80" i="26"/>
  <c r="AH80" i="26"/>
  <c r="AI79" i="26"/>
  <c r="AH79" i="26"/>
  <c r="AI78" i="26"/>
  <c r="AH78" i="26"/>
  <c r="AI77" i="26"/>
  <c r="AH77" i="26"/>
  <c r="AI76" i="26"/>
  <c r="AH76" i="26"/>
  <c r="AI75" i="26"/>
  <c r="AH75" i="26"/>
  <c r="AI74" i="26"/>
  <c r="AH74" i="26"/>
  <c r="AI73" i="26"/>
  <c r="AH73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M72" i="26"/>
  <c r="L72" i="26"/>
  <c r="B72" i="26"/>
  <c r="AH72" i="26" s="1"/>
  <c r="AI71" i="26"/>
  <c r="AH71" i="26"/>
  <c r="AI70" i="26"/>
  <c r="AH70" i="26"/>
  <c r="AI69" i="26"/>
  <c r="AH69" i="26"/>
  <c r="AF68" i="26"/>
  <c r="AE68" i="26"/>
  <c r="AD68" i="26"/>
  <c r="AC68" i="26"/>
  <c r="AB68" i="26"/>
  <c r="AA68" i="26"/>
  <c r="Z68" i="26"/>
  <c r="Y68" i="26"/>
  <c r="X68" i="26"/>
  <c r="W68" i="26"/>
  <c r="V68" i="26"/>
  <c r="U68" i="26"/>
  <c r="T68" i="26"/>
  <c r="S68" i="26"/>
  <c r="M68" i="26"/>
  <c r="L68" i="26"/>
  <c r="K68" i="26"/>
  <c r="J68" i="26"/>
  <c r="I68" i="26"/>
  <c r="H68" i="26"/>
  <c r="G68" i="26"/>
  <c r="D68" i="26"/>
  <c r="C68" i="26"/>
  <c r="B68" i="26"/>
  <c r="AI67" i="26"/>
  <c r="AH67" i="26"/>
  <c r="AG67" i="26"/>
  <c r="AG68" i="26" s="1"/>
  <c r="AG3" i="26" s="1"/>
  <c r="AI66" i="26"/>
  <c r="AH66" i="26"/>
  <c r="AI65" i="26"/>
  <c r="AH65" i="26"/>
  <c r="AI64" i="26"/>
  <c r="AH64" i="26"/>
  <c r="AI63" i="26"/>
  <c r="AH63" i="26"/>
  <c r="AI62" i="26"/>
  <c r="AH62" i="26"/>
  <c r="AI61" i="26"/>
  <c r="AH61" i="26"/>
  <c r="AI60" i="26"/>
  <c r="AH60" i="26"/>
  <c r="AI59" i="26"/>
  <c r="AH59" i="26"/>
  <c r="AI58" i="26"/>
  <c r="AH58" i="26"/>
  <c r="AI57" i="26"/>
  <c r="AH57" i="26"/>
  <c r="AI56" i="26"/>
  <c r="AH56" i="26"/>
  <c r="AI55" i="26"/>
  <c r="AH55" i="26"/>
  <c r="AG54" i="26"/>
  <c r="AF54" i="26"/>
  <c r="AE54" i="26"/>
  <c r="AD54" i="26"/>
  <c r="AB54" i="26"/>
  <c r="AA54" i="26"/>
  <c r="Z54" i="26"/>
  <c r="Y54" i="26"/>
  <c r="X54" i="26"/>
  <c r="W54" i="26"/>
  <c r="V54" i="26"/>
  <c r="U54" i="26"/>
  <c r="T54" i="26"/>
  <c r="S54" i="26"/>
  <c r="M54" i="26"/>
  <c r="L54" i="26"/>
  <c r="K54" i="26"/>
  <c r="J54" i="26"/>
  <c r="G54" i="26"/>
  <c r="D54" i="26"/>
  <c r="C54" i="26"/>
  <c r="B54" i="26"/>
  <c r="AI53" i="26"/>
  <c r="AH53" i="26"/>
  <c r="AI52" i="26"/>
  <c r="AH52" i="26"/>
  <c r="AI51" i="26"/>
  <c r="AH51" i="26"/>
  <c r="AG50" i="26"/>
  <c r="AG89" i="26" s="1"/>
  <c r="AF50" i="26"/>
  <c r="AE50" i="26"/>
  <c r="AB50" i="26"/>
  <c r="AA50" i="26"/>
  <c r="Z50" i="26"/>
  <c r="Y50" i="26"/>
  <c r="X50" i="26"/>
  <c r="W50" i="26"/>
  <c r="V50" i="26"/>
  <c r="U50" i="26"/>
  <c r="T50" i="26"/>
  <c r="S50" i="26"/>
  <c r="M50" i="26"/>
  <c r="L50" i="26"/>
  <c r="K50" i="26"/>
  <c r="K89" i="26" s="1"/>
  <c r="K91" i="26" s="1"/>
  <c r="J50" i="26"/>
  <c r="J89" i="26" s="1"/>
  <c r="J91" i="26" s="1"/>
  <c r="I50" i="26"/>
  <c r="D50" i="26"/>
  <c r="C50" i="26"/>
  <c r="B50" i="26"/>
  <c r="AI49" i="26"/>
  <c r="AH49" i="26"/>
  <c r="AI48" i="26"/>
  <c r="AH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I38" i="26"/>
  <c r="AH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P5" i="26"/>
  <c r="N5" i="26"/>
  <c r="M5" i="26"/>
  <c r="J5" i="26"/>
  <c r="AG4" i="26"/>
  <c r="K4" i="26"/>
  <c r="E4" i="26"/>
  <c r="H4" i="26" s="1"/>
  <c r="B4" i="26"/>
  <c r="S246" i="26" s="1"/>
  <c r="AE23" i="25"/>
  <c r="AD23" i="25"/>
  <c r="AB50" i="25"/>
  <c r="Z113" i="25"/>
  <c r="Y113" i="25"/>
  <c r="W50" i="25"/>
  <c r="X50" i="25"/>
  <c r="Y50" i="25"/>
  <c r="W54" i="25"/>
  <c r="X54" i="25"/>
  <c r="Y54" i="25"/>
  <c r="V50" i="25"/>
  <c r="V54" i="25"/>
  <c r="V68" i="25"/>
  <c r="V72" i="25"/>
  <c r="V84" i="25"/>
  <c r="V100" i="25" s="1"/>
  <c r="V110" i="25"/>
  <c r="U50" i="25"/>
  <c r="U54" i="25"/>
  <c r="U68" i="25"/>
  <c r="U72" i="25"/>
  <c r="U84" i="25"/>
  <c r="U100" i="25" s="1"/>
  <c r="U110" i="25"/>
  <c r="T50" i="25"/>
  <c r="T54" i="25"/>
  <c r="T68" i="25"/>
  <c r="T72" i="25"/>
  <c r="T84" i="25"/>
  <c r="T100" i="25" s="1"/>
  <c r="T110" i="25"/>
  <c r="S113" i="25"/>
  <c r="AF89" i="26" l="1"/>
  <c r="AF91" i="26" s="1"/>
  <c r="AE100" i="26"/>
  <c r="AE89" i="26"/>
  <c r="AE91" i="26" s="1"/>
  <c r="AE7" i="26" s="1"/>
  <c r="AD89" i="26"/>
  <c r="AD91" i="26" s="1"/>
  <c r="AD7" i="26" s="1"/>
  <c r="AC5" i="26"/>
  <c r="AB5" i="26"/>
  <c r="AC89" i="26"/>
  <c r="AC91" i="26" s="1"/>
  <c r="AC92" i="26" s="1"/>
  <c r="AB89" i="26"/>
  <c r="AB91" i="26" s="1"/>
  <c r="AB92" i="26" s="1"/>
  <c r="AA89" i="26"/>
  <c r="AA91" i="26" s="1"/>
  <c r="AS249" i="26" s="1"/>
  <c r="AA100" i="26"/>
  <c r="Z89" i="26"/>
  <c r="Z91" i="26" s="1"/>
  <c r="AR249" i="26" s="1"/>
  <c r="Y100" i="26"/>
  <c r="Y89" i="26"/>
  <c r="Y91" i="26" s="1"/>
  <c r="X89" i="26"/>
  <c r="X91" i="26" s="1"/>
  <c r="V5" i="26"/>
  <c r="W89" i="26"/>
  <c r="W91" i="26" s="1"/>
  <c r="W92" i="26" s="1"/>
  <c r="U5" i="26"/>
  <c r="V89" i="26"/>
  <c r="V91" i="26" s="1"/>
  <c r="V92" i="26" s="1"/>
  <c r="T5" i="26"/>
  <c r="U89" i="26"/>
  <c r="U91" i="26" s="1"/>
  <c r="AM249" i="26" s="1"/>
  <c r="T89" i="26"/>
  <c r="T91" i="26" s="1"/>
  <c r="T92" i="26" s="1"/>
  <c r="R5" i="26"/>
  <c r="S89" i="26"/>
  <c r="S91" i="26" s="1"/>
  <c r="N89" i="26"/>
  <c r="N91" i="26" s="1"/>
  <c r="N92" i="26" s="1"/>
  <c r="L5" i="26"/>
  <c r="M89" i="26"/>
  <c r="M91" i="26" s="1"/>
  <c r="M7" i="26" s="1"/>
  <c r="L89" i="26"/>
  <c r="L91" i="26" s="1"/>
  <c r="I100" i="26"/>
  <c r="I89" i="26"/>
  <c r="I91" i="26" s="1"/>
  <c r="I92" i="26" s="1"/>
  <c r="G100" i="26"/>
  <c r="H89" i="26"/>
  <c r="H91" i="26" s="1"/>
  <c r="G89" i="26"/>
  <c r="G91" i="26" s="1"/>
  <c r="D5" i="26"/>
  <c r="F89" i="26"/>
  <c r="F91" i="26" s="1"/>
  <c r="F92" i="26" s="1"/>
  <c r="E89" i="26"/>
  <c r="E91" i="26" s="1"/>
  <c r="E7" i="26" s="1"/>
  <c r="F100" i="26"/>
  <c r="AH84" i="26"/>
  <c r="C100" i="26"/>
  <c r="AI68" i="26"/>
  <c r="C89" i="26"/>
  <c r="C91" i="26" s="1"/>
  <c r="U249" i="26" s="1"/>
  <c r="AH54" i="26"/>
  <c r="AI54" i="26"/>
  <c r="D89" i="26"/>
  <c r="D91" i="26" s="1"/>
  <c r="D92" i="26" s="1"/>
  <c r="AF5" i="26"/>
  <c r="B89" i="26"/>
  <c r="B91" i="26" s="1"/>
  <c r="D246" i="26"/>
  <c r="Q7" i="26"/>
  <c r="AI249" i="26"/>
  <c r="AJ249" i="26"/>
  <c r="R7" i="26"/>
  <c r="Z7" i="26"/>
  <c r="K7" i="26"/>
  <c r="K92" i="26"/>
  <c r="AC249" i="26"/>
  <c r="S7" i="26"/>
  <c r="S92" i="26"/>
  <c r="AK249" i="26"/>
  <c r="AA92" i="26"/>
  <c r="AN249" i="26"/>
  <c r="V7" i="26"/>
  <c r="AV249" i="26"/>
  <c r="AD92" i="26"/>
  <c r="F234" i="26"/>
  <c r="D270" i="26"/>
  <c r="P7" i="26"/>
  <c r="AH249" i="26"/>
  <c r="X7" i="26"/>
  <c r="X92" i="26"/>
  <c r="AP249" i="26"/>
  <c r="U92" i="26"/>
  <c r="U7" i="26"/>
  <c r="L92" i="26"/>
  <c r="AD249" i="26"/>
  <c r="L7" i="26"/>
  <c r="H92" i="26"/>
  <c r="Z249" i="26"/>
  <c r="AF7" i="26"/>
  <c r="AF92" i="26"/>
  <c r="AX249" i="26"/>
  <c r="Y249" i="26"/>
  <c r="G7" i="26"/>
  <c r="G92" i="26"/>
  <c r="AG249" i="26"/>
  <c r="O7" i="26"/>
  <c r="AO249" i="26"/>
  <c r="W7" i="26"/>
  <c r="AW249" i="26"/>
  <c r="J232" i="26"/>
  <c r="K232" i="26" s="1"/>
  <c r="L232" i="26" s="1"/>
  <c r="M232" i="26" s="1"/>
  <c r="N232" i="26" s="1"/>
  <c r="O232" i="26" s="1"/>
  <c r="P232" i="26" s="1"/>
  <c r="I7" i="26"/>
  <c r="Y7" i="26"/>
  <c r="Y92" i="26"/>
  <c r="AQ249" i="26"/>
  <c r="F7" i="26"/>
  <c r="J7" i="26"/>
  <c r="J92" i="26"/>
  <c r="AB249" i="26"/>
  <c r="AF249" i="26"/>
  <c r="N7" i="26"/>
  <c r="AH68" i="26"/>
  <c r="AI72" i="26"/>
  <c r="D110" i="26"/>
  <c r="G5" i="26"/>
  <c r="O5" i="26"/>
  <c r="W5" i="26"/>
  <c r="AE5" i="26"/>
  <c r="H100" i="26"/>
  <c r="X100" i="26"/>
  <c r="AF100" i="26"/>
  <c r="I5" i="26"/>
  <c r="Q5" i="26"/>
  <c r="Y5" i="26"/>
  <c r="AH50" i="26"/>
  <c r="AI84" i="26"/>
  <c r="B100" i="26"/>
  <c r="E229" i="26"/>
  <c r="AG2" i="26"/>
  <c r="AG6" i="26" s="1"/>
  <c r="D100" i="26"/>
  <c r="L100" i="26"/>
  <c r="T100" i="26"/>
  <c r="AB100" i="26"/>
  <c r="AI50" i="26"/>
  <c r="V89" i="25"/>
  <c r="V91" i="25" s="1"/>
  <c r="V92" i="25" s="1"/>
  <c r="U89" i="25"/>
  <c r="U91" i="25" s="1"/>
  <c r="U92" i="25" s="1"/>
  <c r="T89" i="25"/>
  <c r="T91" i="25" s="1"/>
  <c r="T92" i="25" s="1"/>
  <c r="R50" i="25"/>
  <c r="R54" i="25"/>
  <c r="R68" i="25"/>
  <c r="R72" i="25"/>
  <c r="R84" i="25"/>
  <c r="R100" i="25" s="1"/>
  <c r="R110" i="25"/>
  <c r="Q113" i="25"/>
  <c r="Q50" i="25"/>
  <c r="Q54" i="25"/>
  <c r="P113" i="25"/>
  <c r="E50" i="25"/>
  <c r="F50" i="25"/>
  <c r="C50" i="25"/>
  <c r="B110" i="25"/>
  <c r="AF110" i="24"/>
  <c r="AA84" i="24"/>
  <c r="AB84" i="24"/>
  <c r="AC84" i="24"/>
  <c r="AD84" i="24"/>
  <c r="AE84" i="24"/>
  <c r="AF84" i="24"/>
  <c r="AF68" i="24"/>
  <c r="B68" i="25"/>
  <c r="B54" i="25"/>
  <c r="E54" i="24"/>
  <c r="E50" i="24"/>
  <c r="B84" i="25"/>
  <c r="B100" i="25" s="1"/>
  <c r="B50" i="25"/>
  <c r="B72" i="25"/>
  <c r="AF274" i="25"/>
  <c r="AE274" i="25"/>
  <c r="AD274" i="25"/>
  <c r="AC274" i="25"/>
  <c r="AB274" i="25"/>
  <c r="AA274" i="25"/>
  <c r="Z274" i="25"/>
  <c r="Y274" i="25"/>
  <c r="X274" i="25"/>
  <c r="W274" i="25"/>
  <c r="V274" i="25"/>
  <c r="U274" i="25"/>
  <c r="T274" i="25"/>
  <c r="S274" i="25"/>
  <c r="R274" i="25"/>
  <c r="Q274" i="25"/>
  <c r="P274" i="25"/>
  <c r="O274" i="25"/>
  <c r="N274" i="25"/>
  <c r="M274" i="25"/>
  <c r="L274" i="25"/>
  <c r="K274" i="25"/>
  <c r="J274" i="25"/>
  <c r="I274" i="25"/>
  <c r="H274" i="25"/>
  <c r="G274" i="25"/>
  <c r="F274" i="25"/>
  <c r="E274" i="25"/>
  <c r="D274" i="25"/>
  <c r="C274" i="25"/>
  <c r="B274" i="25"/>
  <c r="A274" i="25"/>
  <c r="AF273" i="25"/>
  <c r="AE273" i="25"/>
  <c r="AD273" i="25"/>
  <c r="AC273" i="25"/>
  <c r="AB273" i="25"/>
  <c r="AA273" i="25"/>
  <c r="Z273" i="25"/>
  <c r="Y273" i="25"/>
  <c r="X273" i="25"/>
  <c r="W273" i="25"/>
  <c r="V273" i="25"/>
  <c r="U273" i="25"/>
  <c r="T273" i="25"/>
  <c r="S273" i="25"/>
  <c r="R273" i="25"/>
  <c r="Q273" i="25"/>
  <c r="P273" i="25"/>
  <c r="O273" i="25"/>
  <c r="N273" i="25"/>
  <c r="M273" i="25"/>
  <c r="L273" i="25"/>
  <c r="K273" i="25"/>
  <c r="J273" i="25"/>
  <c r="I273" i="25"/>
  <c r="H273" i="25"/>
  <c r="G273" i="25"/>
  <c r="F273" i="25"/>
  <c r="E273" i="25"/>
  <c r="D273" i="25"/>
  <c r="C273" i="25"/>
  <c r="B273" i="25"/>
  <c r="A273" i="25"/>
  <c r="AF272" i="25"/>
  <c r="AE272" i="25"/>
  <c r="AD272" i="25"/>
  <c r="AC272" i="25"/>
  <c r="AB272" i="25"/>
  <c r="AA272" i="25"/>
  <c r="Z272" i="25"/>
  <c r="Y272" i="25"/>
  <c r="X272" i="25"/>
  <c r="W272" i="25"/>
  <c r="V272" i="25"/>
  <c r="U272" i="25"/>
  <c r="T272" i="25"/>
  <c r="S272" i="25"/>
  <c r="R272" i="25"/>
  <c r="Q272" i="25"/>
  <c r="P272" i="25"/>
  <c r="O272" i="25"/>
  <c r="N272" i="25"/>
  <c r="M272" i="25"/>
  <c r="L272" i="25"/>
  <c r="K272" i="25"/>
  <c r="J272" i="25"/>
  <c r="I272" i="25"/>
  <c r="H272" i="25"/>
  <c r="G272" i="25"/>
  <c r="F272" i="25"/>
  <c r="E272" i="25"/>
  <c r="D272" i="25"/>
  <c r="C272" i="25"/>
  <c r="B272" i="25"/>
  <c r="A272" i="25"/>
  <c r="AF271" i="25"/>
  <c r="AE271" i="25"/>
  <c r="AD271" i="25"/>
  <c r="AC271" i="25"/>
  <c r="AB271" i="25"/>
  <c r="AA271" i="25"/>
  <c r="Z271" i="25"/>
  <c r="Y271" i="25"/>
  <c r="X271" i="25"/>
  <c r="W271" i="25"/>
  <c r="V271" i="25"/>
  <c r="U271" i="25"/>
  <c r="T271" i="25"/>
  <c r="S271" i="25"/>
  <c r="R271" i="25"/>
  <c r="Q271" i="25"/>
  <c r="P271" i="25"/>
  <c r="O271" i="25"/>
  <c r="N271" i="25"/>
  <c r="M271" i="25"/>
  <c r="L271" i="25"/>
  <c r="K271" i="25"/>
  <c r="J271" i="25"/>
  <c r="I271" i="25"/>
  <c r="H271" i="25"/>
  <c r="G271" i="25"/>
  <c r="F271" i="25"/>
  <c r="E271" i="25"/>
  <c r="D271" i="25"/>
  <c r="C271" i="25"/>
  <c r="B271" i="25"/>
  <c r="A271" i="25"/>
  <c r="AE270" i="25"/>
  <c r="AD270" i="25"/>
  <c r="AC270" i="25"/>
  <c r="AB270" i="25"/>
  <c r="AA270" i="25"/>
  <c r="Z270" i="25"/>
  <c r="Y270" i="25"/>
  <c r="X270" i="25"/>
  <c r="W270" i="25"/>
  <c r="V270" i="25"/>
  <c r="U270" i="25"/>
  <c r="T270" i="25"/>
  <c r="S270" i="25"/>
  <c r="R270" i="25"/>
  <c r="Q270" i="25"/>
  <c r="P270" i="25"/>
  <c r="B270" i="25"/>
  <c r="S245" i="25"/>
  <c r="AG235" i="25"/>
  <c r="AF235" i="25"/>
  <c r="AE235" i="25"/>
  <c r="AD235" i="25"/>
  <c r="AC235" i="25"/>
  <c r="AB235" i="25"/>
  <c r="AA235" i="25"/>
  <c r="Z235" i="25"/>
  <c r="Y235" i="25"/>
  <c r="X235" i="25"/>
  <c r="W235" i="25"/>
  <c r="V235" i="25"/>
  <c r="U235" i="25"/>
  <c r="T235" i="25"/>
  <c r="S235" i="25"/>
  <c r="R235" i="25"/>
  <c r="Q235" i="25"/>
  <c r="C235" i="25"/>
  <c r="D234" i="25"/>
  <c r="E234" i="25" s="1"/>
  <c r="B234" i="25"/>
  <c r="AF270" i="25" s="1"/>
  <c r="D233" i="25"/>
  <c r="E233" i="25" s="1"/>
  <c r="F233" i="25" s="1"/>
  <c r="G233" i="25" s="1"/>
  <c r="H233" i="25" s="1"/>
  <c r="I233" i="25" s="1"/>
  <c r="J233" i="25" s="1"/>
  <c r="K233" i="25" s="1"/>
  <c r="L233" i="25" s="1"/>
  <c r="M233" i="25" s="1"/>
  <c r="N233" i="25" s="1"/>
  <c r="O233" i="25" s="1"/>
  <c r="P233" i="25" s="1"/>
  <c r="B233" i="25"/>
  <c r="D232" i="25"/>
  <c r="E232" i="25" s="1"/>
  <c r="F232" i="25" s="1"/>
  <c r="G232" i="25" s="1"/>
  <c r="H232" i="25" s="1"/>
  <c r="I232" i="25" s="1"/>
  <c r="B232" i="25"/>
  <c r="F231" i="25"/>
  <c r="G231" i="25" s="1"/>
  <c r="H231" i="25" s="1"/>
  <c r="E231" i="25"/>
  <c r="D231" i="25"/>
  <c r="B231" i="25"/>
  <c r="D230" i="25"/>
  <c r="D235" i="25" s="1"/>
  <c r="B230" i="25"/>
  <c r="E229" i="25"/>
  <c r="F229" i="25" s="1"/>
  <c r="D229" i="25"/>
  <c r="B229" i="25"/>
  <c r="AG227" i="25"/>
  <c r="AF227" i="25"/>
  <c r="AE227" i="25"/>
  <c r="AD227" i="25"/>
  <c r="AC227" i="25"/>
  <c r="AB227" i="25"/>
  <c r="AA227" i="25"/>
  <c r="Z227" i="25"/>
  <c r="Y227" i="25"/>
  <c r="X227" i="25"/>
  <c r="W227" i="25"/>
  <c r="V227" i="25"/>
  <c r="U227" i="25"/>
  <c r="T227" i="25"/>
  <c r="S227" i="25"/>
  <c r="R227" i="25"/>
  <c r="Q227" i="25"/>
  <c r="P227" i="25"/>
  <c r="O227" i="25"/>
  <c r="N227" i="25"/>
  <c r="M227" i="25"/>
  <c r="L227" i="25"/>
  <c r="K227" i="25"/>
  <c r="J227" i="25"/>
  <c r="I227" i="25"/>
  <c r="H227" i="25"/>
  <c r="G227" i="25"/>
  <c r="F227" i="25"/>
  <c r="E227" i="25"/>
  <c r="D227" i="25"/>
  <c r="C227" i="25"/>
  <c r="B227" i="25"/>
  <c r="AI120" i="25"/>
  <c r="AH120" i="25"/>
  <c r="AI119" i="25"/>
  <c r="AH119" i="25"/>
  <c r="AI118" i="25"/>
  <c r="AH118" i="25"/>
  <c r="AI117" i="25"/>
  <c r="AH117" i="25"/>
  <c r="AI116" i="25"/>
  <c r="AH116" i="25"/>
  <c r="AI115" i="25"/>
  <c r="AH115" i="25"/>
  <c r="AI114" i="25"/>
  <c r="AH114" i="25"/>
  <c r="AI113" i="25"/>
  <c r="AH113" i="25"/>
  <c r="AI112" i="25"/>
  <c r="AH112" i="25"/>
  <c r="AI111" i="25"/>
  <c r="AH111" i="25"/>
  <c r="AF110" i="25"/>
  <c r="AE110" i="25"/>
  <c r="AC110" i="25"/>
  <c r="AB110" i="25"/>
  <c r="AA110" i="25"/>
  <c r="Z110" i="25"/>
  <c r="Y110" i="25"/>
  <c r="X110" i="25"/>
  <c r="W110" i="25"/>
  <c r="S110" i="25"/>
  <c r="Q110" i="25"/>
  <c r="D110" i="25"/>
  <c r="C110" i="25"/>
  <c r="AI109" i="25"/>
  <c r="AH109" i="25"/>
  <c r="AI108" i="25"/>
  <c r="AH108" i="25"/>
  <c r="AI107" i="25"/>
  <c r="AH107" i="25"/>
  <c r="AI106" i="25"/>
  <c r="AH106" i="25"/>
  <c r="AI105" i="25"/>
  <c r="AH105" i="25"/>
  <c r="AI104" i="25"/>
  <c r="AH104" i="25"/>
  <c r="AI103" i="25"/>
  <c r="AH103" i="25"/>
  <c r="AI102" i="25"/>
  <c r="AH102" i="25"/>
  <c r="AI101" i="25"/>
  <c r="AH101" i="25"/>
  <c r="AI99" i="25"/>
  <c r="AH99" i="25"/>
  <c r="AI98" i="25"/>
  <c r="AH98" i="25"/>
  <c r="AI97" i="25"/>
  <c r="AH97" i="25"/>
  <c r="AI96" i="25"/>
  <c r="AH96" i="25"/>
  <c r="AI95" i="25"/>
  <c r="AH95" i="25"/>
  <c r="AI94" i="25"/>
  <c r="AH94" i="25"/>
  <c r="AI93" i="25"/>
  <c r="AH93" i="25"/>
  <c r="AI90" i="25"/>
  <c r="AH90" i="25"/>
  <c r="AI88" i="25"/>
  <c r="AH88" i="25"/>
  <c r="AG88" i="25"/>
  <c r="AI87" i="25"/>
  <c r="AH87" i="25"/>
  <c r="AI86" i="25"/>
  <c r="AH86" i="25"/>
  <c r="AI85" i="25"/>
  <c r="AH85" i="25"/>
  <c r="AN84" i="25"/>
  <c r="AG84" i="25"/>
  <c r="AF84" i="25"/>
  <c r="AE5" i="25" s="1"/>
  <c r="AE84" i="25"/>
  <c r="AE100" i="25" s="1"/>
  <c r="AD84" i="25"/>
  <c r="AD100" i="25" s="1"/>
  <c r="AC84" i="25"/>
  <c r="AC100" i="25" s="1"/>
  <c r="AB84" i="25"/>
  <c r="AB100" i="25" s="1"/>
  <c r="AA84" i="25"/>
  <c r="AA100" i="25" s="1"/>
  <c r="Z84" i="25"/>
  <c r="Z100" i="25" s="1"/>
  <c r="Y84" i="25"/>
  <c r="Y100" i="25" s="1"/>
  <c r="X84" i="25"/>
  <c r="W5" i="25" s="1"/>
  <c r="W84" i="25"/>
  <c r="V5" i="25" s="1"/>
  <c r="S84" i="25"/>
  <c r="S100" i="25" s="1"/>
  <c r="Q84" i="25"/>
  <c r="Q100" i="25" s="1"/>
  <c r="P84" i="25"/>
  <c r="P100" i="25" s="1"/>
  <c r="O84" i="25"/>
  <c r="O100" i="25" s="1"/>
  <c r="N84" i="25"/>
  <c r="N100" i="25" s="1"/>
  <c r="M84" i="25"/>
  <c r="M100" i="25" s="1"/>
  <c r="L84" i="25"/>
  <c r="L100" i="25" s="1"/>
  <c r="K84" i="25"/>
  <c r="K100" i="25" s="1"/>
  <c r="J84" i="25"/>
  <c r="J100" i="25" s="1"/>
  <c r="I84" i="25"/>
  <c r="I100" i="25" s="1"/>
  <c r="H84" i="25"/>
  <c r="G5" i="25" s="1"/>
  <c r="G84" i="25"/>
  <c r="G100" i="25" s="1"/>
  <c r="F84" i="25"/>
  <c r="F100" i="25" s="1"/>
  <c r="E84" i="25"/>
  <c r="E100" i="25" s="1"/>
  <c r="D84" i="25"/>
  <c r="D100" i="25" s="1"/>
  <c r="C84" i="25"/>
  <c r="C100" i="25" s="1"/>
  <c r="AN83" i="25"/>
  <c r="AI83" i="25"/>
  <c r="AH83" i="25"/>
  <c r="AN82" i="25"/>
  <c r="AI82" i="25"/>
  <c r="AH82" i="25"/>
  <c r="AN81" i="25"/>
  <c r="AI81" i="25"/>
  <c r="AH81" i="25"/>
  <c r="AI80" i="25"/>
  <c r="AH80" i="25"/>
  <c r="AI79" i="25"/>
  <c r="AH79" i="25"/>
  <c r="AI78" i="25"/>
  <c r="AH78" i="25"/>
  <c r="AI77" i="25"/>
  <c r="AH77" i="25"/>
  <c r="AI76" i="25"/>
  <c r="AH76" i="25"/>
  <c r="AI75" i="25"/>
  <c r="AH75" i="25"/>
  <c r="AI74" i="25"/>
  <c r="AH74" i="25"/>
  <c r="AI73" i="25"/>
  <c r="AH73" i="25"/>
  <c r="AG72" i="25"/>
  <c r="AF72" i="25"/>
  <c r="AE72" i="25"/>
  <c r="AD72" i="25"/>
  <c r="AC72" i="25"/>
  <c r="AB72" i="25"/>
  <c r="AA72" i="25"/>
  <c r="Z72" i="25"/>
  <c r="Y72" i="25"/>
  <c r="X72" i="25"/>
  <c r="W72" i="25"/>
  <c r="S72" i="25"/>
  <c r="Q72" i="25"/>
  <c r="P72" i="25"/>
  <c r="O72" i="25"/>
  <c r="N72" i="25"/>
  <c r="M72" i="25"/>
  <c r="L72" i="25"/>
  <c r="AH72" i="25"/>
  <c r="AI71" i="25"/>
  <c r="AH71" i="25"/>
  <c r="AI70" i="25"/>
  <c r="AH70" i="25"/>
  <c r="AI69" i="25"/>
  <c r="AH69" i="25"/>
  <c r="AF68" i="25"/>
  <c r="AE68" i="25"/>
  <c r="AD68" i="25"/>
  <c r="AC68" i="25"/>
  <c r="AB68" i="25"/>
  <c r="AA68" i="25"/>
  <c r="Z68" i="25"/>
  <c r="Y68" i="25"/>
  <c r="X68" i="25"/>
  <c r="W68" i="25"/>
  <c r="S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AI67" i="25"/>
  <c r="AH67" i="25"/>
  <c r="AG67" i="25"/>
  <c r="AG68" i="25" s="1"/>
  <c r="AG3" i="25" s="1"/>
  <c r="AI66" i="25"/>
  <c r="AH66" i="25"/>
  <c r="AI65" i="25"/>
  <c r="AH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I56" i="25"/>
  <c r="AH56" i="25"/>
  <c r="AI55" i="25"/>
  <c r="AH55" i="25"/>
  <c r="AG54" i="25"/>
  <c r="AF54" i="25"/>
  <c r="AE54" i="25"/>
  <c r="AD54" i="25"/>
  <c r="AC54" i="25"/>
  <c r="AB54" i="25"/>
  <c r="AA54" i="25"/>
  <c r="Z54" i="25"/>
  <c r="S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AI53" i="25"/>
  <c r="AH53" i="25"/>
  <c r="AI52" i="25"/>
  <c r="AH52" i="25"/>
  <c r="AI51" i="25"/>
  <c r="AH51" i="25"/>
  <c r="AG50" i="25"/>
  <c r="AF50" i="25"/>
  <c r="AE50" i="25"/>
  <c r="AD50" i="25"/>
  <c r="AC50" i="25"/>
  <c r="AA50" i="25"/>
  <c r="Z50" i="25"/>
  <c r="S50" i="25"/>
  <c r="P50" i="25"/>
  <c r="O50" i="25"/>
  <c r="N50" i="25"/>
  <c r="N89" i="25" s="1"/>
  <c r="M50" i="25"/>
  <c r="L50" i="25"/>
  <c r="K50" i="25"/>
  <c r="J50" i="25"/>
  <c r="I50" i="25"/>
  <c r="H50" i="25"/>
  <c r="G50" i="25"/>
  <c r="D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U5" i="25"/>
  <c r="T5" i="25"/>
  <c r="S5" i="25"/>
  <c r="AG4" i="25"/>
  <c r="K4" i="25"/>
  <c r="E4" i="25"/>
  <c r="H4" i="25" s="1"/>
  <c r="B4" i="25"/>
  <c r="S246" i="25" s="1"/>
  <c r="AG2" i="25"/>
  <c r="AG6" i="25" s="1"/>
  <c r="AF54" i="24"/>
  <c r="AF50" i="24"/>
  <c r="AE50" i="24"/>
  <c r="AE54" i="24"/>
  <c r="AD110" i="24"/>
  <c r="AE110" i="24"/>
  <c r="Z113" i="24"/>
  <c r="Y113" i="24"/>
  <c r="X113" i="24"/>
  <c r="W50" i="24"/>
  <c r="X50" i="24"/>
  <c r="Y50" i="24"/>
  <c r="W54" i="24"/>
  <c r="X54" i="24"/>
  <c r="Y54" i="24"/>
  <c r="W68" i="24"/>
  <c r="X68" i="24"/>
  <c r="Y68" i="24"/>
  <c r="W72" i="24"/>
  <c r="X72" i="24"/>
  <c r="Y72" i="24"/>
  <c r="W84" i="24"/>
  <c r="W100" i="24" s="1"/>
  <c r="X84" i="24"/>
  <c r="X100" i="24" s="1"/>
  <c r="Y84" i="24"/>
  <c r="Y100" i="24" s="1"/>
  <c r="W113" i="24"/>
  <c r="W110" i="24" s="1"/>
  <c r="X110" i="24"/>
  <c r="Y110" i="24"/>
  <c r="V113" i="24"/>
  <c r="T113" i="24"/>
  <c r="S113" i="24"/>
  <c r="AC7" i="26" l="1"/>
  <c r="AE92" i="26"/>
  <c r="AA7" i="26"/>
  <c r="AU249" i="26"/>
  <c r="AB7" i="26"/>
  <c r="AT249" i="26"/>
  <c r="Z92" i="26"/>
  <c r="T7" i="26"/>
  <c r="AL249" i="26"/>
  <c r="M92" i="26"/>
  <c r="AE249" i="26"/>
  <c r="AA249" i="26"/>
  <c r="E92" i="26"/>
  <c r="C244" i="26"/>
  <c r="K6" i="26" s="1"/>
  <c r="B244" i="26"/>
  <c r="H7" i="26"/>
  <c r="X249" i="26"/>
  <c r="W249" i="26"/>
  <c r="C92" i="26"/>
  <c r="C7" i="26"/>
  <c r="AI89" i="26"/>
  <c r="V249" i="26"/>
  <c r="D7" i="26"/>
  <c r="AH89" i="26"/>
  <c r="F229" i="26"/>
  <c r="E110" i="26"/>
  <c r="E235" i="26"/>
  <c r="AH100" i="26"/>
  <c r="AI100" i="26"/>
  <c r="E270" i="26"/>
  <c r="G234" i="26"/>
  <c r="B92" i="26"/>
  <c r="AH91" i="26"/>
  <c r="B7" i="26"/>
  <c r="T249" i="26"/>
  <c r="AI91" i="26"/>
  <c r="AF89" i="25"/>
  <c r="AF91" i="25" s="1"/>
  <c r="AE89" i="25"/>
  <c r="AE91" i="25" s="1"/>
  <c r="AD5" i="25"/>
  <c r="AC89" i="25"/>
  <c r="AC91" i="25" s="1"/>
  <c r="AC5" i="25"/>
  <c r="AD89" i="25"/>
  <c r="AD91" i="25" s="1"/>
  <c r="AV249" i="25" s="1"/>
  <c r="AB5" i="25"/>
  <c r="AA5" i="25"/>
  <c r="AB89" i="25"/>
  <c r="AB91" i="25" s="1"/>
  <c r="AB7" i="25" s="1"/>
  <c r="Z5" i="25"/>
  <c r="AA89" i="25"/>
  <c r="AA91" i="25" s="1"/>
  <c r="AA92" i="25" s="1"/>
  <c r="Y5" i="25"/>
  <c r="Z89" i="25"/>
  <c r="Z91" i="25" s="1"/>
  <c r="Z7" i="25" s="1"/>
  <c r="Y89" i="25"/>
  <c r="Y91" i="25" s="1"/>
  <c r="W100" i="25"/>
  <c r="X89" i="25"/>
  <c r="X91" i="25" s="1"/>
  <c r="AP249" i="25" s="1"/>
  <c r="W89" i="25"/>
  <c r="W91" i="25" s="1"/>
  <c r="R5" i="25"/>
  <c r="S89" i="25"/>
  <c r="S91" i="25" s="1"/>
  <c r="R89" i="25"/>
  <c r="R91" i="25" s="1"/>
  <c r="R92" i="25" s="1"/>
  <c r="Q5" i="25"/>
  <c r="Q89" i="25"/>
  <c r="Q91" i="25" s="1"/>
  <c r="P89" i="25"/>
  <c r="P91" i="25" s="1"/>
  <c r="N5" i="25"/>
  <c r="O89" i="25"/>
  <c r="O91" i="25" s="1"/>
  <c r="M5" i="25"/>
  <c r="N91" i="25"/>
  <c r="M89" i="25"/>
  <c r="M91" i="25" s="1"/>
  <c r="L5" i="25"/>
  <c r="K5" i="25"/>
  <c r="L89" i="25"/>
  <c r="L91" i="25" s="1"/>
  <c r="L92" i="25" s="1"/>
  <c r="J5" i="25"/>
  <c r="I5" i="25"/>
  <c r="K89" i="25"/>
  <c r="K91" i="25" s="1"/>
  <c r="K7" i="25" s="1"/>
  <c r="H89" i="25"/>
  <c r="H91" i="25" s="1"/>
  <c r="Z249" i="25" s="1"/>
  <c r="AI54" i="25"/>
  <c r="I89" i="25"/>
  <c r="I91" i="25" s="1"/>
  <c r="I7" i="25" s="1"/>
  <c r="J89" i="25"/>
  <c r="J91" i="25" s="1"/>
  <c r="J92" i="25" s="1"/>
  <c r="F5" i="25"/>
  <c r="G89" i="25"/>
  <c r="G91" i="25" s="1"/>
  <c r="Y249" i="25" s="1"/>
  <c r="F89" i="25"/>
  <c r="F91" i="25" s="1"/>
  <c r="F92" i="25" s="1"/>
  <c r="E5" i="25"/>
  <c r="D5" i="25"/>
  <c r="E89" i="25"/>
  <c r="E91" i="25" s="1"/>
  <c r="E92" i="25" s="1"/>
  <c r="AH68" i="25"/>
  <c r="C5" i="25"/>
  <c r="D89" i="25"/>
  <c r="D91" i="25" s="1"/>
  <c r="D92" i="25" s="1"/>
  <c r="B5" i="25"/>
  <c r="C89" i="25"/>
  <c r="C91" i="25" s="1"/>
  <c r="C92" i="25" s="1"/>
  <c r="B89" i="25"/>
  <c r="B91" i="25" s="1"/>
  <c r="B92" i="25" s="1"/>
  <c r="AF5" i="25"/>
  <c r="D246" i="25"/>
  <c r="S7" i="25"/>
  <c r="S92" i="25"/>
  <c r="AK249" i="25"/>
  <c r="AA7" i="25"/>
  <c r="D270" i="25"/>
  <c r="E110" i="25"/>
  <c r="F234" i="25"/>
  <c r="R7" i="25"/>
  <c r="AJ249" i="25"/>
  <c r="M92" i="25"/>
  <c r="AE249" i="25"/>
  <c r="M7" i="25"/>
  <c r="N92" i="25"/>
  <c r="AF249" i="25"/>
  <c r="N7" i="25"/>
  <c r="AN249" i="25"/>
  <c r="V7" i="25"/>
  <c r="T7" i="25"/>
  <c r="AL249" i="25"/>
  <c r="AG249" i="25"/>
  <c r="O7" i="25"/>
  <c r="O92" i="25"/>
  <c r="AO249" i="25"/>
  <c r="W92" i="25"/>
  <c r="W7" i="25"/>
  <c r="AW249" i="25"/>
  <c r="AE92" i="25"/>
  <c r="AE7" i="25"/>
  <c r="AG91" i="25"/>
  <c r="AM249" i="25"/>
  <c r="U7" i="25"/>
  <c r="G229" i="25"/>
  <c r="F110" i="25"/>
  <c r="J232" i="25"/>
  <c r="K232" i="25" s="1"/>
  <c r="L232" i="25" s="1"/>
  <c r="M232" i="25" s="1"/>
  <c r="N232" i="25" s="1"/>
  <c r="O232" i="25" s="1"/>
  <c r="P232" i="25" s="1"/>
  <c r="AF7" i="25"/>
  <c r="AX249" i="25"/>
  <c r="AF92" i="25"/>
  <c r="AB92" i="25"/>
  <c r="AT249" i="25"/>
  <c r="D7" i="25"/>
  <c r="V249" i="25"/>
  <c r="P7" i="25"/>
  <c r="P92" i="25"/>
  <c r="AH249" i="25"/>
  <c r="AA249" i="25"/>
  <c r="Q7" i="25"/>
  <c r="AI249" i="25"/>
  <c r="Q92" i="25"/>
  <c r="Y7" i="25"/>
  <c r="Y92" i="25"/>
  <c r="AQ249" i="25"/>
  <c r="AG89" i="25"/>
  <c r="AC92" i="25"/>
  <c r="AU249" i="25"/>
  <c r="AC7" i="25"/>
  <c r="O5" i="25"/>
  <c r="X100" i="25"/>
  <c r="H5" i="25"/>
  <c r="P5" i="25"/>
  <c r="X5" i="25"/>
  <c r="AH84" i="25"/>
  <c r="C270" i="25"/>
  <c r="AH50" i="25"/>
  <c r="AH54" i="25"/>
  <c r="AI84" i="25"/>
  <c r="AI68" i="25"/>
  <c r="H100" i="25"/>
  <c r="AF100" i="25"/>
  <c r="AI50" i="25"/>
  <c r="B235" i="25"/>
  <c r="AI72" i="25"/>
  <c r="E230" i="25"/>
  <c r="Y89" i="24"/>
  <c r="Y91" i="24" s="1"/>
  <c r="Y92" i="24" s="1"/>
  <c r="X89" i="24"/>
  <c r="X91" i="24" s="1"/>
  <c r="X92" i="24" s="1"/>
  <c r="W89" i="24"/>
  <c r="W91" i="24" s="1"/>
  <c r="W92" i="24" s="1"/>
  <c r="X92" i="25" l="1"/>
  <c r="X7" i="25"/>
  <c r="AD7" i="25"/>
  <c r="AR249" i="25"/>
  <c r="AD92" i="25"/>
  <c r="Z92" i="25"/>
  <c r="A7" i="26"/>
  <c r="G229" i="26"/>
  <c r="F110" i="26"/>
  <c r="F235" i="26"/>
  <c r="AI92" i="26"/>
  <c r="AH92" i="26"/>
  <c r="F270" i="26"/>
  <c r="H234" i="26"/>
  <c r="AS249" i="25"/>
  <c r="AI100" i="25"/>
  <c r="L7" i="25"/>
  <c r="AD249" i="25"/>
  <c r="K92" i="25"/>
  <c r="AC249" i="25"/>
  <c r="J7" i="25"/>
  <c r="AB249" i="25"/>
  <c r="I92" i="25"/>
  <c r="AH100" i="25"/>
  <c r="H92" i="25"/>
  <c r="H7" i="25"/>
  <c r="B244" i="25"/>
  <c r="C7" i="25"/>
  <c r="W249" i="25"/>
  <c r="C244" i="25"/>
  <c r="G92" i="25"/>
  <c r="G7" i="25"/>
  <c r="F7" i="25"/>
  <c r="X249" i="25"/>
  <c r="AI89" i="25"/>
  <c r="E7" i="25"/>
  <c r="AH89" i="25"/>
  <c r="U249" i="25"/>
  <c r="E270" i="25"/>
  <c r="G234" i="25"/>
  <c r="B7" i="25"/>
  <c r="AI91" i="25"/>
  <c r="T249" i="25"/>
  <c r="AH91" i="25"/>
  <c r="E235" i="25"/>
  <c r="F230" i="25"/>
  <c r="H229" i="25"/>
  <c r="G110" i="25"/>
  <c r="G270" i="26" l="1"/>
  <c r="I234" i="26"/>
  <c r="H229" i="26"/>
  <c r="G235" i="26"/>
  <c r="G110" i="26"/>
  <c r="K6" i="25"/>
  <c r="A7" i="25"/>
  <c r="I229" i="25"/>
  <c r="H110" i="25"/>
  <c r="AI92" i="25"/>
  <c r="AH92" i="25"/>
  <c r="G230" i="25"/>
  <c r="F235" i="25"/>
  <c r="F270" i="25"/>
  <c r="H234" i="25"/>
  <c r="I229" i="26" l="1"/>
  <c r="H110" i="26"/>
  <c r="H235" i="26"/>
  <c r="H270" i="26"/>
  <c r="J234" i="26"/>
  <c r="G270" i="25"/>
  <c r="I234" i="25"/>
  <c r="J229" i="25"/>
  <c r="I110" i="25"/>
  <c r="H230" i="25"/>
  <c r="G235" i="25"/>
  <c r="K234" i="26" l="1"/>
  <c r="I270" i="26"/>
  <c r="I110" i="26"/>
  <c r="J229" i="26"/>
  <c r="I230" i="25"/>
  <c r="H235" i="25"/>
  <c r="K229" i="25"/>
  <c r="H270" i="25"/>
  <c r="J234" i="25"/>
  <c r="J110" i="26" l="1"/>
  <c r="K229" i="26"/>
  <c r="J270" i="26"/>
  <c r="L234" i="26"/>
  <c r="K234" i="25"/>
  <c r="I270" i="25"/>
  <c r="K110" i="25"/>
  <c r="L229" i="25"/>
  <c r="J110" i="25"/>
  <c r="J230" i="25"/>
  <c r="K270" i="26" l="1"/>
  <c r="M234" i="26"/>
  <c r="K110" i="26"/>
  <c r="L229" i="26"/>
  <c r="K230" i="25"/>
  <c r="M229" i="25"/>
  <c r="L110" i="25"/>
  <c r="J270" i="25"/>
  <c r="L234" i="25"/>
  <c r="M229" i="26" l="1"/>
  <c r="L110" i="26"/>
  <c r="L270" i="26"/>
  <c r="N234" i="26"/>
  <c r="M234" i="25"/>
  <c r="K270" i="25"/>
  <c r="M110" i="25"/>
  <c r="N229" i="25"/>
  <c r="L230" i="25"/>
  <c r="M270" i="26" l="1"/>
  <c r="O234" i="26"/>
  <c r="N229" i="26"/>
  <c r="M110" i="26"/>
  <c r="M230" i="25"/>
  <c r="O229" i="25"/>
  <c r="N110" i="25"/>
  <c r="L270" i="25"/>
  <c r="N234" i="25"/>
  <c r="O229" i="26" l="1"/>
  <c r="N270" i="26"/>
  <c r="P234" i="26"/>
  <c r="O270" i="26" s="1"/>
  <c r="M270" i="25"/>
  <c r="O234" i="25"/>
  <c r="P229" i="25"/>
  <c r="O110" i="25"/>
  <c r="N230" i="25"/>
  <c r="P229" i="26" l="1"/>
  <c r="AI110" i="25"/>
  <c r="AH110" i="25"/>
  <c r="O230" i="25"/>
  <c r="N270" i="25"/>
  <c r="P234" i="25"/>
  <c r="O270" i="25" s="1"/>
  <c r="AH110" i="26" l="1"/>
  <c r="AI110" i="26"/>
  <c r="P230" i="25"/>
  <c r="O49" i="24" l="1"/>
  <c r="N49" i="24"/>
  <c r="L113" i="24" l="1"/>
  <c r="M49" i="24"/>
  <c r="L49" i="24"/>
  <c r="K113" i="24"/>
  <c r="K49" i="24"/>
  <c r="J113" i="24"/>
  <c r="I113" i="24"/>
  <c r="J49" i="24"/>
  <c r="I49" i="24"/>
  <c r="H113" i="24"/>
  <c r="H49" i="24"/>
  <c r="G113" i="24"/>
  <c r="F113" i="24"/>
  <c r="E113" i="24"/>
  <c r="AF274" i="24" l="1"/>
  <c r="AE274" i="24"/>
  <c r="AD274" i="24"/>
  <c r="AC274" i="24"/>
  <c r="AB274" i="24"/>
  <c r="AA274" i="24"/>
  <c r="Z274" i="24"/>
  <c r="Y274" i="24"/>
  <c r="X274" i="24"/>
  <c r="W274" i="24"/>
  <c r="V274" i="24"/>
  <c r="U274" i="24"/>
  <c r="T274" i="24"/>
  <c r="S274" i="24"/>
  <c r="R274" i="24"/>
  <c r="Q274" i="24"/>
  <c r="P274" i="24"/>
  <c r="O274" i="24"/>
  <c r="N274" i="24"/>
  <c r="M274" i="24"/>
  <c r="L274" i="24"/>
  <c r="K274" i="24"/>
  <c r="J274" i="24"/>
  <c r="I274" i="24"/>
  <c r="H274" i="24"/>
  <c r="G274" i="24"/>
  <c r="F274" i="24"/>
  <c r="E274" i="24"/>
  <c r="D274" i="24"/>
  <c r="C274" i="24"/>
  <c r="B274" i="24"/>
  <c r="A274" i="24"/>
  <c r="AF273" i="24"/>
  <c r="AE273" i="24"/>
  <c r="AD273" i="24"/>
  <c r="AC273" i="24"/>
  <c r="AB273" i="24"/>
  <c r="AA273" i="24"/>
  <c r="Z273" i="24"/>
  <c r="Y273" i="24"/>
  <c r="X273" i="24"/>
  <c r="W273" i="24"/>
  <c r="V273" i="24"/>
  <c r="U273" i="24"/>
  <c r="T273" i="24"/>
  <c r="S273" i="24"/>
  <c r="R273" i="24"/>
  <c r="Q273" i="24"/>
  <c r="P273" i="24"/>
  <c r="O273" i="24"/>
  <c r="N273" i="24"/>
  <c r="M273" i="24"/>
  <c r="L273" i="24"/>
  <c r="K273" i="24"/>
  <c r="J273" i="24"/>
  <c r="I273" i="24"/>
  <c r="H273" i="24"/>
  <c r="G273" i="24"/>
  <c r="F273" i="24"/>
  <c r="E273" i="24"/>
  <c r="D273" i="24"/>
  <c r="C273" i="24"/>
  <c r="B273" i="24"/>
  <c r="A273" i="24"/>
  <c r="AF272" i="24"/>
  <c r="AE272" i="24"/>
  <c r="AD272" i="24"/>
  <c r="AC272" i="24"/>
  <c r="AB272" i="24"/>
  <c r="AA272" i="24"/>
  <c r="Z272" i="24"/>
  <c r="Y272" i="24"/>
  <c r="X272" i="24"/>
  <c r="W272" i="24"/>
  <c r="V272" i="24"/>
  <c r="U272" i="24"/>
  <c r="T272" i="24"/>
  <c r="S272" i="24"/>
  <c r="R272" i="24"/>
  <c r="Q272" i="24"/>
  <c r="P272" i="24"/>
  <c r="O272" i="24"/>
  <c r="N272" i="24"/>
  <c r="M272" i="24"/>
  <c r="L272" i="24"/>
  <c r="K272" i="24"/>
  <c r="J272" i="24"/>
  <c r="I272" i="24"/>
  <c r="H272" i="24"/>
  <c r="G272" i="24"/>
  <c r="F272" i="24"/>
  <c r="E272" i="24"/>
  <c r="D272" i="24"/>
  <c r="C272" i="24"/>
  <c r="B272" i="24"/>
  <c r="A272" i="24"/>
  <c r="AF271" i="24"/>
  <c r="AE271" i="24"/>
  <c r="AD271" i="24"/>
  <c r="AC271" i="24"/>
  <c r="AB271" i="24"/>
  <c r="AA271" i="24"/>
  <c r="Z271" i="24"/>
  <c r="Y271" i="24"/>
  <c r="X271" i="24"/>
  <c r="W271" i="24"/>
  <c r="V271" i="24"/>
  <c r="U271" i="24"/>
  <c r="T271" i="24"/>
  <c r="S271" i="24"/>
  <c r="R271" i="24"/>
  <c r="Q271" i="24"/>
  <c r="P271" i="24"/>
  <c r="O271" i="24"/>
  <c r="N271" i="24"/>
  <c r="M271" i="24"/>
  <c r="L271" i="24"/>
  <c r="K271" i="24"/>
  <c r="J271" i="24"/>
  <c r="I271" i="24"/>
  <c r="H271" i="24"/>
  <c r="G271" i="24"/>
  <c r="F271" i="24"/>
  <c r="E271" i="24"/>
  <c r="D271" i="24"/>
  <c r="C271" i="24"/>
  <c r="B271" i="24"/>
  <c r="A271" i="24"/>
  <c r="AE270" i="24"/>
  <c r="AD270" i="24"/>
  <c r="AC270" i="24"/>
  <c r="AB270" i="24"/>
  <c r="AA270" i="24"/>
  <c r="Z270" i="24"/>
  <c r="Y270" i="24"/>
  <c r="X270" i="24"/>
  <c r="W270" i="24"/>
  <c r="V270" i="24"/>
  <c r="U270" i="24"/>
  <c r="T270" i="24"/>
  <c r="S270" i="24"/>
  <c r="R270" i="24"/>
  <c r="Q270" i="24"/>
  <c r="P270" i="24"/>
  <c r="B270" i="24"/>
  <c r="S245" i="24"/>
  <c r="AG235" i="24"/>
  <c r="AF235" i="24"/>
  <c r="AE235" i="24"/>
  <c r="AD235" i="24"/>
  <c r="AC235" i="24"/>
  <c r="AB235" i="24"/>
  <c r="AA235" i="24"/>
  <c r="Z235" i="24"/>
  <c r="Y235" i="24"/>
  <c r="X235" i="24"/>
  <c r="W235" i="24"/>
  <c r="V235" i="24"/>
  <c r="U235" i="24"/>
  <c r="T235" i="24"/>
  <c r="S235" i="24"/>
  <c r="R235" i="24"/>
  <c r="Q235" i="24"/>
  <c r="C235" i="24"/>
  <c r="D234" i="24"/>
  <c r="C270" i="24" s="1"/>
  <c r="B234" i="24"/>
  <c r="AF270" i="24" s="1"/>
  <c r="D233" i="24"/>
  <c r="E233" i="24" s="1"/>
  <c r="F233" i="24" s="1"/>
  <c r="G233" i="24" s="1"/>
  <c r="H233" i="24" s="1"/>
  <c r="I233" i="24" s="1"/>
  <c r="J233" i="24" s="1"/>
  <c r="K233" i="24" s="1"/>
  <c r="L233" i="24" s="1"/>
  <c r="M233" i="24" s="1"/>
  <c r="N233" i="24" s="1"/>
  <c r="O233" i="24" s="1"/>
  <c r="P233" i="24" s="1"/>
  <c r="B233" i="24"/>
  <c r="D232" i="24"/>
  <c r="E232" i="24" s="1"/>
  <c r="F232" i="24" s="1"/>
  <c r="G232" i="24" s="1"/>
  <c r="H232" i="24" s="1"/>
  <c r="I232" i="24" s="1"/>
  <c r="B232" i="24"/>
  <c r="D231" i="24"/>
  <c r="E231" i="24" s="1"/>
  <c r="F231" i="24" s="1"/>
  <c r="G231" i="24" s="1"/>
  <c r="H231" i="24" s="1"/>
  <c r="B231" i="24"/>
  <c r="D230" i="24"/>
  <c r="E230" i="24" s="1"/>
  <c r="F230" i="24" s="1"/>
  <c r="G230" i="24" s="1"/>
  <c r="H230" i="24" s="1"/>
  <c r="I230" i="24" s="1"/>
  <c r="J230" i="24" s="1"/>
  <c r="K230" i="24" s="1"/>
  <c r="L230" i="24" s="1"/>
  <c r="M230" i="24" s="1"/>
  <c r="N230" i="24" s="1"/>
  <c r="O230" i="24" s="1"/>
  <c r="P230" i="24" s="1"/>
  <c r="B230" i="24"/>
  <c r="D229" i="24"/>
  <c r="D235" i="24" s="1"/>
  <c r="B229" i="24"/>
  <c r="B235" i="24" s="1"/>
  <c r="AG227" i="24"/>
  <c r="AF227" i="24"/>
  <c r="AE227" i="24"/>
  <c r="AD227" i="24"/>
  <c r="AC227" i="24"/>
  <c r="AB227" i="24"/>
  <c r="AA227" i="24"/>
  <c r="Z227" i="24"/>
  <c r="Y227" i="24"/>
  <c r="X227" i="24"/>
  <c r="W227" i="24"/>
  <c r="V227" i="24"/>
  <c r="U227" i="24"/>
  <c r="T227" i="24"/>
  <c r="S227" i="24"/>
  <c r="R227" i="24"/>
  <c r="Q227" i="24"/>
  <c r="P227" i="24"/>
  <c r="O227" i="24"/>
  <c r="N227" i="24"/>
  <c r="M227" i="24"/>
  <c r="L227" i="24"/>
  <c r="K227" i="24"/>
  <c r="J227" i="24"/>
  <c r="I227" i="24"/>
  <c r="H227" i="24"/>
  <c r="G227" i="24"/>
  <c r="F227" i="24"/>
  <c r="E227" i="24"/>
  <c r="D227" i="24"/>
  <c r="C227" i="24"/>
  <c r="B227" i="24"/>
  <c r="AI120" i="24"/>
  <c r="AH120" i="24"/>
  <c r="AI119" i="24"/>
  <c r="AH119" i="24"/>
  <c r="AI118" i="24"/>
  <c r="AH118" i="24"/>
  <c r="AI117" i="24"/>
  <c r="AH117" i="24"/>
  <c r="AI116" i="24"/>
  <c r="AH116" i="24"/>
  <c r="AI115" i="24"/>
  <c r="AH115" i="24"/>
  <c r="AI114" i="24"/>
  <c r="AH114" i="24"/>
  <c r="AI113" i="24"/>
  <c r="AH113" i="24"/>
  <c r="AI112" i="24"/>
  <c r="AH112" i="24"/>
  <c r="AI111" i="24"/>
  <c r="AH111" i="24"/>
  <c r="AC110" i="24"/>
  <c r="AB110" i="24"/>
  <c r="Z110" i="24"/>
  <c r="V110" i="24"/>
  <c r="U110" i="24"/>
  <c r="T110" i="24"/>
  <c r="S110" i="24"/>
  <c r="R110" i="24"/>
  <c r="Q110" i="24"/>
  <c r="D110" i="24"/>
  <c r="C110" i="24"/>
  <c r="B110" i="24"/>
  <c r="AI109" i="24"/>
  <c r="AH109" i="24"/>
  <c r="AI108" i="24"/>
  <c r="AH108" i="24"/>
  <c r="AI107" i="24"/>
  <c r="AH107" i="24"/>
  <c r="AI106" i="24"/>
  <c r="AH106" i="24"/>
  <c r="AI105" i="24"/>
  <c r="AH105" i="24"/>
  <c r="AI104" i="24"/>
  <c r="AH104" i="24"/>
  <c r="AI103" i="24"/>
  <c r="AH103" i="24"/>
  <c r="AI102" i="24"/>
  <c r="AH102" i="24"/>
  <c r="AI101" i="24"/>
  <c r="AH101" i="24"/>
  <c r="AI99" i="24"/>
  <c r="AH99" i="24"/>
  <c r="AI98" i="24"/>
  <c r="AH98" i="24"/>
  <c r="AI97" i="24"/>
  <c r="AH97" i="24"/>
  <c r="AI96" i="24"/>
  <c r="AH96" i="24"/>
  <c r="AI95" i="24"/>
  <c r="AH95" i="24"/>
  <c r="AI94" i="24"/>
  <c r="AH94" i="24"/>
  <c r="AI93" i="24"/>
  <c r="AH93" i="24"/>
  <c r="AI90" i="24"/>
  <c r="AH90" i="24"/>
  <c r="AI88" i="24"/>
  <c r="AH88" i="24"/>
  <c r="AG88" i="24"/>
  <c r="AI87" i="24"/>
  <c r="AH87" i="24"/>
  <c r="AI86" i="24"/>
  <c r="AH86" i="24"/>
  <c r="AI85" i="24"/>
  <c r="AH85" i="24"/>
  <c r="AN84" i="24"/>
  <c r="AG84" i="24"/>
  <c r="AF100" i="24"/>
  <c r="AE100" i="24"/>
  <c r="AD100" i="24"/>
  <c r="AC100" i="24"/>
  <c r="AB100" i="24"/>
  <c r="Z84" i="24"/>
  <c r="Z100" i="24" s="1"/>
  <c r="V84" i="24"/>
  <c r="V100" i="24" s="1"/>
  <c r="U84" i="24"/>
  <c r="U100" i="24" s="1"/>
  <c r="T84" i="24"/>
  <c r="T100" i="24" s="1"/>
  <c r="S84" i="24"/>
  <c r="R5" i="24" s="1"/>
  <c r="R84" i="24"/>
  <c r="R100" i="24" s="1"/>
  <c r="Q84" i="24"/>
  <c r="Q100" i="24" s="1"/>
  <c r="P84" i="24"/>
  <c r="P100" i="24" s="1"/>
  <c r="O84" i="24"/>
  <c r="O100" i="24" s="1"/>
  <c r="N84" i="24"/>
  <c r="N100" i="24" s="1"/>
  <c r="M84" i="24"/>
  <c r="M100" i="24" s="1"/>
  <c r="L84" i="24"/>
  <c r="L100" i="24" s="1"/>
  <c r="K84" i="24"/>
  <c r="K100" i="24" s="1"/>
  <c r="J84" i="24"/>
  <c r="J100" i="24" s="1"/>
  <c r="I84" i="24"/>
  <c r="H5" i="24" s="1"/>
  <c r="H84" i="24"/>
  <c r="H100" i="24" s="1"/>
  <c r="G84" i="24"/>
  <c r="G100" i="24" s="1"/>
  <c r="F84" i="24"/>
  <c r="F100" i="24" s="1"/>
  <c r="E84" i="24"/>
  <c r="E100" i="24" s="1"/>
  <c r="D84" i="24"/>
  <c r="D100" i="24" s="1"/>
  <c r="C84" i="24"/>
  <c r="C100" i="24" s="1"/>
  <c r="B84" i="24"/>
  <c r="B100" i="24" s="1"/>
  <c r="AI83" i="24"/>
  <c r="AH83" i="24"/>
  <c r="AN82" i="24"/>
  <c r="AI82" i="24"/>
  <c r="AH82" i="24"/>
  <c r="AN81" i="24"/>
  <c r="AN83" i="24" s="1"/>
  <c r="AI81" i="24"/>
  <c r="AH81" i="24"/>
  <c r="AI80" i="24"/>
  <c r="AH80" i="24"/>
  <c r="AI79" i="24"/>
  <c r="AH79" i="24"/>
  <c r="AI78" i="24"/>
  <c r="AH78" i="24"/>
  <c r="AI77" i="24"/>
  <c r="AH77" i="24"/>
  <c r="AI76" i="24"/>
  <c r="AH76" i="24"/>
  <c r="AI75" i="24"/>
  <c r="AH75" i="24"/>
  <c r="AI74" i="24"/>
  <c r="AH74" i="24"/>
  <c r="AI73" i="24"/>
  <c r="AH73" i="24"/>
  <c r="AG72" i="24"/>
  <c r="AG4" i="24" s="1"/>
  <c r="AF72" i="24"/>
  <c r="AE72" i="24"/>
  <c r="AD72" i="24"/>
  <c r="AC72" i="24"/>
  <c r="AB72" i="24"/>
  <c r="Z72" i="24"/>
  <c r="V72" i="24"/>
  <c r="U72" i="24"/>
  <c r="T72" i="24"/>
  <c r="S72" i="24"/>
  <c r="R72" i="24"/>
  <c r="Q72" i="24"/>
  <c r="P72" i="24"/>
  <c r="O72" i="24"/>
  <c r="N72" i="24"/>
  <c r="M72" i="24"/>
  <c r="L72" i="24"/>
  <c r="B72" i="24"/>
  <c r="AI71" i="24"/>
  <c r="AH71" i="24"/>
  <c r="AI70" i="24"/>
  <c r="AH70" i="24"/>
  <c r="AI69" i="24"/>
  <c r="AH69" i="24"/>
  <c r="AE68" i="24"/>
  <c r="AD68" i="24"/>
  <c r="AC68" i="24"/>
  <c r="AB68" i="24"/>
  <c r="Z68" i="24"/>
  <c r="V68" i="24"/>
  <c r="U68" i="24"/>
  <c r="T68" i="24"/>
  <c r="S68" i="24"/>
  <c r="R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68" i="24"/>
  <c r="C68" i="24"/>
  <c r="B68" i="24"/>
  <c r="AI67" i="24"/>
  <c r="AH67" i="24"/>
  <c r="AG67" i="24"/>
  <c r="AG68" i="24" s="1"/>
  <c r="AG3" i="24" s="1"/>
  <c r="AI66" i="24"/>
  <c r="AH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I56" i="24"/>
  <c r="AH56" i="24"/>
  <c r="AI55" i="24"/>
  <c r="AH55" i="24"/>
  <c r="AG54" i="24"/>
  <c r="AD54" i="24"/>
  <c r="AC54" i="24"/>
  <c r="AB54" i="24"/>
  <c r="Z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D54" i="24"/>
  <c r="C54" i="24"/>
  <c r="B54" i="24"/>
  <c r="AI53" i="24"/>
  <c r="AH53" i="24"/>
  <c r="AI52" i="24"/>
  <c r="AH52" i="24"/>
  <c r="AI51" i="24"/>
  <c r="AH51" i="24"/>
  <c r="AG50" i="24"/>
  <c r="AD50" i="24"/>
  <c r="AC50" i="24"/>
  <c r="AB50" i="24"/>
  <c r="Z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D50" i="24"/>
  <c r="C50" i="24"/>
  <c r="B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I38" i="24"/>
  <c r="AH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Z5" i="24"/>
  <c r="X5" i="24"/>
  <c r="V5" i="24"/>
  <c r="K4" i="24"/>
  <c r="E4" i="24"/>
  <c r="H4" i="24" s="1"/>
  <c r="B4" i="24"/>
  <c r="S246" i="24" s="1"/>
  <c r="AE110" i="23"/>
  <c r="AD110" i="23"/>
  <c r="AB113" i="23"/>
  <c r="AF89" i="24" l="1"/>
  <c r="AF91" i="24" s="1"/>
  <c r="AF7" i="24" s="1"/>
  <c r="AD5" i="24"/>
  <c r="AE89" i="24"/>
  <c r="AE91" i="24" s="1"/>
  <c r="AW249" i="24" s="1"/>
  <c r="AC89" i="24"/>
  <c r="AC91" i="24" s="1"/>
  <c r="AC92" i="24" s="1"/>
  <c r="AB5" i="24"/>
  <c r="AB89" i="24"/>
  <c r="AB91" i="24" s="1"/>
  <c r="AB92" i="24" s="1"/>
  <c r="Z89" i="24"/>
  <c r="Z91" i="24" s="1"/>
  <c r="Z7" i="24" s="1"/>
  <c r="T5" i="24"/>
  <c r="U89" i="24"/>
  <c r="U91" i="24" s="1"/>
  <c r="U92" i="24" s="1"/>
  <c r="T89" i="24"/>
  <c r="T91" i="24" s="1"/>
  <c r="AL249" i="24" s="1"/>
  <c r="S100" i="24"/>
  <c r="AI100" i="24" s="1"/>
  <c r="S89" i="24"/>
  <c r="S91" i="24" s="1"/>
  <c r="S7" i="24" s="1"/>
  <c r="R89" i="24"/>
  <c r="R91" i="24" s="1"/>
  <c r="AJ249" i="24" s="1"/>
  <c r="P5" i="24"/>
  <c r="Q89" i="24"/>
  <c r="Q91" i="24" s="1"/>
  <c r="Q7" i="24" s="1"/>
  <c r="O89" i="24"/>
  <c r="O91" i="24" s="1"/>
  <c r="AG249" i="24" s="1"/>
  <c r="N5" i="24"/>
  <c r="L5" i="24"/>
  <c r="AH72" i="24"/>
  <c r="M89" i="24"/>
  <c r="M91" i="24" s="1"/>
  <c r="AE249" i="24" s="1"/>
  <c r="L89" i="24"/>
  <c r="L91" i="24" s="1"/>
  <c r="AD249" i="24" s="1"/>
  <c r="P89" i="24"/>
  <c r="P91" i="24" s="1"/>
  <c r="P7" i="24" s="1"/>
  <c r="J5" i="24"/>
  <c r="K89" i="24"/>
  <c r="K91" i="24" s="1"/>
  <c r="AC249" i="24" s="1"/>
  <c r="J89" i="24"/>
  <c r="J91" i="24" s="1"/>
  <c r="J7" i="24" s="1"/>
  <c r="I100" i="24"/>
  <c r="I89" i="24"/>
  <c r="I91" i="24" s="1"/>
  <c r="I7" i="24" s="1"/>
  <c r="H89" i="24"/>
  <c r="H91" i="24" s="1"/>
  <c r="H92" i="24" s="1"/>
  <c r="F5" i="24"/>
  <c r="G89" i="24"/>
  <c r="G91" i="24" s="1"/>
  <c r="G92" i="24" s="1"/>
  <c r="AH68" i="24"/>
  <c r="D5" i="24"/>
  <c r="E89" i="24"/>
  <c r="E91" i="24" s="1"/>
  <c r="E92" i="24" s="1"/>
  <c r="AH50" i="24"/>
  <c r="D89" i="24"/>
  <c r="D91" i="24" s="1"/>
  <c r="V249" i="24" s="1"/>
  <c r="B5" i="24"/>
  <c r="AH54" i="24"/>
  <c r="C89" i="24"/>
  <c r="C91" i="24" s="1"/>
  <c r="U249" i="24" s="1"/>
  <c r="AF5" i="24"/>
  <c r="AI54" i="24"/>
  <c r="B89" i="24"/>
  <c r="B91" i="24" s="1"/>
  <c r="Y7" i="24"/>
  <c r="AQ249" i="24"/>
  <c r="AG89" i="24"/>
  <c r="X7" i="24"/>
  <c r="AP249" i="24"/>
  <c r="AA7" i="24"/>
  <c r="AS249" i="24"/>
  <c r="D92" i="24"/>
  <c r="AG91" i="24"/>
  <c r="O7" i="24"/>
  <c r="AO249" i="24"/>
  <c r="W7" i="24"/>
  <c r="J232" i="24"/>
  <c r="K232" i="24" s="1"/>
  <c r="L232" i="24" s="1"/>
  <c r="M232" i="24" s="1"/>
  <c r="N232" i="24" s="1"/>
  <c r="O232" i="24" s="1"/>
  <c r="P232" i="24" s="1"/>
  <c r="AI72" i="24"/>
  <c r="D246" i="24"/>
  <c r="G5" i="24"/>
  <c r="O5" i="24"/>
  <c r="W5" i="24"/>
  <c r="AE5" i="24"/>
  <c r="AI68" i="24"/>
  <c r="E234" i="24"/>
  <c r="F89" i="24"/>
  <c r="F91" i="24" s="1"/>
  <c r="V89" i="24"/>
  <c r="V91" i="24" s="1"/>
  <c r="AD89" i="24"/>
  <c r="AD91" i="24" s="1"/>
  <c r="AH84" i="24"/>
  <c r="N89" i="24"/>
  <c r="N91" i="24" s="1"/>
  <c r="I5" i="24"/>
  <c r="Q5" i="24"/>
  <c r="Y5" i="24"/>
  <c r="AI84" i="24"/>
  <c r="E229" i="24"/>
  <c r="AI50" i="24"/>
  <c r="AG2" i="24"/>
  <c r="AG6" i="24" s="1"/>
  <c r="C5" i="24"/>
  <c r="K5" i="24"/>
  <c r="S5" i="24"/>
  <c r="AA5" i="24"/>
  <c r="E5" i="24"/>
  <c r="M5" i="24"/>
  <c r="U5" i="24"/>
  <c r="AC5" i="24"/>
  <c r="AX249" i="24" l="1"/>
  <c r="AF92" i="24"/>
  <c r="AE7" i="24"/>
  <c r="AE92" i="24"/>
  <c r="AT249" i="24"/>
  <c r="AB7" i="24"/>
  <c r="AC7" i="24"/>
  <c r="AU249" i="24"/>
  <c r="AR249" i="24"/>
  <c r="Z92" i="24"/>
  <c r="AM249" i="24"/>
  <c r="U7" i="24"/>
  <c r="T7" i="24"/>
  <c r="T92" i="24"/>
  <c r="AH100" i="24"/>
  <c r="AK249" i="24"/>
  <c r="S92" i="24"/>
  <c r="R7" i="24"/>
  <c r="R92" i="24"/>
  <c r="AI249" i="24"/>
  <c r="Q92" i="24"/>
  <c r="P92" i="24"/>
  <c r="AH249" i="24"/>
  <c r="O92" i="24"/>
  <c r="M92" i="24"/>
  <c r="M7" i="24"/>
  <c r="L92" i="24"/>
  <c r="L7" i="24"/>
  <c r="K92" i="24"/>
  <c r="K7" i="24"/>
  <c r="AB249" i="24"/>
  <c r="J92" i="24"/>
  <c r="I92" i="24"/>
  <c r="AA249" i="24"/>
  <c r="D7" i="24"/>
  <c r="H7" i="24"/>
  <c r="Z249" i="24"/>
  <c r="G7" i="24"/>
  <c r="Y249" i="24"/>
  <c r="E7" i="24"/>
  <c r="W249" i="24"/>
  <c r="C7" i="24"/>
  <c r="C92" i="24"/>
  <c r="N7" i="24"/>
  <c r="AF249" i="24"/>
  <c r="N92" i="24"/>
  <c r="AI89" i="24"/>
  <c r="B244" i="24"/>
  <c r="F229" i="24"/>
  <c r="E110" i="24"/>
  <c r="E235" i="24"/>
  <c r="AH89" i="24"/>
  <c r="C244" i="24"/>
  <c r="D270" i="24"/>
  <c r="F234" i="24"/>
  <c r="B7" i="24"/>
  <c r="B92" i="24"/>
  <c r="AI91" i="24"/>
  <c r="T249" i="24"/>
  <c r="AH91" i="24"/>
  <c r="AV249" i="24"/>
  <c r="AD7" i="24"/>
  <c r="AD92" i="24"/>
  <c r="AN249" i="24"/>
  <c r="V7" i="24"/>
  <c r="V92" i="24"/>
  <c r="F7" i="24"/>
  <c r="X249" i="24"/>
  <c r="F92" i="24"/>
  <c r="A7" i="24" l="1"/>
  <c r="AI92" i="24"/>
  <c r="AH92" i="24"/>
  <c r="G229" i="24"/>
  <c r="F110" i="24"/>
  <c r="F235" i="24"/>
  <c r="K6" i="24"/>
  <c r="E270" i="24"/>
  <c r="G234" i="24"/>
  <c r="G110" i="24" l="1"/>
  <c r="H229" i="24"/>
  <c r="G235" i="24"/>
  <c r="F270" i="24"/>
  <c r="H234" i="24"/>
  <c r="I234" i="24" l="1"/>
  <c r="G270" i="24"/>
  <c r="I229" i="24"/>
  <c r="H110" i="24"/>
  <c r="H235" i="24"/>
  <c r="I110" i="24" l="1"/>
  <c r="J229" i="24"/>
  <c r="H270" i="24"/>
  <c r="J234" i="24"/>
  <c r="K234" i="24" l="1"/>
  <c r="I270" i="24"/>
  <c r="J110" i="24"/>
  <c r="K229" i="24"/>
  <c r="K110" i="24" l="1"/>
  <c r="L229" i="24"/>
  <c r="J270" i="24"/>
  <c r="L234" i="24"/>
  <c r="K270" i="24" l="1"/>
  <c r="M234" i="24"/>
  <c r="M229" i="24"/>
  <c r="L110" i="24"/>
  <c r="N229" i="24" l="1"/>
  <c r="M110" i="24"/>
  <c r="L270" i="24"/>
  <c r="N234" i="24"/>
  <c r="M270" i="24" l="1"/>
  <c r="O234" i="24"/>
  <c r="O229" i="24"/>
  <c r="N110" i="24"/>
  <c r="P229" i="24" l="1"/>
  <c r="O110" i="24"/>
  <c r="N270" i="24"/>
  <c r="P234" i="24"/>
  <c r="O270" i="24" s="1"/>
  <c r="AI110" i="24" l="1"/>
  <c r="AH110" i="24"/>
  <c r="Y72" i="23" l="1"/>
  <c r="X50" i="23"/>
  <c r="R50" i="23"/>
  <c r="R89" i="23" s="1"/>
  <c r="R91" i="23" s="1"/>
  <c r="R92" i="23" s="1"/>
  <c r="R54" i="23"/>
  <c r="R68" i="23"/>
  <c r="R72" i="23"/>
  <c r="R84" i="23"/>
  <c r="R100" i="23" s="1"/>
  <c r="R110" i="23"/>
  <c r="Q113" i="23"/>
  <c r="P49" i="23"/>
  <c r="N113" i="23"/>
  <c r="N49" i="23"/>
  <c r="M113" i="23" l="1"/>
  <c r="M49" i="23"/>
  <c r="L113" i="23"/>
  <c r="L49" i="23"/>
  <c r="K113" i="23"/>
  <c r="K49" i="23"/>
  <c r="J113" i="23"/>
  <c r="J49" i="23"/>
  <c r="I113" i="23"/>
  <c r="I49" i="23"/>
  <c r="H113" i="23"/>
  <c r="H49" i="23"/>
  <c r="G113" i="23"/>
  <c r="G49" i="23"/>
  <c r="F113" i="23"/>
  <c r="F49" i="23"/>
  <c r="E113" i="23"/>
  <c r="E49" i="23"/>
  <c r="D50" i="23"/>
  <c r="D54" i="23"/>
  <c r="D68" i="23"/>
  <c r="D84" i="23"/>
  <c r="C5" i="23" s="1"/>
  <c r="B110" i="23"/>
  <c r="B84" i="23"/>
  <c r="B100" i="23" s="1"/>
  <c r="B72" i="23"/>
  <c r="B68" i="23"/>
  <c r="B54" i="23"/>
  <c r="B50" i="23"/>
  <c r="AF274" i="23"/>
  <c r="AE274" i="23"/>
  <c r="AD274" i="23"/>
  <c r="AC274" i="23"/>
  <c r="AB274" i="23"/>
  <c r="AA274" i="23"/>
  <c r="Z274" i="23"/>
  <c r="Y274" i="23"/>
  <c r="X274" i="23"/>
  <c r="W274" i="23"/>
  <c r="V274" i="23"/>
  <c r="U274" i="23"/>
  <c r="T274" i="23"/>
  <c r="S274" i="23"/>
  <c r="R274" i="23"/>
  <c r="Q274" i="23"/>
  <c r="P274" i="23"/>
  <c r="O274" i="23"/>
  <c r="N274" i="23"/>
  <c r="M274" i="23"/>
  <c r="L274" i="23"/>
  <c r="K274" i="23"/>
  <c r="J274" i="23"/>
  <c r="I274" i="23"/>
  <c r="H274" i="23"/>
  <c r="G274" i="23"/>
  <c r="F274" i="23"/>
  <c r="E274" i="23"/>
  <c r="D274" i="23"/>
  <c r="C274" i="23"/>
  <c r="B274" i="23"/>
  <c r="A274" i="23"/>
  <c r="AF273" i="23"/>
  <c r="AE273" i="23"/>
  <c r="AD273" i="23"/>
  <c r="AC273" i="23"/>
  <c r="AB273" i="23"/>
  <c r="AA273" i="23"/>
  <c r="Z273" i="23"/>
  <c r="Y273" i="23"/>
  <c r="X273" i="23"/>
  <c r="W273" i="23"/>
  <c r="V273" i="23"/>
  <c r="U273" i="23"/>
  <c r="T273" i="23"/>
  <c r="S273" i="23"/>
  <c r="R273" i="23"/>
  <c r="Q273" i="23"/>
  <c r="P273" i="23"/>
  <c r="O273" i="23"/>
  <c r="N273" i="23"/>
  <c r="M273" i="23"/>
  <c r="L273" i="23"/>
  <c r="K273" i="23"/>
  <c r="J273" i="23"/>
  <c r="I273" i="23"/>
  <c r="H273" i="23"/>
  <c r="G273" i="23"/>
  <c r="F273" i="23"/>
  <c r="E273" i="23"/>
  <c r="D273" i="23"/>
  <c r="C273" i="23"/>
  <c r="B273" i="23"/>
  <c r="A273" i="23"/>
  <c r="AF272" i="23"/>
  <c r="AE272" i="23"/>
  <c r="AD272" i="23"/>
  <c r="AC272" i="23"/>
  <c r="AB272" i="23"/>
  <c r="AA272" i="23"/>
  <c r="Z272" i="23"/>
  <c r="Y272" i="23"/>
  <c r="X272" i="23"/>
  <c r="W272" i="23"/>
  <c r="V272" i="23"/>
  <c r="U272" i="23"/>
  <c r="T272" i="23"/>
  <c r="S272" i="23"/>
  <c r="R272" i="23"/>
  <c r="Q272" i="23"/>
  <c r="P272" i="23"/>
  <c r="O272" i="23"/>
  <c r="N272" i="23"/>
  <c r="M272" i="23"/>
  <c r="L272" i="23"/>
  <c r="K272" i="23"/>
  <c r="J272" i="23"/>
  <c r="I272" i="23"/>
  <c r="H272" i="23"/>
  <c r="G272" i="23"/>
  <c r="F272" i="23"/>
  <c r="E272" i="23"/>
  <c r="D272" i="23"/>
  <c r="C272" i="23"/>
  <c r="B272" i="23"/>
  <c r="A272" i="23"/>
  <c r="AF271" i="23"/>
  <c r="AE271" i="23"/>
  <c r="AD271" i="23"/>
  <c r="AC271" i="23"/>
  <c r="AB271" i="23"/>
  <c r="AA271" i="23"/>
  <c r="Z271" i="23"/>
  <c r="Y271" i="23"/>
  <c r="X271" i="23"/>
  <c r="W271" i="23"/>
  <c r="V271" i="23"/>
  <c r="U271" i="23"/>
  <c r="T271" i="23"/>
  <c r="S271" i="23"/>
  <c r="R271" i="23"/>
  <c r="Q271" i="23"/>
  <c r="P271" i="23"/>
  <c r="O271" i="23"/>
  <c r="N271" i="23"/>
  <c r="M271" i="23"/>
  <c r="L271" i="23"/>
  <c r="K271" i="23"/>
  <c r="J271" i="23"/>
  <c r="I271" i="23"/>
  <c r="H271" i="23"/>
  <c r="G271" i="23"/>
  <c r="F271" i="23"/>
  <c r="E271" i="23"/>
  <c r="D271" i="23"/>
  <c r="C271" i="23"/>
  <c r="B271" i="23"/>
  <c r="A271" i="23"/>
  <c r="AE270" i="23"/>
  <c r="AD270" i="23"/>
  <c r="AC270" i="23"/>
  <c r="AB270" i="23"/>
  <c r="AA270" i="23"/>
  <c r="Z270" i="23"/>
  <c r="Y270" i="23"/>
  <c r="X270" i="23"/>
  <c r="W270" i="23"/>
  <c r="V270" i="23"/>
  <c r="U270" i="23"/>
  <c r="T270" i="23"/>
  <c r="S270" i="23"/>
  <c r="R270" i="23"/>
  <c r="Q270" i="23"/>
  <c r="P270" i="23"/>
  <c r="C270" i="23"/>
  <c r="B270" i="23"/>
  <c r="S245" i="23"/>
  <c r="AG235" i="23"/>
  <c r="AF235" i="23"/>
  <c r="AE235" i="23"/>
  <c r="AD235" i="23"/>
  <c r="AC235" i="23"/>
  <c r="AB235" i="23"/>
  <c r="AA235" i="23"/>
  <c r="Z235" i="23"/>
  <c r="Y235" i="23"/>
  <c r="X235" i="23"/>
  <c r="W235" i="23"/>
  <c r="V235" i="23"/>
  <c r="U235" i="23"/>
  <c r="T235" i="23"/>
  <c r="S235" i="23"/>
  <c r="R235" i="23"/>
  <c r="Q235" i="23"/>
  <c r="C235" i="23"/>
  <c r="D234" i="23"/>
  <c r="E234" i="23" s="1"/>
  <c r="D270" i="23" s="1"/>
  <c r="B234" i="23"/>
  <c r="AF270" i="23" s="1"/>
  <c r="D233" i="23"/>
  <c r="E233" i="23" s="1"/>
  <c r="F233" i="23" s="1"/>
  <c r="G233" i="23" s="1"/>
  <c r="H233" i="23" s="1"/>
  <c r="I233" i="23" s="1"/>
  <c r="J233" i="23" s="1"/>
  <c r="K233" i="23" s="1"/>
  <c r="L233" i="23" s="1"/>
  <c r="M233" i="23" s="1"/>
  <c r="N233" i="23" s="1"/>
  <c r="O233" i="23" s="1"/>
  <c r="P233" i="23" s="1"/>
  <c r="B233" i="23"/>
  <c r="D232" i="23"/>
  <c r="E232" i="23" s="1"/>
  <c r="F232" i="23" s="1"/>
  <c r="G232" i="23" s="1"/>
  <c r="H232" i="23" s="1"/>
  <c r="I232" i="23" s="1"/>
  <c r="B232" i="23"/>
  <c r="E231" i="23"/>
  <c r="F231" i="23" s="1"/>
  <c r="G231" i="23" s="1"/>
  <c r="H231" i="23" s="1"/>
  <c r="D231" i="23"/>
  <c r="B231" i="23"/>
  <c r="E230" i="23"/>
  <c r="F230" i="23" s="1"/>
  <c r="G230" i="23" s="1"/>
  <c r="H230" i="23" s="1"/>
  <c r="I230" i="23" s="1"/>
  <c r="J230" i="23" s="1"/>
  <c r="K230" i="23" s="1"/>
  <c r="L230" i="23" s="1"/>
  <c r="M230" i="23" s="1"/>
  <c r="N230" i="23" s="1"/>
  <c r="O230" i="23" s="1"/>
  <c r="P230" i="23" s="1"/>
  <c r="D230" i="23"/>
  <c r="B230" i="23"/>
  <c r="D229" i="23"/>
  <c r="B229" i="23"/>
  <c r="AG227" i="23"/>
  <c r="AF227" i="23"/>
  <c r="AE227" i="23"/>
  <c r="AD227" i="23"/>
  <c r="AC227" i="23"/>
  <c r="AB227" i="23"/>
  <c r="AA227" i="23"/>
  <c r="Z227" i="23"/>
  <c r="Y227" i="23"/>
  <c r="X227" i="23"/>
  <c r="W227" i="23"/>
  <c r="V227" i="23"/>
  <c r="U227" i="23"/>
  <c r="T227" i="23"/>
  <c r="S227" i="23"/>
  <c r="R227" i="23"/>
  <c r="Q227" i="23"/>
  <c r="P227" i="23"/>
  <c r="O227" i="23"/>
  <c r="N227" i="23"/>
  <c r="M227" i="23"/>
  <c r="L227" i="23"/>
  <c r="K227" i="23"/>
  <c r="J227" i="23"/>
  <c r="I227" i="23"/>
  <c r="H227" i="23"/>
  <c r="G227" i="23"/>
  <c r="F227" i="23"/>
  <c r="E227" i="23"/>
  <c r="D227" i="23"/>
  <c r="C227" i="23"/>
  <c r="B227" i="23"/>
  <c r="AI120" i="23"/>
  <c r="AH120" i="23"/>
  <c r="AI119" i="23"/>
  <c r="AH119" i="23"/>
  <c r="AI118" i="23"/>
  <c r="AH118" i="23"/>
  <c r="AI117" i="23"/>
  <c r="AH117" i="23"/>
  <c r="AI116" i="23"/>
  <c r="AH116" i="23"/>
  <c r="AI115" i="23"/>
  <c r="AH115" i="23"/>
  <c r="AI114" i="23"/>
  <c r="AH114" i="23"/>
  <c r="AI113" i="23"/>
  <c r="AI112" i="23"/>
  <c r="AH112" i="23"/>
  <c r="AI111" i="23"/>
  <c r="AH111" i="23"/>
  <c r="AF110" i="23"/>
  <c r="AC110" i="23"/>
  <c r="AB110" i="23"/>
  <c r="AA110" i="23"/>
  <c r="Z110" i="23"/>
  <c r="Y110" i="23"/>
  <c r="X110" i="23"/>
  <c r="W110" i="23"/>
  <c r="V110" i="23"/>
  <c r="U110" i="23"/>
  <c r="T110" i="23"/>
  <c r="S110" i="23"/>
  <c r="Q110" i="23"/>
  <c r="C110" i="23"/>
  <c r="AI109" i="23"/>
  <c r="AH109" i="23"/>
  <c r="AI108" i="23"/>
  <c r="AH108" i="23"/>
  <c r="AI107" i="23"/>
  <c r="AH107" i="23"/>
  <c r="AI106" i="23"/>
  <c r="AH106" i="23"/>
  <c r="AI105" i="23"/>
  <c r="AH105" i="23"/>
  <c r="AI104" i="23"/>
  <c r="AH104" i="23"/>
  <c r="AI103" i="23"/>
  <c r="AH103" i="23"/>
  <c r="AI102" i="23"/>
  <c r="AH102" i="23"/>
  <c r="AI101" i="23"/>
  <c r="AH101" i="23"/>
  <c r="AI99" i="23"/>
  <c r="AH99" i="23"/>
  <c r="AI98" i="23"/>
  <c r="AH98" i="23"/>
  <c r="AI97" i="23"/>
  <c r="AH97" i="23"/>
  <c r="AI96" i="23"/>
  <c r="AH96" i="23"/>
  <c r="AI95" i="23"/>
  <c r="AH95" i="23"/>
  <c r="AI94" i="23"/>
  <c r="AH94" i="23"/>
  <c r="AI93" i="23"/>
  <c r="AH93" i="23"/>
  <c r="AI90" i="23"/>
  <c r="AH90" i="23"/>
  <c r="AI88" i="23"/>
  <c r="AH88" i="23"/>
  <c r="AG88" i="23"/>
  <c r="AI87" i="23"/>
  <c r="AH87" i="23"/>
  <c r="AI86" i="23"/>
  <c r="AH86" i="23"/>
  <c r="AI85" i="23"/>
  <c r="AH85" i="23"/>
  <c r="AN84" i="23"/>
  <c r="AG84" i="23"/>
  <c r="AF84" i="23"/>
  <c r="AF100" i="23" s="1"/>
  <c r="AE84" i="23"/>
  <c r="AE100" i="23" s="1"/>
  <c r="AD84" i="23"/>
  <c r="AD100" i="23" s="1"/>
  <c r="AC84" i="23"/>
  <c r="AC100" i="23" s="1"/>
  <c r="AB84" i="23"/>
  <c r="AB100" i="23" s="1"/>
  <c r="AA84" i="23"/>
  <c r="AA100" i="23" s="1"/>
  <c r="Z84" i="23"/>
  <c r="Z100" i="23" s="1"/>
  <c r="Y84" i="23"/>
  <c r="X5" i="23" s="1"/>
  <c r="X84" i="23"/>
  <c r="X100" i="23" s="1"/>
  <c r="W84" i="23"/>
  <c r="W100" i="23" s="1"/>
  <c r="V84" i="23"/>
  <c r="V100" i="23" s="1"/>
  <c r="U84" i="23"/>
  <c r="U100" i="23" s="1"/>
  <c r="T84" i="23"/>
  <c r="T100" i="23" s="1"/>
  <c r="S84" i="23"/>
  <c r="S100" i="23" s="1"/>
  <c r="Q84" i="23"/>
  <c r="P5" i="23" s="1"/>
  <c r="P84" i="23"/>
  <c r="P100" i="23" s="1"/>
  <c r="O84" i="23"/>
  <c r="O100" i="23" s="1"/>
  <c r="N84" i="23"/>
  <c r="N100" i="23" s="1"/>
  <c r="M84" i="23"/>
  <c r="M100" i="23" s="1"/>
  <c r="L84" i="23"/>
  <c r="L100" i="23" s="1"/>
  <c r="K84" i="23"/>
  <c r="J5" i="23" s="1"/>
  <c r="J84" i="23"/>
  <c r="J100" i="23" s="1"/>
  <c r="I84" i="23"/>
  <c r="H5" i="23" s="1"/>
  <c r="H84" i="23"/>
  <c r="H100" i="23" s="1"/>
  <c r="G84" i="23"/>
  <c r="G100" i="23" s="1"/>
  <c r="F84" i="23"/>
  <c r="F100" i="23" s="1"/>
  <c r="E84" i="23"/>
  <c r="E100" i="23" s="1"/>
  <c r="C84" i="23"/>
  <c r="B5" i="23" s="1"/>
  <c r="AI83" i="23"/>
  <c r="AH83" i="23"/>
  <c r="AN82" i="23"/>
  <c r="AI82" i="23"/>
  <c r="AH82" i="23"/>
  <c r="AN81" i="23"/>
  <c r="AN83" i="23" s="1"/>
  <c r="AI81" i="23"/>
  <c r="AH81" i="23"/>
  <c r="AI80" i="23"/>
  <c r="AH80" i="23"/>
  <c r="AI79" i="23"/>
  <c r="AH79" i="23"/>
  <c r="AI78" i="23"/>
  <c r="AH78" i="23"/>
  <c r="AI77" i="23"/>
  <c r="AH77" i="23"/>
  <c r="AI76" i="23"/>
  <c r="AH76" i="23"/>
  <c r="AI75" i="23"/>
  <c r="AH75" i="23"/>
  <c r="AI74" i="23"/>
  <c r="AH74" i="23"/>
  <c r="AI73" i="23"/>
  <c r="AH73" i="23"/>
  <c r="AG72" i="23"/>
  <c r="AG4" i="23" s="1"/>
  <c r="AF72" i="23"/>
  <c r="AE72" i="23"/>
  <c r="AD72" i="23"/>
  <c r="AC72" i="23"/>
  <c r="AB72" i="23"/>
  <c r="AA72" i="23"/>
  <c r="Z72" i="23"/>
  <c r="X72" i="23"/>
  <c r="W72" i="23"/>
  <c r="V72" i="23"/>
  <c r="U72" i="23"/>
  <c r="T72" i="23"/>
  <c r="S72" i="23"/>
  <c r="Q72" i="23"/>
  <c r="P72" i="23"/>
  <c r="O72" i="23"/>
  <c r="N72" i="23"/>
  <c r="M72" i="23"/>
  <c r="L72" i="23"/>
  <c r="AI71" i="23"/>
  <c r="AH71" i="23"/>
  <c r="AI70" i="23"/>
  <c r="AH70" i="23"/>
  <c r="AI69" i="23"/>
  <c r="AH69" i="23"/>
  <c r="AF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C68" i="23"/>
  <c r="AI67" i="23"/>
  <c r="AH67" i="23"/>
  <c r="AG67" i="23"/>
  <c r="AG68" i="23" s="1"/>
  <c r="AG3" i="23" s="1"/>
  <c r="AI66" i="23"/>
  <c r="AH66" i="23"/>
  <c r="AI65" i="23"/>
  <c r="AH65" i="23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I56" i="23"/>
  <c r="AH56" i="23"/>
  <c r="AI55" i="23"/>
  <c r="AH55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C54" i="23"/>
  <c r="AI53" i="23"/>
  <c r="AH53" i="23"/>
  <c r="AI52" i="23"/>
  <c r="AH52" i="23"/>
  <c r="AI51" i="23"/>
  <c r="AH51" i="23"/>
  <c r="AG50" i="23"/>
  <c r="AF50" i="23"/>
  <c r="AE50" i="23"/>
  <c r="AD50" i="23"/>
  <c r="AC50" i="23"/>
  <c r="AB50" i="23"/>
  <c r="AA50" i="23"/>
  <c r="Z50" i="23"/>
  <c r="Y50" i="23"/>
  <c r="W50" i="23"/>
  <c r="V50" i="23"/>
  <c r="U50" i="23"/>
  <c r="T50" i="23"/>
  <c r="S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C50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F5" i="23"/>
  <c r="K4" i="23"/>
  <c r="E4" i="23"/>
  <c r="H4" i="23" s="1"/>
  <c r="B4" i="23"/>
  <c r="D246" i="23" s="1"/>
  <c r="AF50" i="22"/>
  <c r="AF54" i="22"/>
  <c r="AC110" i="22"/>
  <c r="AD110" i="22"/>
  <c r="AD113" i="22"/>
  <c r="AC113" i="22"/>
  <c r="AC5" i="23" l="1"/>
  <c r="AB5" i="23"/>
  <c r="AA5" i="23"/>
  <c r="AB89" i="23"/>
  <c r="AB91" i="23" s="1"/>
  <c r="AB92" i="23" s="1"/>
  <c r="Z5" i="23"/>
  <c r="AD5" i="23"/>
  <c r="AE5" i="23"/>
  <c r="D235" i="23"/>
  <c r="D110" i="23"/>
  <c r="AE89" i="23"/>
  <c r="AE91" i="23" s="1"/>
  <c r="AW249" i="23" s="1"/>
  <c r="O89" i="23"/>
  <c r="O91" i="23" s="1"/>
  <c r="O7" i="23" s="1"/>
  <c r="AF89" i="23"/>
  <c r="AF91" i="23" s="1"/>
  <c r="AF92" i="23" s="1"/>
  <c r="G89" i="23"/>
  <c r="G91" i="23" s="1"/>
  <c r="Y249" i="23" s="1"/>
  <c r="Y89" i="23"/>
  <c r="Y91" i="23" s="1"/>
  <c r="AQ249" i="23" s="1"/>
  <c r="AG89" i="23"/>
  <c r="N5" i="23"/>
  <c r="Z89" i="23"/>
  <c r="Z91" i="23" s="1"/>
  <c r="Z92" i="23" s="1"/>
  <c r="AA89" i="23"/>
  <c r="AA91" i="23" s="1"/>
  <c r="AA7" i="23" s="1"/>
  <c r="W5" i="23"/>
  <c r="AH72" i="23"/>
  <c r="X89" i="23"/>
  <c r="X91" i="23" s="1"/>
  <c r="X92" i="23" s="1"/>
  <c r="W89" i="23"/>
  <c r="W91" i="23" s="1"/>
  <c r="AO249" i="23" s="1"/>
  <c r="V5" i="23"/>
  <c r="U5" i="23"/>
  <c r="T5" i="23"/>
  <c r="R5" i="23"/>
  <c r="T89" i="23"/>
  <c r="T91" i="23" s="1"/>
  <c r="T92" i="23" s="1"/>
  <c r="S5" i="23"/>
  <c r="S89" i="23"/>
  <c r="S91" i="23" s="1"/>
  <c r="S7" i="23" s="1"/>
  <c r="Q89" i="23"/>
  <c r="Q91" i="23" s="1"/>
  <c r="Q7" i="23" s="1"/>
  <c r="U89" i="23"/>
  <c r="U91" i="23" s="1"/>
  <c r="U92" i="23" s="1"/>
  <c r="V89" i="23"/>
  <c r="V91" i="23" s="1"/>
  <c r="V92" i="23" s="1"/>
  <c r="AC89" i="23"/>
  <c r="AC91" i="23" s="1"/>
  <c r="AC92" i="23" s="1"/>
  <c r="AD89" i="23"/>
  <c r="AD91" i="23" s="1"/>
  <c r="AD7" i="23" s="1"/>
  <c r="O5" i="23"/>
  <c r="P89" i="23"/>
  <c r="P91" i="23" s="1"/>
  <c r="P7" i="23" s="1"/>
  <c r="N89" i="23"/>
  <c r="N91" i="23" s="1"/>
  <c r="AF249" i="23" s="1"/>
  <c r="M5" i="23"/>
  <c r="L5" i="23"/>
  <c r="M89" i="23"/>
  <c r="M91" i="23" s="1"/>
  <c r="M7" i="23" s="1"/>
  <c r="L89" i="23"/>
  <c r="L91" i="23" s="1"/>
  <c r="L92" i="23" s="1"/>
  <c r="K5" i="23"/>
  <c r="K100" i="23"/>
  <c r="K89" i="23"/>
  <c r="K91" i="23" s="1"/>
  <c r="AC249" i="23" s="1"/>
  <c r="AI49" i="23"/>
  <c r="J89" i="23"/>
  <c r="J91" i="23" s="1"/>
  <c r="J7" i="23" s="1"/>
  <c r="AH113" i="23"/>
  <c r="I89" i="23"/>
  <c r="I91" i="23" s="1"/>
  <c r="I92" i="23" s="1"/>
  <c r="AH49" i="23"/>
  <c r="G5" i="23"/>
  <c r="H89" i="23"/>
  <c r="H91" i="23" s="1"/>
  <c r="Z249" i="23" s="1"/>
  <c r="E5" i="23"/>
  <c r="F5" i="23"/>
  <c r="AH54" i="23"/>
  <c r="F89" i="23"/>
  <c r="F91" i="23" s="1"/>
  <c r="F7" i="23" s="1"/>
  <c r="D5" i="23"/>
  <c r="AI54" i="23"/>
  <c r="E89" i="23"/>
  <c r="E91" i="23" s="1"/>
  <c r="E92" i="23" s="1"/>
  <c r="D100" i="23"/>
  <c r="D89" i="23"/>
  <c r="D91" i="23" s="1"/>
  <c r="D92" i="23" s="1"/>
  <c r="C100" i="23"/>
  <c r="AH68" i="23"/>
  <c r="C89" i="23"/>
  <c r="C91" i="23" s="1"/>
  <c r="C92" i="23" s="1"/>
  <c r="B89" i="23"/>
  <c r="B91" i="23" s="1"/>
  <c r="B92" i="23" s="1"/>
  <c r="AI68" i="23"/>
  <c r="S246" i="23"/>
  <c r="AG249" i="23"/>
  <c r="O92" i="23"/>
  <c r="AG91" i="23"/>
  <c r="H92" i="23"/>
  <c r="AF7" i="23"/>
  <c r="AX249" i="23"/>
  <c r="J232" i="23"/>
  <c r="K232" i="23" s="1"/>
  <c r="L232" i="23" s="1"/>
  <c r="M232" i="23" s="1"/>
  <c r="N232" i="23" s="1"/>
  <c r="O232" i="23" s="1"/>
  <c r="P232" i="23" s="1"/>
  <c r="AJ249" i="23"/>
  <c r="R7" i="23"/>
  <c r="AH84" i="23"/>
  <c r="Q100" i="23"/>
  <c r="Y100" i="23"/>
  <c r="AI72" i="23"/>
  <c r="F234" i="23"/>
  <c r="I5" i="23"/>
  <c r="Q5" i="23"/>
  <c r="Y5" i="23"/>
  <c r="AH50" i="23"/>
  <c r="AI84" i="23"/>
  <c r="E229" i="23"/>
  <c r="AI50" i="23"/>
  <c r="AG2" i="23"/>
  <c r="AG6" i="23" s="1"/>
  <c r="B235" i="23"/>
  <c r="I100" i="23"/>
  <c r="AB7" i="23" l="1"/>
  <c r="AT249" i="23"/>
  <c r="AA92" i="23"/>
  <c r="Z7" i="23"/>
  <c r="AR249" i="23"/>
  <c r="AS249" i="23"/>
  <c r="G92" i="23"/>
  <c r="AE92" i="23"/>
  <c r="AE7" i="23"/>
  <c r="Y92" i="23"/>
  <c r="Y7" i="23"/>
  <c r="G7" i="23"/>
  <c r="AK249" i="23"/>
  <c r="D7" i="23"/>
  <c r="S92" i="23"/>
  <c r="W7" i="23"/>
  <c r="W92" i="23"/>
  <c r="AV249" i="23"/>
  <c r="I7" i="23"/>
  <c r="L7" i="23"/>
  <c r="AA249" i="23"/>
  <c r="AU249" i="23"/>
  <c r="AD249" i="23"/>
  <c r="AC7" i="23"/>
  <c r="AD92" i="23"/>
  <c r="X7" i="23"/>
  <c r="AP249" i="23"/>
  <c r="AN249" i="23"/>
  <c r="V7" i="23"/>
  <c r="AM249" i="23"/>
  <c r="U7" i="23"/>
  <c r="T7" i="23"/>
  <c r="AL249" i="23"/>
  <c r="Q92" i="23"/>
  <c r="AI249" i="23"/>
  <c r="AI100" i="23"/>
  <c r="P92" i="23"/>
  <c r="AH249" i="23"/>
  <c r="N7" i="23"/>
  <c r="N92" i="23"/>
  <c r="M92" i="23"/>
  <c r="AE249" i="23"/>
  <c r="K92" i="23"/>
  <c r="K7" i="23"/>
  <c r="AB249" i="23"/>
  <c r="J92" i="23"/>
  <c r="B244" i="23"/>
  <c r="C244" i="23"/>
  <c r="H7" i="23"/>
  <c r="F92" i="23"/>
  <c r="X249" i="23"/>
  <c r="W249" i="23"/>
  <c r="E7" i="23"/>
  <c r="AI89" i="23"/>
  <c r="AH100" i="23"/>
  <c r="V249" i="23"/>
  <c r="U249" i="23"/>
  <c r="C7" i="23"/>
  <c r="AH89" i="23"/>
  <c r="B7" i="23"/>
  <c r="AI91" i="23"/>
  <c r="AH91" i="23"/>
  <c r="T249" i="23"/>
  <c r="E270" i="23"/>
  <c r="G234" i="23"/>
  <c r="E110" i="23"/>
  <c r="F229" i="23"/>
  <c r="E235" i="23"/>
  <c r="K6" i="23" l="1"/>
  <c r="A7" i="23"/>
  <c r="F235" i="23"/>
  <c r="G229" i="23"/>
  <c r="F110" i="23"/>
  <c r="AI92" i="23"/>
  <c r="AH92" i="23"/>
  <c r="F270" i="23"/>
  <c r="H234" i="23"/>
  <c r="G235" i="23" l="1"/>
  <c r="H229" i="23"/>
  <c r="G110" i="23"/>
  <c r="G270" i="23"/>
  <c r="I234" i="23"/>
  <c r="H270" i="23" l="1"/>
  <c r="J234" i="23"/>
  <c r="I229" i="23"/>
  <c r="H110" i="23"/>
  <c r="H235" i="23"/>
  <c r="I110" i="23" l="1"/>
  <c r="J229" i="23"/>
  <c r="K234" i="23"/>
  <c r="I270" i="23"/>
  <c r="K229" i="23" l="1"/>
  <c r="J110" i="23"/>
  <c r="J270" i="23"/>
  <c r="L234" i="23"/>
  <c r="K270" i="23" l="1"/>
  <c r="M234" i="23"/>
  <c r="K110" i="23"/>
  <c r="L229" i="23"/>
  <c r="M229" i="23" l="1"/>
  <c r="L110" i="23"/>
  <c r="L270" i="23"/>
  <c r="N234" i="23"/>
  <c r="M270" i="23" l="1"/>
  <c r="O234" i="23"/>
  <c r="N229" i="23"/>
  <c r="M110" i="23"/>
  <c r="N110" i="23" l="1"/>
  <c r="O229" i="23"/>
  <c r="N270" i="23"/>
  <c r="P234" i="23"/>
  <c r="O270" i="23" s="1"/>
  <c r="P229" i="23" l="1"/>
  <c r="O110" i="23"/>
  <c r="AI110" i="23" l="1"/>
  <c r="AH110" i="23"/>
  <c r="AB113" i="22" l="1"/>
  <c r="V50" i="22"/>
  <c r="U50" i="22"/>
  <c r="U54" i="22"/>
  <c r="U68" i="22"/>
  <c r="U72" i="22"/>
  <c r="U84" i="22"/>
  <c r="U100" i="22" s="1"/>
  <c r="U110" i="22"/>
  <c r="T50" i="22"/>
  <c r="T54" i="22"/>
  <c r="T68" i="22"/>
  <c r="T72" i="22"/>
  <c r="T84" i="22"/>
  <c r="T100" i="22" s="1"/>
  <c r="T110" i="22"/>
  <c r="U89" i="22" l="1"/>
  <c r="U91" i="22" s="1"/>
  <c r="U92" i="22" s="1"/>
  <c r="T89" i="22"/>
  <c r="T91" i="22" s="1"/>
  <c r="T92" i="22" s="1"/>
  <c r="L113" i="22" l="1"/>
  <c r="K113" i="22"/>
  <c r="J113" i="22"/>
  <c r="G50" i="22"/>
  <c r="H50" i="22"/>
  <c r="I50" i="22"/>
  <c r="G54" i="22"/>
  <c r="H54" i="22"/>
  <c r="I54" i="22"/>
  <c r="G68" i="22"/>
  <c r="G89" i="22" s="1"/>
  <c r="G91" i="22" s="1"/>
  <c r="G92" i="22" s="1"/>
  <c r="H68" i="22"/>
  <c r="I68" i="22"/>
  <c r="G84" i="22"/>
  <c r="H84" i="22"/>
  <c r="G5" i="22" s="1"/>
  <c r="I84" i="22"/>
  <c r="I100" i="22" s="1"/>
  <c r="G100" i="22"/>
  <c r="H110" i="22"/>
  <c r="G113" i="22"/>
  <c r="G110" i="22" s="1"/>
  <c r="H113" i="22"/>
  <c r="I113" i="22"/>
  <c r="I110" i="22" s="1"/>
  <c r="F113" i="22"/>
  <c r="AI113" i="22" s="1"/>
  <c r="E113" i="22"/>
  <c r="AF274" i="22"/>
  <c r="AE274" i="22"/>
  <c r="AD274" i="22"/>
  <c r="AC274" i="22"/>
  <c r="AB274" i="22"/>
  <c r="AA274" i="22"/>
  <c r="Z274" i="22"/>
  <c r="Y274" i="22"/>
  <c r="X274" i="22"/>
  <c r="W274" i="22"/>
  <c r="V274" i="22"/>
  <c r="U274" i="22"/>
  <c r="T274" i="22"/>
  <c r="S274" i="22"/>
  <c r="R274" i="22"/>
  <c r="Q274" i="22"/>
  <c r="P274" i="22"/>
  <c r="O274" i="22"/>
  <c r="N274" i="22"/>
  <c r="M274" i="22"/>
  <c r="L274" i="22"/>
  <c r="K274" i="22"/>
  <c r="J274" i="22"/>
  <c r="I274" i="22"/>
  <c r="H274" i="22"/>
  <c r="G274" i="22"/>
  <c r="F274" i="22"/>
  <c r="E274" i="22"/>
  <c r="D274" i="22"/>
  <c r="C274" i="22"/>
  <c r="B274" i="22"/>
  <c r="A274" i="22"/>
  <c r="AF273" i="22"/>
  <c r="AE273" i="22"/>
  <c r="AD273" i="22"/>
  <c r="AC273" i="22"/>
  <c r="AB273" i="22"/>
  <c r="AA273" i="22"/>
  <c r="Z273" i="22"/>
  <c r="Y273" i="22"/>
  <c r="X273" i="22"/>
  <c r="W273" i="22"/>
  <c r="V273" i="22"/>
  <c r="U273" i="22"/>
  <c r="T273" i="22"/>
  <c r="S273" i="22"/>
  <c r="R273" i="22"/>
  <c r="Q273" i="22"/>
  <c r="P273" i="22"/>
  <c r="O273" i="22"/>
  <c r="N273" i="22"/>
  <c r="M273" i="22"/>
  <c r="L273" i="22"/>
  <c r="K273" i="22"/>
  <c r="J273" i="22"/>
  <c r="I273" i="22"/>
  <c r="H273" i="22"/>
  <c r="G273" i="22"/>
  <c r="F273" i="22"/>
  <c r="E273" i="22"/>
  <c r="D273" i="22"/>
  <c r="C273" i="22"/>
  <c r="B273" i="22"/>
  <c r="A273" i="22"/>
  <c r="AF272" i="22"/>
  <c r="AE272" i="22"/>
  <c r="AD272" i="22"/>
  <c r="AC272" i="22"/>
  <c r="AB272" i="22"/>
  <c r="AA272" i="22"/>
  <c r="Z272" i="22"/>
  <c r="Y272" i="22"/>
  <c r="X272" i="22"/>
  <c r="W272" i="22"/>
  <c r="V272" i="22"/>
  <c r="U272" i="22"/>
  <c r="T272" i="22"/>
  <c r="S272" i="22"/>
  <c r="R272" i="22"/>
  <c r="Q272" i="22"/>
  <c r="P272" i="22"/>
  <c r="O272" i="22"/>
  <c r="N272" i="22"/>
  <c r="M272" i="22"/>
  <c r="L272" i="22"/>
  <c r="K272" i="22"/>
  <c r="J272" i="22"/>
  <c r="I272" i="22"/>
  <c r="H272" i="22"/>
  <c r="G272" i="22"/>
  <c r="F272" i="22"/>
  <c r="E272" i="22"/>
  <c r="D272" i="22"/>
  <c r="C272" i="22"/>
  <c r="B272" i="22"/>
  <c r="A272" i="22"/>
  <c r="AF271" i="22"/>
  <c r="AE271" i="22"/>
  <c r="AD271" i="22"/>
  <c r="AC271" i="22"/>
  <c r="AB271" i="22"/>
  <c r="AA271" i="22"/>
  <c r="Z271" i="22"/>
  <c r="Y271" i="22"/>
  <c r="X271" i="22"/>
  <c r="W271" i="22"/>
  <c r="V271" i="22"/>
  <c r="U271" i="22"/>
  <c r="T271" i="22"/>
  <c r="S271" i="22"/>
  <c r="R271" i="22"/>
  <c r="Q271" i="22"/>
  <c r="P271" i="22"/>
  <c r="O271" i="22"/>
  <c r="N271" i="22"/>
  <c r="M271" i="22"/>
  <c r="L271" i="22"/>
  <c r="K271" i="22"/>
  <c r="J271" i="22"/>
  <c r="I271" i="22"/>
  <c r="H271" i="22"/>
  <c r="G271" i="22"/>
  <c r="F271" i="22"/>
  <c r="E271" i="22"/>
  <c r="D271" i="22"/>
  <c r="C271" i="22"/>
  <c r="B271" i="22"/>
  <c r="A271" i="22"/>
  <c r="AE270" i="22"/>
  <c r="AD270" i="22"/>
  <c r="AC270" i="22"/>
  <c r="AB270" i="22"/>
  <c r="AA270" i="22"/>
  <c r="Z270" i="22"/>
  <c r="Y270" i="22"/>
  <c r="X270" i="22"/>
  <c r="W270" i="22"/>
  <c r="V270" i="22"/>
  <c r="U270" i="22"/>
  <c r="T270" i="22"/>
  <c r="S270" i="22"/>
  <c r="R270" i="22"/>
  <c r="Q270" i="22"/>
  <c r="P270" i="22"/>
  <c r="C270" i="22"/>
  <c r="B270" i="22"/>
  <c r="S245" i="22"/>
  <c r="AG235" i="22"/>
  <c r="AF235" i="22"/>
  <c r="AE235" i="22"/>
  <c r="AD235" i="22"/>
  <c r="AC235" i="22"/>
  <c r="AB235" i="22"/>
  <c r="AA235" i="22"/>
  <c r="Z235" i="22"/>
  <c r="Y235" i="22"/>
  <c r="X235" i="22"/>
  <c r="W235" i="22"/>
  <c r="V235" i="22"/>
  <c r="U235" i="22"/>
  <c r="T235" i="22"/>
  <c r="S235" i="22"/>
  <c r="R235" i="22"/>
  <c r="Q235" i="22"/>
  <c r="C235" i="22"/>
  <c r="E234" i="22"/>
  <c r="F234" i="22" s="1"/>
  <c r="D234" i="22"/>
  <c r="B234" i="22"/>
  <c r="AF270" i="22" s="1"/>
  <c r="D233" i="22"/>
  <c r="E233" i="22" s="1"/>
  <c r="F233" i="22" s="1"/>
  <c r="G233" i="22" s="1"/>
  <c r="H233" i="22" s="1"/>
  <c r="I233" i="22" s="1"/>
  <c r="J233" i="22" s="1"/>
  <c r="K233" i="22" s="1"/>
  <c r="L233" i="22" s="1"/>
  <c r="M233" i="22" s="1"/>
  <c r="N233" i="22" s="1"/>
  <c r="O233" i="22" s="1"/>
  <c r="P233" i="22" s="1"/>
  <c r="B233" i="22"/>
  <c r="E232" i="22"/>
  <c r="F232" i="22" s="1"/>
  <c r="G232" i="22" s="1"/>
  <c r="H232" i="22" s="1"/>
  <c r="I232" i="22" s="1"/>
  <c r="D232" i="22"/>
  <c r="B232" i="22"/>
  <c r="E231" i="22"/>
  <c r="F231" i="22" s="1"/>
  <c r="G231" i="22" s="1"/>
  <c r="H231" i="22" s="1"/>
  <c r="D231" i="22"/>
  <c r="B231" i="22"/>
  <c r="E230" i="22"/>
  <c r="F230" i="22" s="1"/>
  <c r="G230" i="22" s="1"/>
  <c r="H230" i="22" s="1"/>
  <c r="I230" i="22" s="1"/>
  <c r="J230" i="22" s="1"/>
  <c r="K230" i="22" s="1"/>
  <c r="L230" i="22" s="1"/>
  <c r="M230" i="22" s="1"/>
  <c r="N230" i="22" s="1"/>
  <c r="O230" i="22" s="1"/>
  <c r="P230" i="22" s="1"/>
  <c r="D230" i="22"/>
  <c r="B230" i="22"/>
  <c r="D229" i="22"/>
  <c r="D235" i="22" s="1"/>
  <c r="B229" i="22"/>
  <c r="AG227" i="22"/>
  <c r="AF227" i="22"/>
  <c r="AE227" i="22"/>
  <c r="AD227" i="22"/>
  <c r="AC227" i="22"/>
  <c r="AB227" i="22"/>
  <c r="AA227" i="22"/>
  <c r="Z227" i="22"/>
  <c r="Y227" i="22"/>
  <c r="X227" i="22"/>
  <c r="W227" i="22"/>
  <c r="V227" i="22"/>
  <c r="U227" i="22"/>
  <c r="T227" i="22"/>
  <c r="S227" i="22"/>
  <c r="R227" i="22"/>
  <c r="Q227" i="22"/>
  <c r="P227" i="22"/>
  <c r="O227" i="22"/>
  <c r="N227" i="22"/>
  <c r="M227" i="22"/>
  <c r="L227" i="22"/>
  <c r="K227" i="22"/>
  <c r="J227" i="22"/>
  <c r="I227" i="22"/>
  <c r="H227" i="22"/>
  <c r="G227" i="22"/>
  <c r="F227" i="22"/>
  <c r="E227" i="22"/>
  <c r="D227" i="22"/>
  <c r="C227" i="22"/>
  <c r="B227" i="22"/>
  <c r="AI120" i="22"/>
  <c r="AH120" i="22"/>
  <c r="AI119" i="22"/>
  <c r="AH119" i="22"/>
  <c r="AI118" i="22"/>
  <c r="AH118" i="22"/>
  <c r="AI117" i="22"/>
  <c r="AH117" i="22"/>
  <c r="AI116" i="22"/>
  <c r="AH116" i="22"/>
  <c r="AI115" i="22"/>
  <c r="AH115" i="22"/>
  <c r="AI114" i="22"/>
  <c r="AH114" i="22"/>
  <c r="AI112" i="22"/>
  <c r="AH112" i="22"/>
  <c r="AI111" i="22"/>
  <c r="AH111" i="22"/>
  <c r="AF110" i="22"/>
  <c r="AE110" i="22"/>
  <c r="AB110" i="22"/>
  <c r="AA110" i="22"/>
  <c r="Z110" i="22"/>
  <c r="Y110" i="22"/>
  <c r="X110" i="22"/>
  <c r="W110" i="22"/>
  <c r="V110" i="22"/>
  <c r="S110" i="22"/>
  <c r="R110" i="22"/>
  <c r="Q110" i="22"/>
  <c r="C110" i="22"/>
  <c r="AI109" i="22"/>
  <c r="AH109" i="22"/>
  <c r="AI108" i="22"/>
  <c r="AH108" i="22"/>
  <c r="AI107" i="22"/>
  <c r="AH107" i="22"/>
  <c r="AI106" i="22"/>
  <c r="AH106" i="22"/>
  <c r="AI105" i="22"/>
  <c r="AH105" i="22"/>
  <c r="AI104" i="22"/>
  <c r="AH104" i="22"/>
  <c r="AI103" i="22"/>
  <c r="AH103" i="22"/>
  <c r="AI102" i="22"/>
  <c r="AH102" i="22"/>
  <c r="AI101" i="22"/>
  <c r="AH101" i="22"/>
  <c r="AI99" i="22"/>
  <c r="AH99" i="22"/>
  <c r="AI98" i="22"/>
  <c r="AH98" i="22"/>
  <c r="AI97" i="22"/>
  <c r="AH97" i="22"/>
  <c r="AI96" i="22"/>
  <c r="AH96" i="22"/>
  <c r="AI95" i="22"/>
  <c r="AH95" i="22"/>
  <c r="AI94" i="22"/>
  <c r="AH94" i="22"/>
  <c r="AI93" i="22"/>
  <c r="AH93" i="22"/>
  <c r="AI90" i="22"/>
  <c r="AH90" i="22"/>
  <c r="AI88" i="22"/>
  <c r="AH88" i="22"/>
  <c r="AG88" i="22"/>
  <c r="AI87" i="22"/>
  <c r="AH87" i="22"/>
  <c r="AI86" i="22"/>
  <c r="AH86" i="22"/>
  <c r="AI85" i="22"/>
  <c r="AH85" i="22"/>
  <c r="AN84" i="22"/>
  <c r="AG84" i="22"/>
  <c r="AF84" i="22"/>
  <c r="AF89" i="22" s="1"/>
  <c r="AF91" i="22" s="1"/>
  <c r="AE84" i="22"/>
  <c r="AE100" i="22" s="1"/>
  <c r="AD84" i="22"/>
  <c r="AD100" i="22" s="1"/>
  <c r="AC84" i="22"/>
  <c r="AC100" i="22" s="1"/>
  <c r="AB84" i="22"/>
  <c r="AB100" i="22" s="1"/>
  <c r="AA84" i="22"/>
  <c r="AA100" i="22" s="1"/>
  <c r="Z84" i="22"/>
  <c r="Y5" i="22" s="1"/>
  <c r="Y84" i="22"/>
  <c r="Y100" i="22" s="1"/>
  <c r="X84" i="22"/>
  <c r="W5" i="22" s="1"/>
  <c r="W84" i="22"/>
  <c r="W100" i="22" s="1"/>
  <c r="V84" i="22"/>
  <c r="V100" i="22" s="1"/>
  <c r="S84" i="22"/>
  <c r="S100" i="22" s="1"/>
  <c r="R84" i="22"/>
  <c r="Q5" i="22" s="1"/>
  <c r="Q84" i="22"/>
  <c r="Q100" i="22" s="1"/>
  <c r="P84" i="22"/>
  <c r="P100" i="22" s="1"/>
  <c r="O84" i="22"/>
  <c r="O100" i="22" s="1"/>
  <c r="N84" i="22"/>
  <c r="N100" i="22" s="1"/>
  <c r="M84" i="22"/>
  <c r="M100" i="22" s="1"/>
  <c r="L84" i="22"/>
  <c r="L100" i="22" s="1"/>
  <c r="K84" i="22"/>
  <c r="K100" i="22" s="1"/>
  <c r="J84" i="22"/>
  <c r="I5" i="22" s="1"/>
  <c r="F84" i="22"/>
  <c r="F100" i="22" s="1"/>
  <c r="E84" i="22"/>
  <c r="E100" i="22" s="1"/>
  <c r="D84" i="22"/>
  <c r="D100" i="22" s="1"/>
  <c r="C84" i="22"/>
  <c r="C100" i="22" s="1"/>
  <c r="AN83" i="22"/>
  <c r="AI83" i="22"/>
  <c r="AH83" i="22"/>
  <c r="AN82" i="22"/>
  <c r="AI82" i="22"/>
  <c r="AH82" i="22"/>
  <c r="AN81" i="22"/>
  <c r="AI81" i="22"/>
  <c r="AH81" i="22"/>
  <c r="AI80" i="22"/>
  <c r="AH80" i="22"/>
  <c r="AI79" i="22"/>
  <c r="AH79" i="22"/>
  <c r="AI78" i="22"/>
  <c r="AH78" i="22"/>
  <c r="AI77" i="22"/>
  <c r="AH77" i="22"/>
  <c r="AI76" i="22"/>
  <c r="AH76" i="22"/>
  <c r="AI75" i="22"/>
  <c r="AH75" i="22"/>
  <c r="AI74" i="22"/>
  <c r="AH74" i="22"/>
  <c r="AI73" i="22"/>
  <c r="AH73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S72" i="22"/>
  <c r="R72" i="22"/>
  <c r="Q72" i="22"/>
  <c r="P72" i="22"/>
  <c r="O72" i="22"/>
  <c r="N72" i="22"/>
  <c r="M72" i="22"/>
  <c r="L72" i="22"/>
  <c r="AH72" i="22"/>
  <c r="AI71" i="22"/>
  <c r="AH71" i="22"/>
  <c r="AI70" i="22"/>
  <c r="AH70" i="22"/>
  <c r="AI69" i="22"/>
  <c r="AH69" i="22"/>
  <c r="AF68" i="22"/>
  <c r="AE68" i="22"/>
  <c r="AD68" i="22"/>
  <c r="AC68" i="22"/>
  <c r="AB68" i="22"/>
  <c r="AA68" i="22"/>
  <c r="Z68" i="22"/>
  <c r="Y68" i="22"/>
  <c r="X68" i="22"/>
  <c r="W68" i="22"/>
  <c r="V68" i="22"/>
  <c r="S68" i="22"/>
  <c r="R68" i="22"/>
  <c r="Q68" i="22"/>
  <c r="P68" i="22"/>
  <c r="O68" i="22"/>
  <c r="N68" i="22"/>
  <c r="M68" i="22"/>
  <c r="L68" i="22"/>
  <c r="K68" i="22"/>
  <c r="J68" i="22"/>
  <c r="F68" i="22"/>
  <c r="E68" i="22"/>
  <c r="D68" i="22"/>
  <c r="C68" i="22"/>
  <c r="AI67" i="22"/>
  <c r="AH67" i="22"/>
  <c r="AG67" i="22"/>
  <c r="AG68" i="22" s="1"/>
  <c r="AG3" i="22" s="1"/>
  <c r="AI66" i="22"/>
  <c r="AH66" i="22"/>
  <c r="AI65" i="22"/>
  <c r="AH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I56" i="22"/>
  <c r="AH56" i="22"/>
  <c r="AI55" i="22"/>
  <c r="AH55" i="22"/>
  <c r="AG54" i="22"/>
  <c r="AE54" i="22"/>
  <c r="AD54" i="22"/>
  <c r="AC54" i="22"/>
  <c r="AB54" i="22"/>
  <c r="AA54" i="22"/>
  <c r="Z54" i="22"/>
  <c r="Y54" i="22"/>
  <c r="X54" i="22"/>
  <c r="W54" i="22"/>
  <c r="V54" i="22"/>
  <c r="S54" i="22"/>
  <c r="R54" i="22"/>
  <c r="Q54" i="22"/>
  <c r="P54" i="22"/>
  <c r="O54" i="22"/>
  <c r="N54" i="22"/>
  <c r="M54" i="22"/>
  <c r="L54" i="22"/>
  <c r="K54" i="22"/>
  <c r="J54" i="22"/>
  <c r="F54" i="22"/>
  <c r="E54" i="22"/>
  <c r="D54" i="22"/>
  <c r="C54" i="22"/>
  <c r="AI53" i="22"/>
  <c r="AH53" i="22"/>
  <c r="AI52" i="22"/>
  <c r="AH52" i="22"/>
  <c r="AI51" i="22"/>
  <c r="AH51" i="22"/>
  <c r="AG50" i="22"/>
  <c r="AE50" i="22"/>
  <c r="AD50" i="22"/>
  <c r="AC50" i="22"/>
  <c r="AB50" i="22"/>
  <c r="AA50" i="22"/>
  <c r="Z50" i="22"/>
  <c r="Y50" i="22"/>
  <c r="X50" i="22"/>
  <c r="W50" i="22"/>
  <c r="S50" i="22"/>
  <c r="R50" i="22"/>
  <c r="Q50" i="22"/>
  <c r="P50" i="22"/>
  <c r="O50" i="22"/>
  <c r="N50" i="22"/>
  <c r="M50" i="22"/>
  <c r="L50" i="22"/>
  <c r="K50" i="22"/>
  <c r="J50" i="22"/>
  <c r="F50" i="22"/>
  <c r="E50" i="22"/>
  <c r="D50" i="22"/>
  <c r="C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F5" i="22"/>
  <c r="T5" i="22"/>
  <c r="S5" i="22"/>
  <c r="F5" i="22"/>
  <c r="E5" i="22"/>
  <c r="AG4" i="22"/>
  <c r="K4" i="22"/>
  <c r="E4" i="22"/>
  <c r="H4" i="22" s="1"/>
  <c r="B4" i="22"/>
  <c r="D246" i="22" s="1"/>
  <c r="AC50" i="21"/>
  <c r="AE5" i="22" l="1"/>
  <c r="AF100" i="22"/>
  <c r="AD5" i="22"/>
  <c r="AE89" i="22"/>
  <c r="AE91" i="22" s="1"/>
  <c r="AW249" i="22" s="1"/>
  <c r="AC5" i="22"/>
  <c r="AD89" i="22"/>
  <c r="AD91" i="22" s="1"/>
  <c r="AD7" i="22" s="1"/>
  <c r="AB5" i="22"/>
  <c r="AC89" i="22"/>
  <c r="AC91" i="22" s="1"/>
  <c r="AC7" i="22" s="1"/>
  <c r="AA5" i="22"/>
  <c r="AB89" i="22"/>
  <c r="AB91" i="22" s="1"/>
  <c r="AB7" i="22" s="1"/>
  <c r="AA89" i="22"/>
  <c r="AA91" i="22" s="1"/>
  <c r="Z5" i="22"/>
  <c r="Z89" i="22"/>
  <c r="Z91" i="22" s="1"/>
  <c r="Y89" i="22"/>
  <c r="Y91" i="22" s="1"/>
  <c r="X89" i="22"/>
  <c r="X91" i="22" s="1"/>
  <c r="X100" i="22"/>
  <c r="W89" i="22"/>
  <c r="W91" i="22" s="1"/>
  <c r="V5" i="22"/>
  <c r="U5" i="22"/>
  <c r="V89" i="22"/>
  <c r="V91" i="22" s="1"/>
  <c r="V7" i="22" s="1"/>
  <c r="S89" i="22"/>
  <c r="S91" i="22" s="1"/>
  <c r="AK249" i="22" s="1"/>
  <c r="R5" i="22"/>
  <c r="R89" i="22"/>
  <c r="R91" i="22" s="1"/>
  <c r="R7" i="22" s="1"/>
  <c r="Q89" i="22"/>
  <c r="Q91" i="22" s="1"/>
  <c r="AI249" i="22" s="1"/>
  <c r="O5" i="22"/>
  <c r="P89" i="22"/>
  <c r="P91" i="22" s="1"/>
  <c r="P7" i="22" s="1"/>
  <c r="N5" i="22"/>
  <c r="O89" i="22"/>
  <c r="O91" i="22" s="1"/>
  <c r="AG249" i="22" s="1"/>
  <c r="M5" i="22"/>
  <c r="N89" i="22"/>
  <c r="N91" i="22" s="1"/>
  <c r="AF249" i="22" s="1"/>
  <c r="L5" i="22"/>
  <c r="M89" i="22"/>
  <c r="M91" i="22" s="1"/>
  <c r="M92" i="22" s="1"/>
  <c r="L89" i="22"/>
  <c r="L91" i="22" s="1"/>
  <c r="L92" i="22" s="1"/>
  <c r="J5" i="22"/>
  <c r="K5" i="22"/>
  <c r="K89" i="22"/>
  <c r="K91" i="22" s="1"/>
  <c r="K7" i="22" s="1"/>
  <c r="J89" i="22"/>
  <c r="J91" i="22" s="1"/>
  <c r="J92" i="22" s="1"/>
  <c r="H5" i="22"/>
  <c r="I89" i="22"/>
  <c r="I91" i="22" s="1"/>
  <c r="I92" i="22" s="1"/>
  <c r="H100" i="22"/>
  <c r="H89" i="22"/>
  <c r="H91" i="22" s="1"/>
  <c r="H92" i="22" s="1"/>
  <c r="F110" i="22"/>
  <c r="AH113" i="22"/>
  <c r="D5" i="22"/>
  <c r="E89" i="22"/>
  <c r="E91" i="22" s="1"/>
  <c r="E7" i="22" s="1"/>
  <c r="F89" i="22"/>
  <c r="F91" i="22" s="1"/>
  <c r="F7" i="22" s="1"/>
  <c r="AI54" i="22"/>
  <c r="C5" i="22"/>
  <c r="AI68" i="22"/>
  <c r="D89" i="22"/>
  <c r="D91" i="22" s="1"/>
  <c r="V249" i="22" s="1"/>
  <c r="B5" i="22"/>
  <c r="AH84" i="22"/>
  <c r="C89" i="22"/>
  <c r="C91" i="22" s="1"/>
  <c r="C7" i="22" s="1"/>
  <c r="AH68" i="22"/>
  <c r="S246" i="22"/>
  <c r="AA7" i="22"/>
  <c r="AA92" i="22"/>
  <c r="AS249" i="22"/>
  <c r="AD249" i="22"/>
  <c r="L7" i="22"/>
  <c r="X7" i="22"/>
  <c r="X92" i="22"/>
  <c r="AP249" i="22"/>
  <c r="Z7" i="22"/>
  <c r="Z92" i="22"/>
  <c r="AR249" i="22"/>
  <c r="E270" i="22"/>
  <c r="G234" i="22"/>
  <c r="AM249" i="22"/>
  <c r="U7" i="22"/>
  <c r="J232" i="22"/>
  <c r="K232" i="22" s="1"/>
  <c r="L232" i="22" s="1"/>
  <c r="M232" i="22" s="1"/>
  <c r="N232" i="22" s="1"/>
  <c r="O232" i="22" s="1"/>
  <c r="P232" i="22" s="1"/>
  <c r="Y249" i="22"/>
  <c r="G7" i="22"/>
  <c r="AO249" i="22"/>
  <c r="W92" i="22"/>
  <c r="W7" i="22"/>
  <c r="AG91" i="22"/>
  <c r="C92" i="22"/>
  <c r="U249" i="22"/>
  <c r="AF92" i="22"/>
  <c r="AF7" i="22"/>
  <c r="AX249" i="22"/>
  <c r="AL249" i="22"/>
  <c r="T7" i="22"/>
  <c r="I7" i="22"/>
  <c r="AA249" i="22"/>
  <c r="Q7" i="22"/>
  <c r="AQ249" i="22"/>
  <c r="Y7" i="22"/>
  <c r="Y92" i="22"/>
  <c r="AG89" i="22"/>
  <c r="AV249" i="22"/>
  <c r="AD92" i="22"/>
  <c r="AI72" i="22"/>
  <c r="D110" i="22"/>
  <c r="AH50" i="22"/>
  <c r="AH54" i="22"/>
  <c r="AI84" i="22"/>
  <c r="J100" i="22"/>
  <c r="R100" i="22"/>
  <c r="Z100" i="22"/>
  <c r="E229" i="22"/>
  <c r="D270" i="22"/>
  <c r="P5" i="22"/>
  <c r="X5" i="22"/>
  <c r="AI50" i="22"/>
  <c r="AG2" i="22"/>
  <c r="AG6" i="22" s="1"/>
  <c r="B235" i="22"/>
  <c r="U50" i="21"/>
  <c r="U54" i="21"/>
  <c r="U68" i="21"/>
  <c r="U72" i="21"/>
  <c r="U84" i="21"/>
  <c r="U100" i="21" s="1"/>
  <c r="U110" i="21"/>
  <c r="S50" i="21"/>
  <c r="S54" i="21"/>
  <c r="S68" i="21"/>
  <c r="S72" i="21"/>
  <c r="S84" i="21"/>
  <c r="S100" i="21" s="1"/>
  <c r="S110" i="21"/>
  <c r="R50" i="21"/>
  <c r="R54" i="21"/>
  <c r="R68" i="21"/>
  <c r="R72" i="21"/>
  <c r="R84" i="21"/>
  <c r="R100" i="21" s="1"/>
  <c r="R110" i="21"/>
  <c r="AE92" i="22" l="1"/>
  <c r="AE7" i="22"/>
  <c r="AC92" i="22"/>
  <c r="AU249" i="22"/>
  <c r="AB92" i="22"/>
  <c r="AT249" i="22"/>
  <c r="AN249" i="22"/>
  <c r="V92" i="22"/>
  <c r="S7" i="22"/>
  <c r="S92" i="22"/>
  <c r="Q92" i="22"/>
  <c r="AJ249" i="22"/>
  <c r="R92" i="22"/>
  <c r="N7" i="22"/>
  <c r="N92" i="22"/>
  <c r="AE249" i="22"/>
  <c r="M7" i="22"/>
  <c r="AH249" i="22"/>
  <c r="P92" i="22"/>
  <c r="O7" i="22"/>
  <c r="O92" i="22"/>
  <c r="AC249" i="22"/>
  <c r="K92" i="22"/>
  <c r="AB249" i="22"/>
  <c r="J7" i="22"/>
  <c r="B244" i="22"/>
  <c r="C244" i="22"/>
  <c r="K6" i="22" s="1"/>
  <c r="H7" i="22"/>
  <c r="Z249" i="22"/>
  <c r="X249" i="22"/>
  <c r="F92" i="22"/>
  <c r="W249" i="22"/>
  <c r="E92" i="22"/>
  <c r="AI89" i="22"/>
  <c r="D7" i="22"/>
  <c r="D92" i="22"/>
  <c r="AH89" i="22"/>
  <c r="AH100" i="22"/>
  <c r="AI100" i="22"/>
  <c r="F270" i="22"/>
  <c r="H234" i="22"/>
  <c r="B7" i="22"/>
  <c r="AH91" i="22"/>
  <c r="T249" i="22"/>
  <c r="AI91" i="22"/>
  <c r="F229" i="22"/>
  <c r="E235" i="22"/>
  <c r="E110" i="22"/>
  <c r="U89" i="21"/>
  <c r="U91" i="21" s="1"/>
  <c r="U92" i="21" s="1"/>
  <c r="S89" i="21"/>
  <c r="S91" i="21" s="1"/>
  <c r="S92" i="21" s="1"/>
  <c r="R89" i="21"/>
  <c r="R91" i="21" s="1"/>
  <c r="R92" i="21" s="1"/>
  <c r="A7" i="22" l="1"/>
  <c r="G270" i="22"/>
  <c r="I234" i="22"/>
  <c r="AI92" i="22"/>
  <c r="AH92" i="22"/>
  <c r="G229" i="22"/>
  <c r="F235" i="22"/>
  <c r="H50" i="21"/>
  <c r="H54" i="21"/>
  <c r="H68" i="21"/>
  <c r="H84" i="21"/>
  <c r="H100" i="21"/>
  <c r="H229" i="22" l="1"/>
  <c r="G235" i="22"/>
  <c r="H270" i="22"/>
  <c r="J234" i="22"/>
  <c r="H89" i="21"/>
  <c r="H91" i="21" s="1"/>
  <c r="H92" i="21" s="1"/>
  <c r="I229" i="22" l="1"/>
  <c r="H235" i="22"/>
  <c r="K234" i="22"/>
  <c r="I270" i="22"/>
  <c r="F50" i="21"/>
  <c r="E50" i="21"/>
  <c r="E54" i="21"/>
  <c r="D50" i="21"/>
  <c r="C50" i="21"/>
  <c r="C5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B270" i="21"/>
  <c r="S24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C235" i="21"/>
  <c r="D234" i="21"/>
  <c r="E234" i="21" s="1"/>
  <c r="B234" i="21"/>
  <c r="AF270" i="21" s="1"/>
  <c r="D233" i="21"/>
  <c r="E233" i="21" s="1"/>
  <c r="F233" i="21" s="1"/>
  <c r="G233" i="21" s="1"/>
  <c r="H233" i="21" s="1"/>
  <c r="I233" i="21" s="1"/>
  <c r="J233" i="21" s="1"/>
  <c r="K233" i="21" s="1"/>
  <c r="L233" i="21" s="1"/>
  <c r="M233" i="21" s="1"/>
  <c r="N233" i="21" s="1"/>
  <c r="O233" i="21" s="1"/>
  <c r="P233" i="21" s="1"/>
  <c r="B233" i="21"/>
  <c r="D232" i="21"/>
  <c r="E232" i="21" s="1"/>
  <c r="F232" i="21" s="1"/>
  <c r="G232" i="21" s="1"/>
  <c r="H232" i="21" s="1"/>
  <c r="I232" i="21" s="1"/>
  <c r="B232" i="21"/>
  <c r="D231" i="21"/>
  <c r="E231" i="21" s="1"/>
  <c r="F231" i="21" s="1"/>
  <c r="G231" i="21" s="1"/>
  <c r="H231" i="21" s="1"/>
  <c r="B231" i="21"/>
  <c r="D230" i="21"/>
  <c r="B230" i="21"/>
  <c r="D229" i="21"/>
  <c r="D110" i="21" s="1"/>
  <c r="B229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I120" i="21"/>
  <c r="AH120" i="21"/>
  <c r="AI119" i="21"/>
  <c r="AH119" i="21"/>
  <c r="AI118" i="21"/>
  <c r="AH118" i="21"/>
  <c r="AI117" i="21"/>
  <c r="AH117" i="21"/>
  <c r="AI116" i="21"/>
  <c r="AH116" i="21"/>
  <c r="AI115" i="21"/>
  <c r="AH115" i="21"/>
  <c r="AI114" i="21"/>
  <c r="AH114" i="21"/>
  <c r="AI113" i="21"/>
  <c r="AH113" i="21"/>
  <c r="AI112" i="21"/>
  <c r="AH112" i="21"/>
  <c r="AI111" i="21"/>
  <c r="AH111" i="21"/>
  <c r="AF110" i="21"/>
  <c r="AE110" i="21"/>
  <c r="AC110" i="21"/>
  <c r="AB110" i="21"/>
  <c r="AA110" i="21"/>
  <c r="Z110" i="21"/>
  <c r="Y110" i="21"/>
  <c r="X110" i="21"/>
  <c r="W110" i="21"/>
  <c r="V110" i="21"/>
  <c r="T110" i="21"/>
  <c r="Q110" i="21"/>
  <c r="C110" i="21"/>
  <c r="AI109" i="21"/>
  <c r="AH109" i="21"/>
  <c r="AI108" i="21"/>
  <c r="AH108" i="21"/>
  <c r="AI107" i="21"/>
  <c r="AH107" i="21"/>
  <c r="AI106" i="21"/>
  <c r="AH106" i="21"/>
  <c r="AI105" i="21"/>
  <c r="AH105" i="21"/>
  <c r="AI104" i="21"/>
  <c r="AH104" i="21"/>
  <c r="AI103" i="21"/>
  <c r="AH103" i="21"/>
  <c r="AI102" i="21"/>
  <c r="AH102" i="21"/>
  <c r="AI101" i="21"/>
  <c r="AH101" i="21"/>
  <c r="AI99" i="21"/>
  <c r="AH99" i="21"/>
  <c r="AI98" i="21"/>
  <c r="AH98" i="21"/>
  <c r="AI97" i="21"/>
  <c r="AH97" i="21"/>
  <c r="AI96" i="21"/>
  <c r="AH96" i="21"/>
  <c r="AI95" i="21"/>
  <c r="AH95" i="21"/>
  <c r="AI94" i="21"/>
  <c r="AH94" i="21"/>
  <c r="AI93" i="21"/>
  <c r="AH93" i="21"/>
  <c r="AI90" i="21"/>
  <c r="AH90" i="21"/>
  <c r="AI88" i="21"/>
  <c r="AH88" i="21"/>
  <c r="AG88" i="21"/>
  <c r="AI87" i="21"/>
  <c r="AH87" i="21"/>
  <c r="AI86" i="21"/>
  <c r="AH86" i="21"/>
  <c r="AI85" i="21"/>
  <c r="AH85" i="21"/>
  <c r="AN84" i="21"/>
  <c r="AG84" i="21"/>
  <c r="AF84" i="21"/>
  <c r="AF100" i="21" s="1"/>
  <c r="AE84" i="21"/>
  <c r="AD5" i="21" s="1"/>
  <c r="AD84" i="21"/>
  <c r="AD100" i="21" s="1"/>
  <c r="AC84" i="21"/>
  <c r="AC100" i="21" s="1"/>
  <c r="AB84" i="21"/>
  <c r="AB100" i="21" s="1"/>
  <c r="AA84" i="21"/>
  <c r="AA100" i="21" s="1"/>
  <c r="Z84" i="21"/>
  <c r="Z100" i="21" s="1"/>
  <c r="Y84" i="21"/>
  <c r="Y100" i="21" s="1"/>
  <c r="X84" i="21"/>
  <c r="X100" i="21" s="1"/>
  <c r="W84" i="21"/>
  <c r="W100" i="21" s="1"/>
  <c r="V84" i="21"/>
  <c r="V100" i="21" s="1"/>
  <c r="T84" i="21"/>
  <c r="T100" i="21" s="1"/>
  <c r="Q84" i="21"/>
  <c r="Q100" i="21" s="1"/>
  <c r="P84" i="21"/>
  <c r="P100" i="21" s="1"/>
  <c r="O84" i="21"/>
  <c r="O100" i="21" s="1"/>
  <c r="N84" i="21"/>
  <c r="N100" i="21" s="1"/>
  <c r="M84" i="21"/>
  <c r="M100" i="21" s="1"/>
  <c r="L84" i="21"/>
  <c r="L100" i="21" s="1"/>
  <c r="K84" i="21"/>
  <c r="K100" i="21" s="1"/>
  <c r="J84" i="21"/>
  <c r="J100" i="21" s="1"/>
  <c r="I84" i="21"/>
  <c r="I100" i="21" s="1"/>
  <c r="G5" i="21"/>
  <c r="G84" i="21"/>
  <c r="G100" i="21" s="1"/>
  <c r="F84" i="21"/>
  <c r="F100" i="21" s="1"/>
  <c r="E84" i="21"/>
  <c r="E100" i="21" s="1"/>
  <c r="D84" i="21"/>
  <c r="D100" i="21" s="1"/>
  <c r="C84" i="21"/>
  <c r="C100" i="21" s="1"/>
  <c r="B84" i="21"/>
  <c r="B100" i="21" s="1"/>
  <c r="AI83" i="21"/>
  <c r="AH83" i="21"/>
  <c r="AN82" i="21"/>
  <c r="AI82" i="21"/>
  <c r="AH82" i="21"/>
  <c r="AN81" i="21"/>
  <c r="AN83" i="21" s="1"/>
  <c r="AI81" i="21"/>
  <c r="AH81" i="21"/>
  <c r="AI80" i="21"/>
  <c r="AH80" i="21"/>
  <c r="AI79" i="21"/>
  <c r="AH79" i="21"/>
  <c r="AI78" i="21"/>
  <c r="AH78" i="21"/>
  <c r="AI77" i="21"/>
  <c r="AH77" i="21"/>
  <c r="AI76" i="21"/>
  <c r="AH76" i="21"/>
  <c r="AI75" i="21"/>
  <c r="AH75" i="21"/>
  <c r="AI74" i="21"/>
  <c r="AH74" i="21"/>
  <c r="AI73" i="21"/>
  <c r="AH73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T72" i="21"/>
  <c r="Q72" i="21"/>
  <c r="P72" i="21"/>
  <c r="O72" i="21"/>
  <c r="N72" i="21"/>
  <c r="M72" i="21"/>
  <c r="L72" i="21"/>
  <c r="B72" i="21"/>
  <c r="AI71" i="21"/>
  <c r="AH71" i="21"/>
  <c r="AI70" i="21"/>
  <c r="AH70" i="21"/>
  <c r="AI69" i="21"/>
  <c r="AH69" i="21"/>
  <c r="AF68" i="21"/>
  <c r="AE68" i="21"/>
  <c r="AD68" i="21"/>
  <c r="AC68" i="21"/>
  <c r="AB68" i="21"/>
  <c r="AA68" i="21"/>
  <c r="Z68" i="21"/>
  <c r="Y68" i="21"/>
  <c r="X68" i="21"/>
  <c r="W68" i="21"/>
  <c r="V68" i="21"/>
  <c r="T68" i="21"/>
  <c r="Q68" i="21"/>
  <c r="P68" i="21"/>
  <c r="O68" i="21"/>
  <c r="N68" i="21"/>
  <c r="M68" i="21"/>
  <c r="L68" i="21"/>
  <c r="K68" i="21"/>
  <c r="J68" i="21"/>
  <c r="I68" i="21"/>
  <c r="G68" i="21"/>
  <c r="F68" i="21"/>
  <c r="E68" i="21"/>
  <c r="D68" i="21"/>
  <c r="C68" i="21"/>
  <c r="B68" i="21"/>
  <c r="AI67" i="21"/>
  <c r="AH67" i="21"/>
  <c r="AG67" i="21"/>
  <c r="AG68" i="21" s="1"/>
  <c r="AG3" i="21" s="1"/>
  <c r="AI66" i="21"/>
  <c r="AH66" i="21"/>
  <c r="AI65" i="21"/>
  <c r="AH65" i="21"/>
  <c r="AI64" i="21"/>
  <c r="AH64" i="21"/>
  <c r="AI63" i="21"/>
  <c r="AH63" i="21"/>
  <c r="AI62" i="21"/>
  <c r="AH62" i="21"/>
  <c r="AI61" i="21"/>
  <c r="AH61" i="21"/>
  <c r="AI60" i="21"/>
  <c r="AH60" i="21"/>
  <c r="AI59" i="21"/>
  <c r="AH59" i="21"/>
  <c r="AI58" i="21"/>
  <c r="AH58" i="21"/>
  <c r="AI57" i="21"/>
  <c r="AH57" i="21"/>
  <c r="AI56" i="21"/>
  <c r="AH56" i="21"/>
  <c r="AI55" i="21"/>
  <c r="AH55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T54" i="21"/>
  <c r="Q54" i="21"/>
  <c r="P54" i="21"/>
  <c r="O54" i="21"/>
  <c r="N54" i="21"/>
  <c r="M54" i="21"/>
  <c r="L54" i="21"/>
  <c r="K54" i="21"/>
  <c r="J54" i="21"/>
  <c r="I54" i="21"/>
  <c r="G54" i="21"/>
  <c r="F54" i="21"/>
  <c r="D54" i="21"/>
  <c r="B54" i="21"/>
  <c r="AI53" i="21"/>
  <c r="AH53" i="21"/>
  <c r="AI52" i="21"/>
  <c r="AH52" i="21"/>
  <c r="AI51" i="21"/>
  <c r="AH51" i="21"/>
  <c r="AG50" i="21"/>
  <c r="AF50" i="21"/>
  <c r="AE50" i="21"/>
  <c r="AD50" i="21"/>
  <c r="AB50" i="21"/>
  <c r="AA50" i="21"/>
  <c r="Z50" i="21"/>
  <c r="Y50" i="21"/>
  <c r="X50" i="21"/>
  <c r="W50" i="21"/>
  <c r="V50" i="21"/>
  <c r="T50" i="21"/>
  <c r="Q50" i="21"/>
  <c r="P50" i="21"/>
  <c r="O50" i="21"/>
  <c r="N50" i="21"/>
  <c r="M50" i="21"/>
  <c r="L50" i="21"/>
  <c r="K50" i="21"/>
  <c r="J50" i="21"/>
  <c r="I50" i="21"/>
  <c r="G50" i="21"/>
  <c r="B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Y5" i="21"/>
  <c r="R5" i="21"/>
  <c r="Q5" i="21"/>
  <c r="AG4" i="21"/>
  <c r="K4" i="21"/>
  <c r="E4" i="21"/>
  <c r="H4" i="21" s="1"/>
  <c r="B4" i="21"/>
  <c r="S246" i="21" s="1"/>
  <c r="AG2" i="21"/>
  <c r="AF49" i="20"/>
  <c r="AE49" i="20"/>
  <c r="AD49" i="20"/>
  <c r="AC49" i="20"/>
  <c r="AC50" i="20"/>
  <c r="AB49" i="20"/>
  <c r="AA113" i="20"/>
  <c r="AA110" i="20"/>
  <c r="AA84" i="20"/>
  <c r="AA100" i="20" s="1"/>
  <c r="AA72" i="20"/>
  <c r="AA68" i="20"/>
  <c r="AA54" i="20"/>
  <c r="AA50" i="20"/>
  <c r="AA89" i="20" s="1"/>
  <c r="AA91" i="20" s="1"/>
  <c r="AA92" i="20" s="1"/>
  <c r="AA49" i="20"/>
  <c r="Z113" i="20"/>
  <c r="Z49" i="20"/>
  <c r="Y113" i="20"/>
  <c r="X113" i="20"/>
  <c r="X49" i="20"/>
  <c r="Y49" i="20"/>
  <c r="W113" i="20"/>
  <c r="V49" i="20"/>
  <c r="W49" i="20"/>
  <c r="V113" i="20"/>
  <c r="U72" i="20"/>
  <c r="U113" i="20"/>
  <c r="U49" i="20"/>
  <c r="U50" i="20"/>
  <c r="U54" i="20"/>
  <c r="T49" i="20"/>
  <c r="T50" i="20"/>
  <c r="T54" i="20"/>
  <c r="T68" i="20"/>
  <c r="T72" i="20"/>
  <c r="T84" i="20"/>
  <c r="T113" i="20"/>
  <c r="T110" i="20" s="1"/>
  <c r="S113" i="20"/>
  <c r="R72" i="20"/>
  <c r="S49" i="20"/>
  <c r="R49" i="20"/>
  <c r="Q49" i="20"/>
  <c r="J270" i="22" l="1"/>
  <c r="L234" i="22"/>
  <c r="J229" i="22"/>
  <c r="AC5" i="21"/>
  <c r="V5" i="21"/>
  <c r="W89" i="21"/>
  <c r="W91" i="21" s="1"/>
  <c r="U5" i="21"/>
  <c r="M5" i="21"/>
  <c r="O89" i="21"/>
  <c r="O91" i="21" s="1"/>
  <c r="O92" i="21" s="1"/>
  <c r="I5" i="21"/>
  <c r="G89" i="21"/>
  <c r="G91" i="21" s="1"/>
  <c r="Y249" i="21" s="1"/>
  <c r="F5" i="21"/>
  <c r="E5" i="21"/>
  <c r="AB5" i="21"/>
  <c r="E229" i="21"/>
  <c r="F229" i="21" s="1"/>
  <c r="AF89" i="21"/>
  <c r="AF91" i="21" s="1"/>
  <c r="AF7" i="21" s="1"/>
  <c r="S5" i="21"/>
  <c r="K89" i="21"/>
  <c r="K91" i="21" s="1"/>
  <c r="K7" i="21" s="1"/>
  <c r="AA89" i="21"/>
  <c r="AA91" i="21" s="1"/>
  <c r="AS249" i="21" s="1"/>
  <c r="K5" i="21"/>
  <c r="L89" i="21"/>
  <c r="L91" i="21" s="1"/>
  <c r="AD249" i="21" s="1"/>
  <c r="T89" i="21"/>
  <c r="T91" i="21" s="1"/>
  <c r="T92" i="21" s="1"/>
  <c r="AB89" i="21"/>
  <c r="AB91" i="21" s="1"/>
  <c r="AB92" i="21" s="1"/>
  <c r="P89" i="21"/>
  <c r="P91" i="21" s="1"/>
  <c r="P92" i="21" s="1"/>
  <c r="X89" i="21"/>
  <c r="X91" i="21" s="1"/>
  <c r="X7" i="21" s="1"/>
  <c r="L5" i="21"/>
  <c r="AA5" i="21"/>
  <c r="AC89" i="21"/>
  <c r="AC91" i="21" s="1"/>
  <c r="AC7" i="21" s="1"/>
  <c r="E89" i="21"/>
  <c r="E91" i="21" s="1"/>
  <c r="E92" i="21" s="1"/>
  <c r="C5" i="21"/>
  <c r="D89" i="21"/>
  <c r="D91" i="21" s="1"/>
  <c r="D92" i="21" s="1"/>
  <c r="AI54" i="21"/>
  <c r="D5" i="21"/>
  <c r="N5" i="21"/>
  <c r="Z5" i="21"/>
  <c r="I89" i="21"/>
  <c r="I91" i="21" s="1"/>
  <c r="Q89" i="21"/>
  <c r="Q91" i="21" s="1"/>
  <c r="Q7" i="21" s="1"/>
  <c r="Y89" i="21"/>
  <c r="Y91" i="21" s="1"/>
  <c r="AQ249" i="21" s="1"/>
  <c r="AE100" i="21"/>
  <c r="B110" i="21"/>
  <c r="J89" i="21"/>
  <c r="J91" i="21" s="1"/>
  <c r="J92" i="21" s="1"/>
  <c r="Z89" i="21"/>
  <c r="Z91" i="21" s="1"/>
  <c r="Z92" i="21" s="1"/>
  <c r="AG6" i="21"/>
  <c r="J5" i="21"/>
  <c r="T5" i="21"/>
  <c r="M89" i="21"/>
  <c r="M91" i="21" s="1"/>
  <c r="M92" i="21" s="1"/>
  <c r="D235" i="21"/>
  <c r="F89" i="21"/>
  <c r="F91" i="21" s="1"/>
  <c r="F92" i="21" s="1"/>
  <c r="N89" i="21"/>
  <c r="N91" i="21" s="1"/>
  <c r="N7" i="21" s="1"/>
  <c r="V89" i="21"/>
  <c r="V91" i="21" s="1"/>
  <c r="V7" i="21" s="1"/>
  <c r="AD89" i="21"/>
  <c r="AD91" i="21" s="1"/>
  <c r="AD92" i="21" s="1"/>
  <c r="AE89" i="21"/>
  <c r="AE91" i="21" s="1"/>
  <c r="AE92" i="21" s="1"/>
  <c r="AH72" i="21"/>
  <c r="B5" i="21"/>
  <c r="AH68" i="21"/>
  <c r="C89" i="21"/>
  <c r="C91" i="21" s="1"/>
  <c r="C7" i="21" s="1"/>
  <c r="AF5" i="21"/>
  <c r="B89" i="21"/>
  <c r="D246" i="21"/>
  <c r="AG89" i="21"/>
  <c r="R7" i="21"/>
  <c r="AJ249" i="21"/>
  <c r="E110" i="21"/>
  <c r="D270" i="21"/>
  <c r="F234" i="21"/>
  <c r="S7" i="21"/>
  <c r="AK249" i="21"/>
  <c r="AO249" i="21"/>
  <c r="W7" i="21"/>
  <c r="W92" i="21"/>
  <c r="AG91" i="21"/>
  <c r="AM249" i="21"/>
  <c r="U7" i="21"/>
  <c r="G229" i="21"/>
  <c r="F110" i="21"/>
  <c r="AB7" i="21"/>
  <c r="J232" i="21"/>
  <c r="K232" i="21" s="1"/>
  <c r="L232" i="21" s="1"/>
  <c r="M232" i="21" s="1"/>
  <c r="N232" i="21" s="1"/>
  <c r="O232" i="21" s="1"/>
  <c r="P232" i="21" s="1"/>
  <c r="H7" i="21"/>
  <c r="Z249" i="21"/>
  <c r="W5" i="21"/>
  <c r="AI68" i="21"/>
  <c r="H5" i="21"/>
  <c r="P5" i="21"/>
  <c r="X5" i="21"/>
  <c r="AH84" i="21"/>
  <c r="C270" i="21"/>
  <c r="AI72" i="21"/>
  <c r="O5" i="21"/>
  <c r="AE5" i="21"/>
  <c r="AH50" i="21"/>
  <c r="AH54" i="21"/>
  <c r="AI84" i="21"/>
  <c r="E230" i="21"/>
  <c r="AI50" i="21"/>
  <c r="B235" i="21"/>
  <c r="T89" i="20"/>
  <c r="T91" i="20" s="1"/>
  <c r="T92" i="20" s="1"/>
  <c r="T100" i="20"/>
  <c r="P49" i="20"/>
  <c r="J110" i="22" l="1"/>
  <c r="K229" i="22"/>
  <c r="M234" i="22"/>
  <c r="K270" i="22"/>
  <c r="AX249" i="21"/>
  <c r="AF92" i="21"/>
  <c r="AE7" i="21"/>
  <c r="AW249" i="21"/>
  <c r="AU249" i="21"/>
  <c r="AC92" i="21"/>
  <c r="AT249" i="21"/>
  <c r="AA92" i="21"/>
  <c r="AA7" i="21"/>
  <c r="Z7" i="21"/>
  <c r="AR249" i="21"/>
  <c r="Y92" i="21"/>
  <c r="Y7" i="21"/>
  <c r="V92" i="21"/>
  <c r="AN249" i="21"/>
  <c r="AL249" i="21"/>
  <c r="T7" i="21"/>
  <c r="AI249" i="21"/>
  <c r="P7" i="21"/>
  <c r="AH249" i="21"/>
  <c r="AF249" i="21"/>
  <c r="AG249" i="21"/>
  <c r="O7" i="21"/>
  <c r="N92" i="21"/>
  <c r="L92" i="21"/>
  <c r="L7" i="21"/>
  <c r="W249" i="21"/>
  <c r="G92" i="21"/>
  <c r="G7" i="21"/>
  <c r="V249" i="21"/>
  <c r="J7" i="21"/>
  <c r="Q92" i="21"/>
  <c r="M7" i="21"/>
  <c r="AC249" i="21"/>
  <c r="X92" i="21"/>
  <c r="K92" i="21"/>
  <c r="AI100" i="21"/>
  <c r="AP249" i="21"/>
  <c r="E7" i="21"/>
  <c r="AB249" i="21"/>
  <c r="C244" i="21"/>
  <c r="F7" i="21"/>
  <c r="X249" i="21"/>
  <c r="D7" i="21"/>
  <c r="AH100" i="21"/>
  <c r="AE249" i="21"/>
  <c r="I92" i="21"/>
  <c r="AD7" i="21"/>
  <c r="AA249" i="21"/>
  <c r="B244" i="21"/>
  <c r="AV249" i="21"/>
  <c r="I7" i="21"/>
  <c r="U249" i="21"/>
  <c r="AI89" i="21"/>
  <c r="C92" i="21"/>
  <c r="B91" i="21"/>
  <c r="AH91" i="21" s="1"/>
  <c r="AH89" i="21"/>
  <c r="E235" i="21"/>
  <c r="F230" i="21"/>
  <c r="H229" i="21"/>
  <c r="E270" i="21"/>
  <c r="G234" i="21"/>
  <c r="G110" i="21" s="1"/>
  <c r="N234" i="22" l="1"/>
  <c r="L270" i="22"/>
  <c r="K110" i="22"/>
  <c r="L229" i="22"/>
  <c r="K6" i="21"/>
  <c r="B7" i="21"/>
  <c r="A7" i="21" s="1"/>
  <c r="T249" i="21"/>
  <c r="AI91" i="21"/>
  <c r="B92" i="21"/>
  <c r="AH92" i="21" s="1"/>
  <c r="F270" i="21"/>
  <c r="H234" i="21"/>
  <c r="H110" i="21" s="1"/>
  <c r="I229" i="21"/>
  <c r="G230" i="21"/>
  <c r="F235" i="21"/>
  <c r="M229" i="22" l="1"/>
  <c r="L110" i="22"/>
  <c r="M270" i="22"/>
  <c r="O234" i="22"/>
  <c r="AI92" i="21"/>
  <c r="J229" i="21"/>
  <c r="G270" i="21"/>
  <c r="I234" i="21"/>
  <c r="H230" i="21"/>
  <c r="G235" i="21"/>
  <c r="N270" i="22" l="1"/>
  <c r="P234" i="22"/>
  <c r="O270" i="22" s="1"/>
  <c r="N229" i="22"/>
  <c r="M110" i="22"/>
  <c r="I230" i="21"/>
  <c r="H235" i="21"/>
  <c r="H270" i="21"/>
  <c r="J234" i="21"/>
  <c r="J110" i="21" s="1"/>
  <c r="K229" i="21"/>
  <c r="I110" i="21"/>
  <c r="O229" i="22" l="1"/>
  <c r="N110" i="22"/>
  <c r="L229" i="21"/>
  <c r="K234" i="21"/>
  <c r="K110" i="21" s="1"/>
  <c r="I270" i="21"/>
  <c r="J230" i="21"/>
  <c r="P229" i="22" l="1"/>
  <c r="O110" i="22"/>
  <c r="K230" i="21"/>
  <c r="J270" i="21"/>
  <c r="L234" i="21"/>
  <c r="L110" i="21" s="1"/>
  <c r="M229" i="21"/>
  <c r="AH110" i="22" l="1"/>
  <c r="AI110" i="22"/>
  <c r="N229" i="21"/>
  <c r="M234" i="21"/>
  <c r="K270" i="21"/>
  <c r="L230" i="21"/>
  <c r="M230" i="21" l="1"/>
  <c r="L270" i="21"/>
  <c r="N234" i="21"/>
  <c r="N110" i="21" s="1"/>
  <c r="M110" i="21"/>
  <c r="O229" i="21"/>
  <c r="P229" i="21" l="1"/>
  <c r="M270" i="21"/>
  <c r="O234" i="21"/>
  <c r="N230" i="21"/>
  <c r="O230" i="21" l="1"/>
  <c r="N270" i="21"/>
  <c r="P234" i="21"/>
  <c r="O270" i="21" s="1"/>
  <c r="O110" i="21"/>
  <c r="AH110" i="21" l="1"/>
  <c r="AI110" i="21"/>
  <c r="P230" i="21"/>
  <c r="O49" i="20" l="1"/>
  <c r="N49" i="20"/>
  <c r="M49" i="20" l="1"/>
  <c r="K54" i="20"/>
  <c r="J50" i="20"/>
  <c r="AF274" i="20"/>
  <c r="AE274" i="20"/>
  <c r="AD274" i="20"/>
  <c r="AC274" i="20"/>
  <c r="AB274" i="20"/>
  <c r="AA274" i="20"/>
  <c r="Z274" i="20"/>
  <c r="Y274" i="20"/>
  <c r="X274" i="20"/>
  <c r="W274" i="20"/>
  <c r="V274" i="20"/>
  <c r="U274" i="20"/>
  <c r="T274" i="20"/>
  <c r="S274" i="20"/>
  <c r="R274" i="20"/>
  <c r="Q274" i="20"/>
  <c r="P274" i="20"/>
  <c r="O274" i="20"/>
  <c r="N274" i="20"/>
  <c r="M274" i="20"/>
  <c r="L274" i="20"/>
  <c r="K274" i="20"/>
  <c r="J274" i="20"/>
  <c r="I274" i="20"/>
  <c r="H274" i="20"/>
  <c r="G274" i="20"/>
  <c r="F274" i="20"/>
  <c r="E274" i="20"/>
  <c r="D274" i="20"/>
  <c r="C274" i="20"/>
  <c r="B274" i="20"/>
  <c r="A274" i="20"/>
  <c r="AF273" i="20"/>
  <c r="AE273" i="20"/>
  <c r="AD273" i="20"/>
  <c r="AC273" i="20"/>
  <c r="AB273" i="20"/>
  <c r="AA273" i="20"/>
  <c r="Z273" i="20"/>
  <c r="Y273" i="20"/>
  <c r="X273" i="20"/>
  <c r="W273" i="20"/>
  <c r="V273" i="20"/>
  <c r="U273" i="20"/>
  <c r="T273" i="20"/>
  <c r="S273" i="20"/>
  <c r="R273" i="20"/>
  <c r="Q273" i="20"/>
  <c r="P273" i="20"/>
  <c r="O273" i="20"/>
  <c r="N273" i="20"/>
  <c r="M273" i="20"/>
  <c r="L273" i="20"/>
  <c r="K273" i="20"/>
  <c r="J273" i="20"/>
  <c r="I273" i="20"/>
  <c r="H273" i="20"/>
  <c r="G273" i="20"/>
  <c r="F273" i="20"/>
  <c r="E273" i="20"/>
  <c r="D273" i="20"/>
  <c r="C273" i="20"/>
  <c r="B273" i="20"/>
  <c r="A273" i="20"/>
  <c r="AF272" i="20"/>
  <c r="AE272" i="20"/>
  <c r="AD272" i="20"/>
  <c r="AC272" i="20"/>
  <c r="AB272" i="20"/>
  <c r="AA272" i="20"/>
  <c r="Z272" i="20"/>
  <c r="Y272" i="20"/>
  <c r="X272" i="20"/>
  <c r="W272" i="20"/>
  <c r="V272" i="20"/>
  <c r="U272" i="20"/>
  <c r="T272" i="20"/>
  <c r="S272" i="20"/>
  <c r="R272" i="20"/>
  <c r="Q272" i="20"/>
  <c r="P272" i="20"/>
  <c r="O272" i="20"/>
  <c r="N272" i="20"/>
  <c r="M272" i="20"/>
  <c r="L272" i="20"/>
  <c r="K272" i="20"/>
  <c r="J272" i="20"/>
  <c r="I272" i="20"/>
  <c r="H272" i="20"/>
  <c r="G272" i="20"/>
  <c r="F272" i="20"/>
  <c r="E272" i="20"/>
  <c r="D272" i="20"/>
  <c r="C272" i="20"/>
  <c r="B272" i="20"/>
  <c r="A272" i="20"/>
  <c r="AF271" i="20"/>
  <c r="AE271" i="20"/>
  <c r="AD271" i="20"/>
  <c r="AC271" i="20"/>
  <c r="AB271" i="20"/>
  <c r="AA271" i="20"/>
  <c r="Z271" i="20"/>
  <c r="Y271" i="20"/>
  <c r="X271" i="20"/>
  <c r="W271" i="20"/>
  <c r="V271" i="20"/>
  <c r="U271" i="20"/>
  <c r="T271" i="20"/>
  <c r="S271" i="20"/>
  <c r="R271" i="20"/>
  <c r="Q271" i="20"/>
  <c r="P271" i="20"/>
  <c r="O271" i="20"/>
  <c r="N271" i="20"/>
  <c r="M271" i="20"/>
  <c r="L271" i="20"/>
  <c r="K271" i="20"/>
  <c r="J271" i="20"/>
  <c r="I271" i="20"/>
  <c r="H271" i="20"/>
  <c r="G271" i="20"/>
  <c r="F271" i="20"/>
  <c r="E271" i="20"/>
  <c r="D271" i="20"/>
  <c r="C271" i="20"/>
  <c r="B271" i="20"/>
  <c r="A271" i="20"/>
  <c r="AE270" i="20"/>
  <c r="AD270" i="20"/>
  <c r="AC270" i="20"/>
  <c r="AB270" i="20"/>
  <c r="AA270" i="20"/>
  <c r="Z270" i="20"/>
  <c r="Y270" i="20"/>
  <c r="X270" i="20"/>
  <c r="W270" i="20"/>
  <c r="V270" i="20"/>
  <c r="U270" i="20"/>
  <c r="T270" i="20"/>
  <c r="S270" i="20"/>
  <c r="R270" i="20"/>
  <c r="Q270" i="20"/>
  <c r="P270" i="20"/>
  <c r="C270" i="20"/>
  <c r="B270" i="20"/>
  <c r="S245" i="20"/>
  <c r="AG235" i="20"/>
  <c r="AF235" i="20"/>
  <c r="AE235" i="20"/>
  <c r="AD235" i="20"/>
  <c r="AC235" i="20"/>
  <c r="AB235" i="20"/>
  <c r="AA235" i="20"/>
  <c r="Z235" i="20"/>
  <c r="Y235" i="20"/>
  <c r="X235" i="20"/>
  <c r="W235" i="20"/>
  <c r="V235" i="20"/>
  <c r="U235" i="20"/>
  <c r="T235" i="20"/>
  <c r="S235" i="20"/>
  <c r="R235" i="20"/>
  <c r="Q235" i="20"/>
  <c r="C235" i="20"/>
  <c r="D234" i="20"/>
  <c r="E234" i="20" s="1"/>
  <c r="B234" i="20"/>
  <c r="AF270" i="20" s="1"/>
  <c r="D233" i="20"/>
  <c r="E233" i="20" s="1"/>
  <c r="F233" i="20" s="1"/>
  <c r="G233" i="20" s="1"/>
  <c r="H233" i="20" s="1"/>
  <c r="I233" i="20" s="1"/>
  <c r="J233" i="20" s="1"/>
  <c r="K233" i="20" s="1"/>
  <c r="L233" i="20" s="1"/>
  <c r="M233" i="20" s="1"/>
  <c r="N233" i="20" s="1"/>
  <c r="O233" i="20" s="1"/>
  <c r="P233" i="20" s="1"/>
  <c r="B233" i="20"/>
  <c r="G232" i="20"/>
  <c r="H232" i="20" s="1"/>
  <c r="I232" i="20" s="1"/>
  <c r="F232" i="20"/>
  <c r="E232" i="20"/>
  <c r="D232" i="20"/>
  <c r="B232" i="20"/>
  <c r="E231" i="20"/>
  <c r="F231" i="20" s="1"/>
  <c r="G231" i="20" s="1"/>
  <c r="H231" i="20" s="1"/>
  <c r="D231" i="20"/>
  <c r="B231" i="20"/>
  <c r="D230" i="20"/>
  <c r="E230" i="20" s="1"/>
  <c r="F230" i="20" s="1"/>
  <c r="G230" i="20" s="1"/>
  <c r="H230" i="20" s="1"/>
  <c r="I230" i="20" s="1"/>
  <c r="J230" i="20" s="1"/>
  <c r="K230" i="20" s="1"/>
  <c r="L230" i="20" s="1"/>
  <c r="M230" i="20" s="1"/>
  <c r="N230" i="20" s="1"/>
  <c r="O230" i="20" s="1"/>
  <c r="P230" i="20" s="1"/>
  <c r="B230" i="20"/>
  <c r="D229" i="20"/>
  <c r="E229" i="20" s="1"/>
  <c r="B229" i="20"/>
  <c r="B235" i="20" s="1"/>
  <c r="AG227" i="20"/>
  <c r="AF227" i="20"/>
  <c r="AE227" i="20"/>
  <c r="AD227" i="20"/>
  <c r="AC227" i="20"/>
  <c r="AB227" i="20"/>
  <c r="AA227" i="20"/>
  <c r="Z227" i="20"/>
  <c r="Y227" i="20"/>
  <c r="X227" i="20"/>
  <c r="W227" i="20"/>
  <c r="V227" i="20"/>
  <c r="U227" i="20"/>
  <c r="T227" i="20"/>
  <c r="S227" i="20"/>
  <c r="R227" i="20"/>
  <c r="Q227" i="20"/>
  <c r="P227" i="20"/>
  <c r="O227" i="20"/>
  <c r="N227" i="20"/>
  <c r="M227" i="20"/>
  <c r="L227" i="20"/>
  <c r="K227" i="20"/>
  <c r="J227" i="20"/>
  <c r="I227" i="20"/>
  <c r="H227" i="20"/>
  <c r="G227" i="20"/>
  <c r="F227" i="20"/>
  <c r="E227" i="20"/>
  <c r="D227" i="20"/>
  <c r="C227" i="20"/>
  <c r="B227" i="20"/>
  <c r="AI120" i="20"/>
  <c r="AH120" i="20"/>
  <c r="AI119" i="20"/>
  <c r="AH119" i="20"/>
  <c r="AI118" i="20"/>
  <c r="AH118" i="20"/>
  <c r="AI117" i="20"/>
  <c r="AH117" i="20"/>
  <c r="AI116" i="20"/>
  <c r="AH116" i="20"/>
  <c r="AI115" i="20"/>
  <c r="AH115" i="20"/>
  <c r="AI114" i="20"/>
  <c r="AH114" i="20"/>
  <c r="AI113" i="20"/>
  <c r="AH113" i="20"/>
  <c r="AI112" i="20"/>
  <c r="AH112" i="20"/>
  <c r="AI111" i="20"/>
  <c r="AH111" i="20"/>
  <c r="AF110" i="20"/>
  <c r="AE110" i="20"/>
  <c r="AC110" i="20"/>
  <c r="AB110" i="20"/>
  <c r="Z110" i="20"/>
  <c r="Y110" i="20"/>
  <c r="X110" i="20"/>
  <c r="W110" i="20"/>
  <c r="V110" i="20"/>
  <c r="U110" i="20"/>
  <c r="S110" i="20"/>
  <c r="R110" i="20"/>
  <c r="Q110" i="20"/>
  <c r="C110" i="20"/>
  <c r="AI109" i="20"/>
  <c r="AH109" i="20"/>
  <c r="AI108" i="20"/>
  <c r="AH108" i="20"/>
  <c r="AI107" i="20"/>
  <c r="AH107" i="20"/>
  <c r="AI106" i="20"/>
  <c r="AH106" i="20"/>
  <c r="AI105" i="20"/>
  <c r="AH105" i="20"/>
  <c r="AI104" i="20"/>
  <c r="AH104" i="20"/>
  <c r="AI103" i="20"/>
  <c r="AH103" i="20"/>
  <c r="AI102" i="20"/>
  <c r="AH102" i="20"/>
  <c r="AI101" i="20"/>
  <c r="AH101" i="20"/>
  <c r="AI99" i="20"/>
  <c r="AH99" i="20"/>
  <c r="AI98" i="20"/>
  <c r="AH98" i="20"/>
  <c r="AI97" i="20"/>
  <c r="AH97" i="20"/>
  <c r="AI96" i="20"/>
  <c r="AH96" i="20"/>
  <c r="AI95" i="20"/>
  <c r="AH95" i="20"/>
  <c r="AI94" i="20"/>
  <c r="AH94" i="20"/>
  <c r="AI93" i="20"/>
  <c r="AH93" i="20"/>
  <c r="AI90" i="20"/>
  <c r="AH90" i="20"/>
  <c r="AI88" i="20"/>
  <c r="AH88" i="20"/>
  <c r="AG88" i="20"/>
  <c r="AG91" i="20" s="1"/>
  <c r="AI87" i="20"/>
  <c r="AH87" i="20"/>
  <c r="AI86" i="20"/>
  <c r="AH86" i="20"/>
  <c r="AI85" i="20"/>
  <c r="AH85" i="20"/>
  <c r="AN84" i="20"/>
  <c r="AG84" i="20"/>
  <c r="AF84" i="20"/>
  <c r="AF100" i="20" s="1"/>
  <c r="AE84" i="20"/>
  <c r="AD84" i="20"/>
  <c r="AD100" i="20" s="1"/>
  <c r="AC84" i="20"/>
  <c r="AC100" i="20" s="1"/>
  <c r="AB84" i="20"/>
  <c r="AB100" i="20" s="1"/>
  <c r="Z84" i="20"/>
  <c r="Y5" i="20" s="1"/>
  <c r="Y84" i="20"/>
  <c r="Y100" i="20" s="1"/>
  <c r="X84" i="20"/>
  <c r="X100" i="20" s="1"/>
  <c r="W84" i="20"/>
  <c r="V84" i="20"/>
  <c r="U5" i="20" s="1"/>
  <c r="U84" i="20"/>
  <c r="U100" i="20" s="1"/>
  <c r="S84" i="20"/>
  <c r="S100" i="20" s="1"/>
  <c r="R84" i="20"/>
  <c r="R100" i="20" s="1"/>
  <c r="Q84" i="20"/>
  <c r="Q100" i="20" s="1"/>
  <c r="P84" i="20"/>
  <c r="P100" i="20" s="1"/>
  <c r="O84" i="20"/>
  <c r="N84" i="20"/>
  <c r="N100" i="20" s="1"/>
  <c r="M84" i="20"/>
  <c r="M100" i="20" s="1"/>
  <c r="L84" i="20"/>
  <c r="L100" i="20" s="1"/>
  <c r="K84" i="20"/>
  <c r="K100" i="20" s="1"/>
  <c r="J84" i="20"/>
  <c r="I5" i="20" s="1"/>
  <c r="I84" i="20"/>
  <c r="I100" i="20" s="1"/>
  <c r="H84" i="20"/>
  <c r="H100" i="20" s="1"/>
  <c r="G84" i="20"/>
  <c r="F84" i="20"/>
  <c r="F100" i="20" s="1"/>
  <c r="E84" i="20"/>
  <c r="E100" i="20" s="1"/>
  <c r="D84" i="20"/>
  <c r="D100" i="20" s="1"/>
  <c r="C84" i="20"/>
  <c r="C100" i="20" s="1"/>
  <c r="B84" i="20"/>
  <c r="B100" i="20" s="1"/>
  <c r="AI83" i="20"/>
  <c r="AH83" i="20"/>
  <c r="AN82" i="20"/>
  <c r="AI82" i="20"/>
  <c r="AH82" i="20"/>
  <c r="AN81" i="20"/>
  <c r="AN83" i="20" s="1"/>
  <c r="AI81" i="20"/>
  <c r="AH81" i="20"/>
  <c r="AI80" i="20"/>
  <c r="AH80" i="20"/>
  <c r="AI79" i="20"/>
  <c r="AH79" i="20"/>
  <c r="AI78" i="20"/>
  <c r="AH78" i="20"/>
  <c r="AI77" i="20"/>
  <c r="AH77" i="20"/>
  <c r="AI76" i="20"/>
  <c r="AH76" i="20"/>
  <c r="AI75" i="20"/>
  <c r="AH75" i="20"/>
  <c r="AI74" i="20"/>
  <c r="AH74" i="20"/>
  <c r="AI73" i="20"/>
  <c r="AH73" i="20"/>
  <c r="AG72" i="20"/>
  <c r="AF72" i="20"/>
  <c r="AE72" i="20"/>
  <c r="AD72" i="20"/>
  <c r="AC72" i="20"/>
  <c r="AB72" i="20"/>
  <c r="Z72" i="20"/>
  <c r="Y72" i="20"/>
  <c r="X72" i="20"/>
  <c r="W72" i="20"/>
  <c r="V72" i="20"/>
  <c r="S72" i="20"/>
  <c r="Q72" i="20"/>
  <c r="P72" i="20"/>
  <c r="O72" i="20"/>
  <c r="N72" i="20"/>
  <c r="M72" i="20"/>
  <c r="L72" i="20"/>
  <c r="B72" i="20"/>
  <c r="AI71" i="20"/>
  <c r="AH71" i="20"/>
  <c r="AI70" i="20"/>
  <c r="AH70" i="20"/>
  <c r="AI69" i="20"/>
  <c r="AH69" i="20"/>
  <c r="AG68" i="20"/>
  <c r="AG3" i="20" s="1"/>
  <c r="AF68" i="20"/>
  <c r="AE68" i="20"/>
  <c r="AD68" i="20"/>
  <c r="AC68" i="20"/>
  <c r="AB68" i="20"/>
  <c r="Z68" i="20"/>
  <c r="Y68" i="20"/>
  <c r="X68" i="20"/>
  <c r="W68" i="20"/>
  <c r="V68" i="20"/>
  <c r="U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B68" i="20"/>
  <c r="AI67" i="20"/>
  <c r="AH67" i="20"/>
  <c r="AG67" i="20"/>
  <c r="AI66" i="20"/>
  <c r="AH66" i="20"/>
  <c r="AI65" i="20"/>
  <c r="AH65" i="20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I56" i="20"/>
  <c r="AH56" i="20"/>
  <c r="AI55" i="20"/>
  <c r="AH55" i="20"/>
  <c r="AG54" i="20"/>
  <c r="AF54" i="20"/>
  <c r="AE54" i="20"/>
  <c r="AD54" i="20"/>
  <c r="AC54" i="20"/>
  <c r="AB54" i="20"/>
  <c r="Z54" i="20"/>
  <c r="Y54" i="20"/>
  <c r="X54" i="20"/>
  <c r="W54" i="20"/>
  <c r="V54" i="20"/>
  <c r="S54" i="20"/>
  <c r="R54" i="20"/>
  <c r="Q54" i="20"/>
  <c r="P54" i="20"/>
  <c r="O54" i="20"/>
  <c r="N54" i="20"/>
  <c r="M54" i="20"/>
  <c r="L54" i="20"/>
  <c r="J54" i="20"/>
  <c r="I54" i="20"/>
  <c r="H54" i="20"/>
  <c r="G54" i="20"/>
  <c r="F54" i="20"/>
  <c r="E54" i="20"/>
  <c r="D54" i="20"/>
  <c r="C54" i="20"/>
  <c r="B54" i="20"/>
  <c r="AI53" i="20"/>
  <c r="AH53" i="20"/>
  <c r="AI52" i="20"/>
  <c r="AH52" i="20"/>
  <c r="AI51" i="20"/>
  <c r="AH51" i="20"/>
  <c r="AG50" i="20"/>
  <c r="AG89" i="20" s="1"/>
  <c r="AF50" i="20"/>
  <c r="AE50" i="20"/>
  <c r="AD50" i="20"/>
  <c r="AB50" i="20"/>
  <c r="Z50" i="20"/>
  <c r="Y50" i="20"/>
  <c r="X50" i="20"/>
  <c r="W50" i="20"/>
  <c r="V50" i="20"/>
  <c r="S50" i="20"/>
  <c r="R50" i="20"/>
  <c r="Q50" i="20"/>
  <c r="P50" i="20"/>
  <c r="O50" i="20"/>
  <c r="N50" i="20"/>
  <c r="M50" i="20"/>
  <c r="L50" i="20"/>
  <c r="K50" i="20"/>
  <c r="I50" i="20"/>
  <c r="H50" i="20"/>
  <c r="G50" i="20"/>
  <c r="F50" i="20"/>
  <c r="E50" i="20"/>
  <c r="D50" i="20"/>
  <c r="C50" i="20"/>
  <c r="B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S5" i="20"/>
  <c r="AG4" i="20"/>
  <c r="K4" i="20"/>
  <c r="E4" i="20"/>
  <c r="H4" i="20" s="1"/>
  <c r="B4" i="20"/>
  <c r="S246" i="20" s="1"/>
  <c r="AF49" i="19"/>
  <c r="AE49" i="19"/>
  <c r="AD49" i="19"/>
  <c r="AB113" i="19"/>
  <c r="AC113" i="19"/>
  <c r="AB49" i="19"/>
  <c r="AC49" i="19"/>
  <c r="AA113" i="19"/>
  <c r="AA110" i="19" s="1"/>
  <c r="AA84" i="19"/>
  <c r="AA100" i="19" s="1"/>
  <c r="AA72" i="19"/>
  <c r="AA89" i="19" s="1"/>
  <c r="AA91" i="19" s="1"/>
  <c r="AA92" i="19" s="1"/>
  <c r="AA68" i="19"/>
  <c r="AA54" i="19"/>
  <c r="AA50" i="19"/>
  <c r="AA49" i="19"/>
  <c r="AH11" i="19"/>
  <c r="AI11" i="19"/>
  <c r="AE5" i="20" l="1"/>
  <c r="AF89" i="20"/>
  <c r="AF91" i="20" s="1"/>
  <c r="AF7" i="20" s="1"/>
  <c r="AD89" i="20"/>
  <c r="AD91" i="20" s="1"/>
  <c r="AD7" i="20" s="1"/>
  <c r="AC5" i="20"/>
  <c r="AE89" i="20"/>
  <c r="AE91" i="20" s="1"/>
  <c r="AE7" i="20" s="1"/>
  <c r="AC89" i="20"/>
  <c r="AC91" i="20" s="1"/>
  <c r="AU249" i="20" s="1"/>
  <c r="AB5" i="20"/>
  <c r="AA5" i="20"/>
  <c r="AB89" i="20"/>
  <c r="AB91" i="20" s="1"/>
  <c r="AB7" i="20" s="1"/>
  <c r="Z89" i="20"/>
  <c r="Z91" i="20" s="1"/>
  <c r="AR249" i="20" s="1"/>
  <c r="X5" i="20"/>
  <c r="Y89" i="20"/>
  <c r="Y91" i="20" s="1"/>
  <c r="Y92" i="20" s="1"/>
  <c r="W5" i="20"/>
  <c r="X89" i="20"/>
  <c r="X91" i="20" s="1"/>
  <c r="X7" i="20" s="1"/>
  <c r="V100" i="20"/>
  <c r="V89" i="20"/>
  <c r="V91" i="20" s="1"/>
  <c r="AN249" i="20" s="1"/>
  <c r="W89" i="20"/>
  <c r="W91" i="20" s="1"/>
  <c r="AO249" i="20" s="1"/>
  <c r="T5" i="20"/>
  <c r="U89" i="20"/>
  <c r="U91" i="20" s="1"/>
  <c r="AM249" i="20" s="1"/>
  <c r="S89" i="20"/>
  <c r="S91" i="20" s="1"/>
  <c r="AK249" i="20" s="1"/>
  <c r="R89" i="20"/>
  <c r="R91" i="20" s="1"/>
  <c r="AJ249" i="20" s="1"/>
  <c r="Q89" i="20"/>
  <c r="Q91" i="20" s="1"/>
  <c r="Q7" i="20" s="1"/>
  <c r="P5" i="20"/>
  <c r="O5" i="20"/>
  <c r="AH72" i="20"/>
  <c r="P89" i="20"/>
  <c r="P91" i="20" s="1"/>
  <c r="P7" i="20" s="1"/>
  <c r="O89" i="20"/>
  <c r="O91" i="20" s="1"/>
  <c r="O7" i="20" s="1"/>
  <c r="M5" i="20"/>
  <c r="N89" i="20"/>
  <c r="N91" i="20" s="1"/>
  <c r="AF249" i="20" s="1"/>
  <c r="L5" i="20"/>
  <c r="AI72" i="20"/>
  <c r="M89" i="20"/>
  <c r="M91" i="20" s="1"/>
  <c r="AE249" i="20" s="1"/>
  <c r="K5" i="20"/>
  <c r="L89" i="20"/>
  <c r="L91" i="20" s="1"/>
  <c r="AD249" i="20" s="1"/>
  <c r="K89" i="20"/>
  <c r="K91" i="20" s="1"/>
  <c r="K92" i="20" s="1"/>
  <c r="H5" i="20"/>
  <c r="G5" i="20"/>
  <c r="J89" i="20"/>
  <c r="J91" i="20" s="1"/>
  <c r="J7" i="20" s="1"/>
  <c r="H89" i="20"/>
  <c r="H91" i="20" s="1"/>
  <c r="Z249" i="20" s="1"/>
  <c r="I89" i="20"/>
  <c r="I91" i="20" s="1"/>
  <c r="I7" i="20" s="1"/>
  <c r="E5" i="20"/>
  <c r="G89" i="20"/>
  <c r="G91" i="20" s="1"/>
  <c r="G92" i="20" s="1"/>
  <c r="F89" i="20"/>
  <c r="F91" i="20" s="1"/>
  <c r="F7" i="20" s="1"/>
  <c r="D5" i="20"/>
  <c r="AI68" i="20"/>
  <c r="E89" i="20"/>
  <c r="E91" i="20" s="1"/>
  <c r="E7" i="20" s="1"/>
  <c r="AH54" i="20"/>
  <c r="D89" i="20"/>
  <c r="D91" i="20" s="1"/>
  <c r="V249" i="20" s="1"/>
  <c r="C5" i="20"/>
  <c r="C89" i="20"/>
  <c r="C91" i="20" s="1"/>
  <c r="U249" i="20" s="1"/>
  <c r="B89" i="20"/>
  <c r="B91" i="20" s="1"/>
  <c r="AF5" i="20"/>
  <c r="L92" i="20"/>
  <c r="AL249" i="20"/>
  <c r="T7" i="20"/>
  <c r="H7" i="20"/>
  <c r="AS249" i="20"/>
  <c r="AA7" i="20"/>
  <c r="F229" i="20"/>
  <c r="E110" i="20"/>
  <c r="E235" i="20"/>
  <c r="D270" i="20"/>
  <c r="F234" i="20"/>
  <c r="R7" i="20"/>
  <c r="R92" i="20"/>
  <c r="C92" i="20"/>
  <c r="C7" i="20"/>
  <c r="J232" i="20"/>
  <c r="K232" i="20" s="1"/>
  <c r="L232" i="20" s="1"/>
  <c r="M232" i="20" s="1"/>
  <c r="N232" i="20" s="1"/>
  <c r="O232" i="20" s="1"/>
  <c r="P232" i="20" s="1"/>
  <c r="D235" i="20"/>
  <c r="F5" i="20"/>
  <c r="N5" i="20"/>
  <c r="V5" i="20"/>
  <c r="AD5" i="20"/>
  <c r="AH68" i="20"/>
  <c r="G100" i="20"/>
  <c r="O100" i="20"/>
  <c r="W100" i="20"/>
  <c r="AE100" i="20"/>
  <c r="D110" i="20"/>
  <c r="D246" i="20"/>
  <c r="AI84" i="20"/>
  <c r="J100" i="20"/>
  <c r="Z100" i="20"/>
  <c r="B5" i="20"/>
  <c r="J5" i="20"/>
  <c r="R5" i="20"/>
  <c r="Z5" i="20"/>
  <c r="AI50" i="20"/>
  <c r="AI54" i="20"/>
  <c r="AH84" i="20"/>
  <c r="Q5" i="20"/>
  <c r="AH50" i="20"/>
  <c r="AG2" i="20"/>
  <c r="AG6" i="20" s="1"/>
  <c r="B110" i="20"/>
  <c r="AX249" i="20" l="1"/>
  <c r="AF92" i="20"/>
  <c r="AE92" i="20"/>
  <c r="AW249" i="20"/>
  <c r="AD92" i="20"/>
  <c r="AV249" i="20"/>
  <c r="AC92" i="20"/>
  <c r="AC7" i="20"/>
  <c r="AB92" i="20"/>
  <c r="AT249" i="20"/>
  <c r="Z7" i="20"/>
  <c r="Z92" i="20"/>
  <c r="AQ249" i="20"/>
  <c r="Y7" i="20"/>
  <c r="X92" i="20"/>
  <c r="AP249" i="20"/>
  <c r="V92" i="20"/>
  <c r="V7" i="20"/>
  <c r="W92" i="20"/>
  <c r="W7" i="20"/>
  <c r="U92" i="20"/>
  <c r="U7" i="20"/>
  <c r="S92" i="20"/>
  <c r="S7" i="20"/>
  <c r="K7" i="20"/>
  <c r="L7" i="20"/>
  <c r="AC249" i="20"/>
  <c r="N7" i="20"/>
  <c r="N92" i="20"/>
  <c r="O92" i="20"/>
  <c r="AG249" i="20"/>
  <c r="AI249" i="20"/>
  <c r="Q92" i="20"/>
  <c r="P92" i="20"/>
  <c r="AH249" i="20"/>
  <c r="M92" i="20"/>
  <c r="M7" i="20"/>
  <c r="AI100" i="20"/>
  <c r="H92" i="20"/>
  <c r="J92" i="20"/>
  <c r="AB249" i="20"/>
  <c r="G7" i="20"/>
  <c r="X249" i="20"/>
  <c r="AA249" i="20"/>
  <c r="I92" i="20"/>
  <c r="B244" i="20"/>
  <c r="C244" i="20"/>
  <c r="D7" i="20"/>
  <c r="D92" i="20"/>
  <c r="Y249" i="20"/>
  <c r="F92" i="20"/>
  <c r="W249" i="20"/>
  <c r="AH89" i="20"/>
  <c r="E92" i="20"/>
  <c r="AI89" i="20"/>
  <c r="B7" i="20"/>
  <c r="AI91" i="20"/>
  <c r="T249" i="20"/>
  <c r="B92" i="20"/>
  <c r="AH91" i="20"/>
  <c r="F110" i="20"/>
  <c r="G229" i="20"/>
  <c r="F235" i="20"/>
  <c r="E270" i="20"/>
  <c r="G234" i="20"/>
  <c r="AH100" i="20"/>
  <c r="A7" i="20" l="1"/>
  <c r="K6" i="20"/>
  <c r="H229" i="20"/>
  <c r="G110" i="20"/>
  <c r="G235" i="20"/>
  <c r="AH92" i="20"/>
  <c r="AI92" i="20"/>
  <c r="F270" i="20"/>
  <c r="H234" i="20"/>
  <c r="H235" i="20" l="1"/>
  <c r="H110" i="20"/>
  <c r="I229" i="20"/>
  <c r="G270" i="20"/>
  <c r="I234" i="20"/>
  <c r="H270" i="20" l="1"/>
  <c r="J234" i="20"/>
  <c r="I110" i="20"/>
  <c r="J229" i="20"/>
  <c r="J110" i="20" l="1"/>
  <c r="K229" i="20"/>
  <c r="I270" i="20"/>
  <c r="K234" i="20"/>
  <c r="J270" i="20" l="1"/>
  <c r="L234" i="20"/>
  <c r="L229" i="20"/>
  <c r="K110" i="20"/>
  <c r="M229" i="20" l="1"/>
  <c r="L110" i="20"/>
  <c r="K270" i="20"/>
  <c r="M234" i="20"/>
  <c r="N234" i="20" l="1"/>
  <c r="L270" i="20"/>
  <c r="N229" i="20"/>
  <c r="M110" i="20"/>
  <c r="O229" i="20" l="1"/>
  <c r="N110" i="20"/>
  <c r="O234" i="20"/>
  <c r="M270" i="20"/>
  <c r="N270" i="20" l="1"/>
  <c r="P234" i="20"/>
  <c r="O270" i="20" s="1"/>
  <c r="P229" i="20"/>
  <c r="O110" i="20"/>
  <c r="AI110" i="20" l="1"/>
  <c r="AH110" i="20"/>
  <c r="Z113" i="19" l="1"/>
  <c r="Z49" i="19"/>
  <c r="Y113" i="19"/>
  <c r="Y49" i="19"/>
  <c r="X113" i="19"/>
  <c r="X49" i="19"/>
  <c r="W113" i="19"/>
  <c r="W49" i="19"/>
  <c r="V113" i="19"/>
  <c r="V49" i="19"/>
  <c r="U113" i="19"/>
  <c r="U49" i="19"/>
  <c r="T113" i="19"/>
  <c r="T49" i="19"/>
  <c r="S113" i="19"/>
  <c r="S49" i="19"/>
  <c r="Q49" i="19"/>
  <c r="R49" i="19"/>
  <c r="P49" i="19" l="1"/>
  <c r="O49" i="19" l="1"/>
  <c r="O84" i="19"/>
  <c r="M49" i="19" l="1"/>
  <c r="N49" i="19"/>
  <c r="L113" i="19"/>
  <c r="L75" i="19"/>
  <c r="L49" i="19"/>
  <c r="K50" i="19"/>
  <c r="K54" i="19"/>
  <c r="K68" i="19"/>
  <c r="K113" i="19"/>
  <c r="K49" i="19"/>
  <c r="J113" i="19"/>
  <c r="J49" i="19"/>
  <c r="I113" i="19"/>
  <c r="I49" i="19"/>
  <c r="H113" i="19"/>
  <c r="H49" i="19"/>
  <c r="G113" i="19"/>
  <c r="G49" i="19"/>
  <c r="F113" i="19"/>
  <c r="E113" i="19"/>
  <c r="AF274" i="19" l="1"/>
  <c r="AE274" i="19"/>
  <c r="AD274" i="19"/>
  <c r="AC274" i="19"/>
  <c r="AB274" i="19"/>
  <c r="AA274" i="19"/>
  <c r="Z274" i="19"/>
  <c r="Y274" i="19"/>
  <c r="X274" i="19"/>
  <c r="W274" i="19"/>
  <c r="V274" i="19"/>
  <c r="U274" i="19"/>
  <c r="T274" i="19"/>
  <c r="S274" i="19"/>
  <c r="R274" i="19"/>
  <c r="Q274" i="19"/>
  <c r="P274" i="19"/>
  <c r="O274" i="19"/>
  <c r="N274" i="19"/>
  <c r="M274" i="19"/>
  <c r="L274" i="19"/>
  <c r="K274" i="19"/>
  <c r="J274" i="19"/>
  <c r="I274" i="19"/>
  <c r="H274" i="19"/>
  <c r="G274" i="19"/>
  <c r="F274" i="19"/>
  <c r="E274" i="19"/>
  <c r="D274" i="19"/>
  <c r="C274" i="19"/>
  <c r="B274" i="19"/>
  <c r="A274" i="19"/>
  <c r="AF273" i="19"/>
  <c r="AE273" i="19"/>
  <c r="AD273" i="19"/>
  <c r="AC273" i="19"/>
  <c r="AB273" i="19"/>
  <c r="AA273" i="19"/>
  <c r="Z273" i="19"/>
  <c r="Y273" i="19"/>
  <c r="X273" i="19"/>
  <c r="W273" i="19"/>
  <c r="V273" i="19"/>
  <c r="U273" i="19"/>
  <c r="T273" i="19"/>
  <c r="S273" i="19"/>
  <c r="R273" i="19"/>
  <c r="Q273" i="19"/>
  <c r="P273" i="19"/>
  <c r="O273" i="19"/>
  <c r="N273" i="19"/>
  <c r="M273" i="19"/>
  <c r="L273" i="19"/>
  <c r="K273" i="19"/>
  <c r="J273" i="19"/>
  <c r="I273" i="19"/>
  <c r="H273" i="19"/>
  <c r="G273" i="19"/>
  <c r="F273" i="19"/>
  <c r="E273" i="19"/>
  <c r="D273" i="19"/>
  <c r="C273" i="19"/>
  <c r="B273" i="19"/>
  <c r="A273" i="19"/>
  <c r="AF272" i="19"/>
  <c r="AE272" i="19"/>
  <c r="AD272" i="19"/>
  <c r="AC272" i="19"/>
  <c r="AB272" i="19"/>
  <c r="AA272" i="19"/>
  <c r="Z272" i="19"/>
  <c r="Y272" i="19"/>
  <c r="X272" i="19"/>
  <c r="W272" i="19"/>
  <c r="V272" i="19"/>
  <c r="U272" i="19"/>
  <c r="T272" i="19"/>
  <c r="S272" i="19"/>
  <c r="R272" i="19"/>
  <c r="Q272" i="19"/>
  <c r="P272" i="19"/>
  <c r="O272" i="19"/>
  <c r="N272" i="19"/>
  <c r="M272" i="19"/>
  <c r="L272" i="19"/>
  <c r="K272" i="19"/>
  <c r="J272" i="19"/>
  <c r="I272" i="19"/>
  <c r="H272" i="19"/>
  <c r="G272" i="19"/>
  <c r="F272" i="19"/>
  <c r="E272" i="19"/>
  <c r="D272" i="19"/>
  <c r="C272" i="19"/>
  <c r="B272" i="19"/>
  <c r="A272" i="19"/>
  <c r="AF271" i="19"/>
  <c r="AE271" i="19"/>
  <c r="AD271" i="19"/>
  <c r="AC271" i="19"/>
  <c r="AB271" i="19"/>
  <c r="AA271" i="19"/>
  <c r="Z271" i="19"/>
  <c r="Y271" i="19"/>
  <c r="X271" i="19"/>
  <c r="W271" i="19"/>
  <c r="V271" i="19"/>
  <c r="U271" i="19"/>
  <c r="T271" i="19"/>
  <c r="S271" i="19"/>
  <c r="R271" i="19"/>
  <c r="Q271" i="19"/>
  <c r="P271" i="19"/>
  <c r="O271" i="19"/>
  <c r="N271" i="19"/>
  <c r="M271" i="19"/>
  <c r="L271" i="19"/>
  <c r="K271" i="19"/>
  <c r="J271" i="19"/>
  <c r="I271" i="19"/>
  <c r="H271" i="19"/>
  <c r="G271" i="19"/>
  <c r="F271" i="19"/>
  <c r="E271" i="19"/>
  <c r="D271" i="19"/>
  <c r="C271" i="19"/>
  <c r="B271" i="19"/>
  <c r="A271" i="19"/>
  <c r="AE270" i="19"/>
  <c r="AD270" i="19"/>
  <c r="AC270" i="19"/>
  <c r="AB270" i="19"/>
  <c r="AA270" i="19"/>
  <c r="Z270" i="19"/>
  <c r="Y270" i="19"/>
  <c r="X270" i="19"/>
  <c r="W270" i="19"/>
  <c r="V270" i="19"/>
  <c r="U270" i="19"/>
  <c r="T270" i="19"/>
  <c r="S270" i="19"/>
  <c r="R270" i="19"/>
  <c r="Q270" i="19"/>
  <c r="P270" i="19"/>
  <c r="B270" i="19"/>
  <c r="S245" i="19"/>
  <c r="AG235" i="19"/>
  <c r="AF235" i="19"/>
  <c r="AE235" i="19"/>
  <c r="AD235" i="19"/>
  <c r="AC235" i="19"/>
  <c r="AB235" i="19"/>
  <c r="AA235" i="19"/>
  <c r="Z235" i="19"/>
  <c r="Y235" i="19"/>
  <c r="X235" i="19"/>
  <c r="W235" i="19"/>
  <c r="V235" i="19"/>
  <c r="U235" i="19"/>
  <c r="T235" i="19"/>
  <c r="S235" i="19"/>
  <c r="R235" i="19"/>
  <c r="Q235" i="19"/>
  <c r="C235" i="19"/>
  <c r="E234" i="19"/>
  <c r="D270" i="19" s="1"/>
  <c r="D234" i="19"/>
  <c r="C270" i="19" s="1"/>
  <c r="B234" i="19"/>
  <c r="AF270" i="19" s="1"/>
  <c r="D233" i="19"/>
  <c r="E233" i="19" s="1"/>
  <c r="F233" i="19" s="1"/>
  <c r="G233" i="19" s="1"/>
  <c r="H233" i="19" s="1"/>
  <c r="I233" i="19" s="1"/>
  <c r="J233" i="19" s="1"/>
  <c r="K233" i="19" s="1"/>
  <c r="L233" i="19" s="1"/>
  <c r="M233" i="19" s="1"/>
  <c r="N233" i="19" s="1"/>
  <c r="O233" i="19" s="1"/>
  <c r="P233" i="19" s="1"/>
  <c r="B233" i="19"/>
  <c r="E232" i="19"/>
  <c r="F232" i="19" s="1"/>
  <c r="G232" i="19" s="1"/>
  <c r="H232" i="19" s="1"/>
  <c r="I232" i="19" s="1"/>
  <c r="D232" i="19"/>
  <c r="B232" i="19"/>
  <c r="E231" i="19"/>
  <c r="F231" i="19" s="1"/>
  <c r="G231" i="19" s="1"/>
  <c r="H231" i="19" s="1"/>
  <c r="D231" i="19"/>
  <c r="B231" i="19"/>
  <c r="D230" i="19"/>
  <c r="E230" i="19" s="1"/>
  <c r="F230" i="19" s="1"/>
  <c r="G230" i="19" s="1"/>
  <c r="H230" i="19" s="1"/>
  <c r="I230" i="19" s="1"/>
  <c r="J230" i="19" s="1"/>
  <c r="K230" i="19" s="1"/>
  <c r="L230" i="19" s="1"/>
  <c r="M230" i="19" s="1"/>
  <c r="N230" i="19" s="1"/>
  <c r="O230" i="19" s="1"/>
  <c r="P230" i="19" s="1"/>
  <c r="B230" i="19"/>
  <c r="D229" i="19"/>
  <c r="D235" i="19" s="1"/>
  <c r="B229" i="19"/>
  <c r="AG227" i="19"/>
  <c r="AF227" i="19"/>
  <c r="AE227" i="19"/>
  <c r="AD227" i="19"/>
  <c r="AC227" i="19"/>
  <c r="AB227" i="19"/>
  <c r="AA227" i="19"/>
  <c r="Z227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AI120" i="19"/>
  <c r="AH120" i="19"/>
  <c r="AI119" i="19"/>
  <c r="AH119" i="19"/>
  <c r="AI118" i="19"/>
  <c r="AH118" i="19"/>
  <c r="AI117" i="19"/>
  <c r="AH117" i="19"/>
  <c r="AI116" i="19"/>
  <c r="AH116" i="19"/>
  <c r="AI115" i="19"/>
  <c r="AH115" i="19"/>
  <c r="AI114" i="19"/>
  <c r="AH114" i="19"/>
  <c r="AI113" i="19"/>
  <c r="AH113" i="19"/>
  <c r="AI112" i="19"/>
  <c r="AH112" i="19"/>
  <c r="AI111" i="19"/>
  <c r="AH111" i="19"/>
  <c r="AF110" i="19"/>
  <c r="AE110" i="19"/>
  <c r="AC110" i="19"/>
  <c r="AB110" i="19"/>
  <c r="Z110" i="19"/>
  <c r="Y110" i="19"/>
  <c r="X110" i="19"/>
  <c r="W110" i="19"/>
  <c r="V110" i="19"/>
  <c r="U110" i="19"/>
  <c r="T110" i="19"/>
  <c r="S110" i="19"/>
  <c r="R110" i="19"/>
  <c r="Q110" i="19"/>
  <c r="C110" i="19"/>
  <c r="AI109" i="19"/>
  <c r="AH109" i="19"/>
  <c r="AI108" i="19"/>
  <c r="AH108" i="19"/>
  <c r="AI107" i="19"/>
  <c r="AH107" i="19"/>
  <c r="AI106" i="19"/>
  <c r="AH106" i="19"/>
  <c r="AI105" i="19"/>
  <c r="AH105" i="19"/>
  <c r="AI104" i="19"/>
  <c r="AH104" i="19"/>
  <c r="AI103" i="19"/>
  <c r="AH103" i="19"/>
  <c r="AI102" i="19"/>
  <c r="AH102" i="19"/>
  <c r="AI101" i="19"/>
  <c r="AH101" i="19"/>
  <c r="AI99" i="19"/>
  <c r="AH99" i="19"/>
  <c r="AI98" i="19"/>
  <c r="AH98" i="19"/>
  <c r="AI97" i="19"/>
  <c r="AH97" i="19"/>
  <c r="AI96" i="19"/>
  <c r="AH96" i="19"/>
  <c r="AI95" i="19"/>
  <c r="AH95" i="19"/>
  <c r="AI94" i="19"/>
  <c r="AH94" i="19"/>
  <c r="AI93" i="19"/>
  <c r="AH93" i="19"/>
  <c r="AI90" i="19"/>
  <c r="AH90" i="19"/>
  <c r="AI88" i="19"/>
  <c r="AH88" i="19"/>
  <c r="AG88" i="19"/>
  <c r="AI87" i="19"/>
  <c r="AH87" i="19"/>
  <c r="AI86" i="19"/>
  <c r="AH86" i="19"/>
  <c r="AI85" i="19"/>
  <c r="AH85" i="19"/>
  <c r="AN84" i="19"/>
  <c r="AG84" i="19"/>
  <c r="AF84" i="19"/>
  <c r="AF100" i="19" s="1"/>
  <c r="AE84" i="19"/>
  <c r="AE100" i="19" s="1"/>
  <c r="AD84" i="19"/>
  <c r="AD100" i="19" s="1"/>
  <c r="AC84" i="19"/>
  <c r="AC100" i="19" s="1"/>
  <c r="AB84" i="19"/>
  <c r="AB100" i="19" s="1"/>
  <c r="Z84" i="19"/>
  <c r="Z100" i="19" s="1"/>
  <c r="Y84" i="19"/>
  <c r="X5" i="19" s="1"/>
  <c r="X84" i="19"/>
  <c r="X100" i="19" s="1"/>
  <c r="W84" i="19"/>
  <c r="W100" i="19" s="1"/>
  <c r="V84" i="19"/>
  <c r="V100" i="19" s="1"/>
  <c r="U84" i="19"/>
  <c r="U100" i="19" s="1"/>
  <c r="T84" i="19"/>
  <c r="T100" i="19" s="1"/>
  <c r="S84" i="19"/>
  <c r="S100" i="19" s="1"/>
  <c r="R84" i="19"/>
  <c r="R100" i="19" s="1"/>
  <c r="Q84" i="19"/>
  <c r="P5" i="19" s="1"/>
  <c r="P84" i="19"/>
  <c r="O5" i="19" s="1"/>
  <c r="O100" i="19"/>
  <c r="N84" i="19"/>
  <c r="N100" i="19" s="1"/>
  <c r="M84" i="19"/>
  <c r="M100" i="19" s="1"/>
  <c r="L84" i="19"/>
  <c r="L100" i="19" s="1"/>
  <c r="K84" i="19"/>
  <c r="K100" i="19" s="1"/>
  <c r="J84" i="19"/>
  <c r="J100" i="19" s="1"/>
  <c r="I84" i="19"/>
  <c r="I100" i="19" s="1"/>
  <c r="H84" i="19"/>
  <c r="G5" i="19" s="1"/>
  <c r="G84" i="19"/>
  <c r="G100" i="19" s="1"/>
  <c r="F84" i="19"/>
  <c r="F100" i="19" s="1"/>
  <c r="E84" i="19"/>
  <c r="E100" i="19" s="1"/>
  <c r="D84" i="19"/>
  <c r="D100" i="19" s="1"/>
  <c r="C84" i="19"/>
  <c r="C100" i="19" s="1"/>
  <c r="B84" i="19"/>
  <c r="AN83" i="19"/>
  <c r="AI83" i="19"/>
  <c r="AH83" i="19"/>
  <c r="AN82" i="19"/>
  <c r="AI82" i="19"/>
  <c r="AH82" i="19"/>
  <c r="AN81" i="19"/>
  <c r="AI81" i="19"/>
  <c r="AH81" i="19"/>
  <c r="AI80" i="19"/>
  <c r="AH80" i="19"/>
  <c r="AI79" i="19"/>
  <c r="AH79" i="19"/>
  <c r="AI78" i="19"/>
  <c r="AH78" i="19"/>
  <c r="AI77" i="19"/>
  <c r="AH77" i="19"/>
  <c r="AI76" i="19"/>
  <c r="AH76" i="19"/>
  <c r="AI75" i="19"/>
  <c r="AH75" i="19"/>
  <c r="AI74" i="19"/>
  <c r="AH74" i="19"/>
  <c r="AI73" i="19"/>
  <c r="AH73" i="19"/>
  <c r="AG72" i="19"/>
  <c r="AF72" i="19"/>
  <c r="AE72" i="19"/>
  <c r="AD72" i="19"/>
  <c r="AC72" i="19"/>
  <c r="AB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B72" i="19"/>
  <c r="AI71" i="19"/>
  <c r="AH71" i="19"/>
  <c r="AI70" i="19"/>
  <c r="AH70" i="19"/>
  <c r="AI69" i="19"/>
  <c r="AH69" i="19"/>
  <c r="AF68" i="19"/>
  <c r="AE68" i="19"/>
  <c r="AD68" i="19"/>
  <c r="AC68" i="19"/>
  <c r="AB68" i="19"/>
  <c r="Z68" i="19"/>
  <c r="Y68" i="19"/>
  <c r="X68" i="19"/>
  <c r="W68" i="19"/>
  <c r="V68" i="19"/>
  <c r="U68" i="19"/>
  <c r="T68" i="19"/>
  <c r="S68" i="19"/>
  <c r="R68" i="19"/>
  <c r="Q68" i="19"/>
  <c r="P68" i="19"/>
  <c r="O68" i="19"/>
  <c r="N68" i="19"/>
  <c r="M68" i="19"/>
  <c r="L68" i="19"/>
  <c r="J68" i="19"/>
  <c r="I68" i="19"/>
  <c r="H68" i="19"/>
  <c r="G68" i="19"/>
  <c r="F68" i="19"/>
  <c r="E68" i="19"/>
  <c r="D68" i="19"/>
  <c r="C68" i="19"/>
  <c r="B68" i="19"/>
  <c r="AI67" i="19"/>
  <c r="AH67" i="19"/>
  <c r="AG67" i="19"/>
  <c r="AG68" i="19" s="1"/>
  <c r="AG3" i="19" s="1"/>
  <c r="AI66" i="19"/>
  <c r="AH66" i="19"/>
  <c r="AI65" i="19"/>
  <c r="AH65" i="19"/>
  <c r="AI64" i="19"/>
  <c r="AH64" i="19"/>
  <c r="AI63" i="19"/>
  <c r="AH63" i="19"/>
  <c r="AI62" i="19"/>
  <c r="AH62" i="19"/>
  <c r="AI61" i="19"/>
  <c r="AH61" i="19"/>
  <c r="AI60" i="19"/>
  <c r="AH60" i="19"/>
  <c r="AI59" i="19"/>
  <c r="AH59" i="19"/>
  <c r="AI58" i="19"/>
  <c r="AH58" i="19"/>
  <c r="AI57" i="19"/>
  <c r="AH57" i="19"/>
  <c r="AI56" i="19"/>
  <c r="AH56" i="19"/>
  <c r="AI55" i="19"/>
  <c r="AH55" i="19"/>
  <c r="AG54" i="19"/>
  <c r="AF54" i="19"/>
  <c r="AE54" i="19"/>
  <c r="AD54" i="19"/>
  <c r="AC54" i="19"/>
  <c r="AB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J54" i="19"/>
  <c r="I54" i="19"/>
  <c r="H54" i="19"/>
  <c r="G54" i="19"/>
  <c r="F54" i="19"/>
  <c r="E54" i="19"/>
  <c r="D54" i="19"/>
  <c r="C54" i="19"/>
  <c r="B54" i="19"/>
  <c r="AI53" i="19"/>
  <c r="AH53" i="19"/>
  <c r="AI52" i="19"/>
  <c r="AH52" i="19"/>
  <c r="AI51" i="19"/>
  <c r="AH51" i="19"/>
  <c r="AG50" i="19"/>
  <c r="AF50" i="19"/>
  <c r="AE50" i="19"/>
  <c r="AD50" i="19"/>
  <c r="AC50" i="19"/>
  <c r="AB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J50" i="19"/>
  <c r="I50" i="19"/>
  <c r="H50" i="19"/>
  <c r="G50" i="19"/>
  <c r="F50" i="19"/>
  <c r="E50" i="19"/>
  <c r="D50" i="19"/>
  <c r="C50" i="19"/>
  <c r="B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Z5" i="19"/>
  <c r="S5" i="19"/>
  <c r="AG4" i="19"/>
  <c r="K4" i="19"/>
  <c r="E4" i="19"/>
  <c r="H4" i="19" s="1"/>
  <c r="B4" i="19"/>
  <c r="D246" i="19" s="1"/>
  <c r="AB49" i="18"/>
  <c r="AA113" i="18"/>
  <c r="AA49" i="18"/>
  <c r="Z113" i="18"/>
  <c r="Z49" i="18"/>
  <c r="Y113" i="18"/>
  <c r="Y49" i="18"/>
  <c r="X113" i="18"/>
  <c r="X49" i="18"/>
  <c r="W113" i="18"/>
  <c r="W49" i="18"/>
  <c r="V113" i="18"/>
  <c r="U113" i="18"/>
  <c r="U49" i="18"/>
  <c r="AE5" i="19" l="1"/>
  <c r="AD5" i="19"/>
  <c r="AC5" i="19"/>
  <c r="AB5" i="19"/>
  <c r="AA5" i="19"/>
  <c r="AD89" i="19"/>
  <c r="AD91" i="19" s="1"/>
  <c r="AD7" i="19" s="1"/>
  <c r="W5" i="19"/>
  <c r="V5" i="19"/>
  <c r="AH72" i="19"/>
  <c r="X89" i="19"/>
  <c r="X91" i="19" s="1"/>
  <c r="X92" i="19" s="1"/>
  <c r="AF89" i="19"/>
  <c r="AF91" i="19" s="1"/>
  <c r="AF7" i="19" s="1"/>
  <c r="B110" i="19"/>
  <c r="AG89" i="19"/>
  <c r="AB89" i="19"/>
  <c r="AB91" i="19" s="1"/>
  <c r="AT249" i="19" s="1"/>
  <c r="AC89" i="19"/>
  <c r="AC91" i="19" s="1"/>
  <c r="AC92" i="19" s="1"/>
  <c r="W89" i="19"/>
  <c r="W91" i="19" s="1"/>
  <c r="AO249" i="19" s="1"/>
  <c r="AE89" i="19"/>
  <c r="AE91" i="19" s="1"/>
  <c r="AE92" i="19" s="1"/>
  <c r="Z89" i="19"/>
  <c r="Z91" i="19" s="1"/>
  <c r="AR249" i="19" s="1"/>
  <c r="AS249" i="19"/>
  <c r="U5" i="19"/>
  <c r="V89" i="19"/>
  <c r="V91" i="19" s="1"/>
  <c r="V92" i="19" s="1"/>
  <c r="T5" i="19"/>
  <c r="U89" i="19"/>
  <c r="U91" i="19" s="1"/>
  <c r="U92" i="19" s="1"/>
  <c r="T89" i="19"/>
  <c r="T91" i="19" s="1"/>
  <c r="AL249" i="19" s="1"/>
  <c r="R5" i="19"/>
  <c r="S89" i="19"/>
  <c r="S91" i="19" s="1"/>
  <c r="S7" i="19" s="1"/>
  <c r="Y89" i="19"/>
  <c r="Y91" i="19" s="1"/>
  <c r="Y92" i="19" s="1"/>
  <c r="R89" i="19"/>
  <c r="R91" i="19" s="1"/>
  <c r="R7" i="19" s="1"/>
  <c r="Q89" i="19"/>
  <c r="Q91" i="19" s="1"/>
  <c r="Q7" i="19" s="1"/>
  <c r="P100" i="19"/>
  <c r="P89" i="19"/>
  <c r="P91" i="19" s="1"/>
  <c r="P7" i="19" s="1"/>
  <c r="N5" i="19"/>
  <c r="O89" i="19"/>
  <c r="O91" i="19" s="1"/>
  <c r="O7" i="19" s="1"/>
  <c r="M5" i="19"/>
  <c r="N89" i="19"/>
  <c r="N91" i="19" s="1"/>
  <c r="AF249" i="19" s="1"/>
  <c r="L5" i="19"/>
  <c r="M89" i="19"/>
  <c r="M91" i="19" s="1"/>
  <c r="M7" i="19" s="1"/>
  <c r="L89" i="19"/>
  <c r="L91" i="19" s="1"/>
  <c r="AD249" i="19" s="1"/>
  <c r="K5" i="19"/>
  <c r="J5" i="19"/>
  <c r="K89" i="19"/>
  <c r="K91" i="19" s="1"/>
  <c r="J89" i="19"/>
  <c r="J91" i="19" s="1"/>
  <c r="J7" i="19" s="1"/>
  <c r="I89" i="19"/>
  <c r="I91" i="19" s="1"/>
  <c r="AA249" i="19" s="1"/>
  <c r="H100" i="19"/>
  <c r="H89" i="19"/>
  <c r="H91" i="19" s="1"/>
  <c r="H92" i="19" s="1"/>
  <c r="F5" i="19"/>
  <c r="G89" i="19"/>
  <c r="G91" i="19" s="1"/>
  <c r="Y249" i="19" s="1"/>
  <c r="E5" i="19"/>
  <c r="F89" i="19"/>
  <c r="F91" i="19" s="1"/>
  <c r="F7" i="19" s="1"/>
  <c r="E89" i="19"/>
  <c r="E91" i="19" s="1"/>
  <c r="E92" i="19" s="1"/>
  <c r="D5" i="19"/>
  <c r="AH68" i="19"/>
  <c r="C5" i="19"/>
  <c r="D89" i="19"/>
  <c r="D91" i="19" s="1"/>
  <c r="V249" i="19" s="1"/>
  <c r="C89" i="19"/>
  <c r="C91" i="19" s="1"/>
  <c r="C92" i="19" s="1"/>
  <c r="B5" i="19"/>
  <c r="AH84" i="19"/>
  <c r="AI54" i="19"/>
  <c r="B89" i="19"/>
  <c r="B91" i="19" s="1"/>
  <c r="AF5" i="19"/>
  <c r="AI68" i="19"/>
  <c r="S246" i="19"/>
  <c r="R92" i="19"/>
  <c r="AJ249" i="19"/>
  <c r="W249" i="19"/>
  <c r="J232" i="19"/>
  <c r="K232" i="19" s="1"/>
  <c r="L232" i="19" s="1"/>
  <c r="M232" i="19" s="1"/>
  <c r="N232" i="19" s="1"/>
  <c r="O232" i="19" s="1"/>
  <c r="P232" i="19" s="1"/>
  <c r="AG249" i="19"/>
  <c r="AG91" i="19"/>
  <c r="H7" i="19"/>
  <c r="G92" i="19"/>
  <c r="I7" i="19"/>
  <c r="Q92" i="19"/>
  <c r="AI72" i="19"/>
  <c r="D110" i="19"/>
  <c r="Q100" i="19"/>
  <c r="F234" i="19"/>
  <c r="I5" i="19"/>
  <c r="Q5" i="19"/>
  <c r="Y5" i="19"/>
  <c r="AH50" i="19"/>
  <c r="AH54" i="19"/>
  <c r="AI84" i="19"/>
  <c r="B100" i="19"/>
  <c r="E229" i="19"/>
  <c r="H5" i="19"/>
  <c r="AI50" i="19"/>
  <c r="AG2" i="19"/>
  <c r="AG6" i="19" s="1"/>
  <c r="B235" i="19"/>
  <c r="Y100" i="19"/>
  <c r="T113" i="18"/>
  <c r="T49" i="18"/>
  <c r="S113" i="18"/>
  <c r="S49" i="18"/>
  <c r="AD92" i="19" l="1"/>
  <c r="AV249" i="19"/>
  <c r="AE7" i="19"/>
  <c r="AW249" i="19"/>
  <c r="AF92" i="19"/>
  <c r="AB92" i="19"/>
  <c r="AP249" i="19"/>
  <c r="AA7" i="19"/>
  <c r="Z7" i="19"/>
  <c r="Y7" i="19"/>
  <c r="X7" i="19"/>
  <c r="T7" i="19"/>
  <c r="AC7" i="19"/>
  <c r="AQ249" i="19"/>
  <c r="AU249" i="19"/>
  <c r="P92" i="19"/>
  <c r="W7" i="19"/>
  <c r="W92" i="19"/>
  <c r="I92" i="19"/>
  <c r="AX249" i="19"/>
  <c r="AB7" i="19"/>
  <c r="AB249" i="19"/>
  <c r="L92" i="19"/>
  <c r="M92" i="19"/>
  <c r="AI249" i="19"/>
  <c r="E7" i="19"/>
  <c r="J92" i="19"/>
  <c r="Z92" i="19"/>
  <c r="L7" i="19"/>
  <c r="V7" i="19"/>
  <c r="AN249" i="19"/>
  <c r="AM249" i="19"/>
  <c r="U7" i="19"/>
  <c r="T92" i="19"/>
  <c r="AK249" i="19"/>
  <c r="S92" i="19"/>
  <c r="N92" i="19"/>
  <c r="C244" i="19"/>
  <c r="N7" i="19"/>
  <c r="O92" i="19"/>
  <c r="AH249" i="19"/>
  <c r="AE249" i="19"/>
  <c r="AC249" i="19"/>
  <c r="K92" i="19"/>
  <c r="K7" i="19"/>
  <c r="B244" i="19"/>
  <c r="Z249" i="19"/>
  <c r="G7" i="19"/>
  <c r="F92" i="19"/>
  <c r="X249" i="19"/>
  <c r="C7" i="19"/>
  <c r="D92" i="19"/>
  <c r="D7" i="19"/>
  <c r="AH89" i="19"/>
  <c r="U249" i="19"/>
  <c r="AI89" i="19"/>
  <c r="F229" i="19"/>
  <c r="E235" i="19"/>
  <c r="E110" i="19"/>
  <c r="E270" i="19"/>
  <c r="G234" i="19"/>
  <c r="AH91" i="19"/>
  <c r="B7" i="19"/>
  <c r="B92" i="19"/>
  <c r="AI91" i="19"/>
  <c r="T249" i="19"/>
  <c r="AH100" i="19"/>
  <c r="AI100" i="19"/>
  <c r="K6" i="19" l="1"/>
  <c r="A7" i="19"/>
  <c r="F270" i="19"/>
  <c r="H234" i="19"/>
  <c r="G229" i="19"/>
  <c r="F110" i="19"/>
  <c r="F235" i="19"/>
  <c r="AI92" i="19"/>
  <c r="AH92" i="19"/>
  <c r="G270" i="19" l="1"/>
  <c r="I234" i="19"/>
  <c r="H229" i="19"/>
  <c r="G235" i="19"/>
  <c r="G110" i="19"/>
  <c r="I229" i="19" l="1"/>
  <c r="H110" i="19"/>
  <c r="H235" i="19"/>
  <c r="H270" i="19"/>
  <c r="J234" i="19"/>
  <c r="K234" i="19" l="1"/>
  <c r="I270" i="19"/>
  <c r="I110" i="19"/>
  <c r="J229" i="19"/>
  <c r="J110" i="19" l="1"/>
  <c r="K229" i="19"/>
  <c r="J270" i="19"/>
  <c r="L234" i="19"/>
  <c r="K270" i="19" l="1"/>
  <c r="M234" i="19"/>
  <c r="K110" i="19"/>
  <c r="L229" i="19"/>
  <c r="M229" i="19" l="1"/>
  <c r="L110" i="19"/>
  <c r="N234" i="19"/>
  <c r="L270" i="19"/>
  <c r="M270" i="19" l="1"/>
  <c r="O234" i="19"/>
  <c r="N229" i="19"/>
  <c r="M110" i="19"/>
  <c r="N110" i="19" l="1"/>
  <c r="O229" i="19"/>
  <c r="N270" i="19"/>
  <c r="P234" i="19"/>
  <c r="O270" i="19" s="1"/>
  <c r="P229" i="19" l="1"/>
  <c r="O110" i="19"/>
  <c r="AI110" i="19" l="1"/>
  <c r="AH110" i="19"/>
  <c r="N49" i="18" l="1"/>
  <c r="L49" i="18" l="1"/>
  <c r="M49" i="18"/>
  <c r="K49" i="18"/>
  <c r="AI49" i="18" s="1"/>
  <c r="I49" i="18"/>
  <c r="J49" i="18"/>
  <c r="H49" i="18"/>
  <c r="G49" i="18"/>
  <c r="F49" i="18"/>
  <c r="E49" i="18"/>
  <c r="D49" i="18"/>
  <c r="D113" i="18"/>
  <c r="D110" i="18" s="1"/>
  <c r="D50" i="18"/>
  <c r="D54" i="18"/>
  <c r="D68" i="18"/>
  <c r="D72" i="18"/>
  <c r="C113" i="18"/>
  <c r="C49" i="18"/>
  <c r="C50" i="18"/>
  <c r="C54" i="18"/>
  <c r="C68" i="18"/>
  <c r="C72" i="18"/>
  <c r="C84" i="18"/>
  <c r="C100" i="18" s="1"/>
  <c r="B113" i="18"/>
  <c r="B110" i="18"/>
  <c r="B49" i="18"/>
  <c r="B84" i="18"/>
  <c r="B100" i="18" s="1"/>
  <c r="B72" i="18"/>
  <c r="B68" i="18"/>
  <c r="B54" i="18"/>
  <c r="B50" i="18"/>
  <c r="AF274" i="18"/>
  <c r="AE274" i="18"/>
  <c r="AD274" i="18"/>
  <c r="AC274" i="18"/>
  <c r="AB274" i="18"/>
  <c r="AA274" i="18"/>
  <c r="Z274" i="18"/>
  <c r="Y274" i="18"/>
  <c r="X274" i="18"/>
  <c r="W274" i="18"/>
  <c r="V274" i="18"/>
  <c r="U274" i="18"/>
  <c r="T274" i="18"/>
  <c r="S274" i="18"/>
  <c r="R274" i="18"/>
  <c r="Q274" i="18"/>
  <c r="P274" i="18"/>
  <c r="O274" i="18"/>
  <c r="N274" i="18"/>
  <c r="M274" i="18"/>
  <c r="L274" i="18"/>
  <c r="K274" i="18"/>
  <c r="J274" i="18"/>
  <c r="I274" i="18"/>
  <c r="H274" i="18"/>
  <c r="G274" i="18"/>
  <c r="F274" i="18"/>
  <c r="E274" i="18"/>
  <c r="D274" i="18"/>
  <c r="C274" i="18"/>
  <c r="B274" i="18"/>
  <c r="A274" i="18"/>
  <c r="AF273" i="18"/>
  <c r="AE273" i="18"/>
  <c r="AD273" i="18"/>
  <c r="AC273" i="18"/>
  <c r="AB273" i="18"/>
  <c r="AA273" i="18"/>
  <c r="Z273" i="18"/>
  <c r="Y273" i="18"/>
  <c r="X273" i="18"/>
  <c r="W273" i="18"/>
  <c r="V273" i="18"/>
  <c r="U273" i="18"/>
  <c r="T273" i="18"/>
  <c r="S273" i="18"/>
  <c r="R273" i="18"/>
  <c r="Q273" i="18"/>
  <c r="P273" i="18"/>
  <c r="O273" i="18"/>
  <c r="N273" i="18"/>
  <c r="M273" i="18"/>
  <c r="L273" i="18"/>
  <c r="K273" i="18"/>
  <c r="J273" i="18"/>
  <c r="I273" i="18"/>
  <c r="H273" i="18"/>
  <c r="G273" i="18"/>
  <c r="F273" i="18"/>
  <c r="E273" i="18"/>
  <c r="D273" i="18"/>
  <c r="C273" i="18"/>
  <c r="B273" i="18"/>
  <c r="A273" i="18"/>
  <c r="AF272" i="18"/>
  <c r="AE272" i="18"/>
  <c r="AD272" i="18"/>
  <c r="AC272" i="18"/>
  <c r="AB272" i="18"/>
  <c r="AA272" i="18"/>
  <c r="Z272" i="18"/>
  <c r="Y272" i="18"/>
  <c r="X272" i="18"/>
  <c r="W272" i="18"/>
  <c r="V272" i="18"/>
  <c r="U272" i="18"/>
  <c r="T272" i="18"/>
  <c r="S272" i="18"/>
  <c r="R272" i="18"/>
  <c r="Q272" i="18"/>
  <c r="P272" i="18"/>
  <c r="O272" i="18"/>
  <c r="N272" i="18"/>
  <c r="M272" i="18"/>
  <c r="L272" i="18"/>
  <c r="K272" i="18"/>
  <c r="J272" i="18"/>
  <c r="I272" i="18"/>
  <c r="H272" i="18"/>
  <c r="G272" i="18"/>
  <c r="F272" i="18"/>
  <c r="E272" i="18"/>
  <c r="D272" i="18"/>
  <c r="C272" i="18"/>
  <c r="B272" i="18"/>
  <c r="A272" i="18"/>
  <c r="AF271" i="18"/>
  <c r="AE271" i="18"/>
  <c r="AD271" i="18"/>
  <c r="AC271" i="18"/>
  <c r="AB271" i="18"/>
  <c r="AA271" i="18"/>
  <c r="Z271" i="18"/>
  <c r="Y271" i="18"/>
  <c r="X271" i="18"/>
  <c r="W271" i="18"/>
  <c r="V271" i="18"/>
  <c r="U271" i="18"/>
  <c r="T271" i="18"/>
  <c r="S271" i="18"/>
  <c r="R271" i="18"/>
  <c r="Q271" i="18"/>
  <c r="P271" i="18"/>
  <c r="O271" i="18"/>
  <c r="N271" i="18"/>
  <c r="M271" i="18"/>
  <c r="L271" i="18"/>
  <c r="K271" i="18"/>
  <c r="J271" i="18"/>
  <c r="I271" i="18"/>
  <c r="H271" i="18"/>
  <c r="G271" i="18"/>
  <c r="F271" i="18"/>
  <c r="E271" i="18"/>
  <c r="D271" i="18"/>
  <c r="C271" i="18"/>
  <c r="B271" i="18"/>
  <c r="A271" i="18"/>
  <c r="AE270" i="18"/>
  <c r="AD270" i="18"/>
  <c r="AC270" i="18"/>
  <c r="AB270" i="18"/>
  <c r="AA270" i="18"/>
  <c r="Z270" i="18"/>
  <c r="Y270" i="18"/>
  <c r="X270" i="18"/>
  <c r="W270" i="18"/>
  <c r="V270" i="18"/>
  <c r="U270" i="18"/>
  <c r="T270" i="18"/>
  <c r="S270" i="18"/>
  <c r="R270" i="18"/>
  <c r="Q270" i="18"/>
  <c r="P270" i="18"/>
  <c r="B270" i="18"/>
  <c r="S245" i="18"/>
  <c r="AG235" i="18"/>
  <c r="AF235" i="18"/>
  <c r="AE235" i="18"/>
  <c r="AD235" i="18"/>
  <c r="AC235" i="18"/>
  <c r="AB235" i="18"/>
  <c r="AA235" i="18"/>
  <c r="Z235" i="18"/>
  <c r="Y235" i="18"/>
  <c r="X235" i="18"/>
  <c r="W235" i="18"/>
  <c r="V235" i="18"/>
  <c r="U235" i="18"/>
  <c r="T235" i="18"/>
  <c r="S235" i="18"/>
  <c r="R235" i="18"/>
  <c r="Q235" i="18"/>
  <c r="C235" i="18"/>
  <c r="D234" i="18"/>
  <c r="E234" i="18" s="1"/>
  <c r="B234" i="18"/>
  <c r="AF270" i="18" s="1"/>
  <c r="G233" i="18"/>
  <c r="H233" i="18" s="1"/>
  <c r="I233" i="18" s="1"/>
  <c r="J233" i="18" s="1"/>
  <c r="K233" i="18" s="1"/>
  <c r="L233" i="18" s="1"/>
  <c r="M233" i="18" s="1"/>
  <c r="N233" i="18" s="1"/>
  <c r="O233" i="18" s="1"/>
  <c r="P233" i="18" s="1"/>
  <c r="F233" i="18"/>
  <c r="E233" i="18"/>
  <c r="D233" i="18"/>
  <c r="B233" i="18"/>
  <c r="E232" i="18"/>
  <c r="F232" i="18" s="1"/>
  <c r="G232" i="18" s="1"/>
  <c r="H232" i="18" s="1"/>
  <c r="I232" i="18" s="1"/>
  <c r="D232" i="18"/>
  <c r="B232" i="18"/>
  <c r="F231" i="18"/>
  <c r="G231" i="18" s="1"/>
  <c r="H231" i="18" s="1"/>
  <c r="E231" i="18"/>
  <c r="D231" i="18"/>
  <c r="B231" i="18"/>
  <c r="D230" i="18"/>
  <c r="D235" i="18" s="1"/>
  <c r="B230" i="18"/>
  <c r="G229" i="18"/>
  <c r="H229" i="18" s="1"/>
  <c r="F229" i="18"/>
  <c r="E229" i="18"/>
  <c r="D229" i="18"/>
  <c r="B229" i="18"/>
  <c r="AG227" i="18"/>
  <c r="AF227" i="18"/>
  <c r="AE227" i="18"/>
  <c r="AD227" i="18"/>
  <c r="AC227" i="18"/>
  <c r="AB227" i="18"/>
  <c r="AA227" i="18"/>
  <c r="Z227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AI120" i="18"/>
  <c r="AH120" i="18"/>
  <c r="AI119" i="18"/>
  <c r="AH119" i="18"/>
  <c r="AI118" i="18"/>
  <c r="AH118" i="18"/>
  <c r="AI117" i="18"/>
  <c r="AH117" i="18"/>
  <c r="AI116" i="18"/>
  <c r="AH116" i="18"/>
  <c r="AI115" i="18"/>
  <c r="AH115" i="18"/>
  <c r="AI114" i="18"/>
  <c r="AH114" i="18"/>
  <c r="AI112" i="18"/>
  <c r="AH112" i="18"/>
  <c r="AI111" i="18"/>
  <c r="AH111" i="18"/>
  <c r="AF110" i="18"/>
  <c r="AE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AI109" i="18"/>
  <c r="AH109" i="18"/>
  <c r="AI108" i="18"/>
  <c r="AH108" i="18"/>
  <c r="AI107" i="18"/>
  <c r="AH107" i="18"/>
  <c r="AI106" i="18"/>
  <c r="AH106" i="18"/>
  <c r="AI105" i="18"/>
  <c r="AH105" i="18"/>
  <c r="AI104" i="18"/>
  <c r="AH104" i="18"/>
  <c r="AI103" i="18"/>
  <c r="AH103" i="18"/>
  <c r="AI102" i="18"/>
  <c r="AH102" i="18"/>
  <c r="AI101" i="18"/>
  <c r="AH101" i="18"/>
  <c r="O100" i="18"/>
  <c r="AI99" i="18"/>
  <c r="AH99" i="18"/>
  <c r="AI98" i="18"/>
  <c r="AH98" i="18"/>
  <c r="AI97" i="18"/>
  <c r="AH97" i="18"/>
  <c r="AI96" i="18"/>
  <c r="AH96" i="18"/>
  <c r="AI95" i="18"/>
  <c r="AH95" i="18"/>
  <c r="AI94" i="18"/>
  <c r="AH94" i="18"/>
  <c r="AI93" i="18"/>
  <c r="AH93" i="18"/>
  <c r="AI90" i="18"/>
  <c r="AH90" i="18"/>
  <c r="AI88" i="18"/>
  <c r="AH88" i="18"/>
  <c r="AG88" i="18"/>
  <c r="AI87" i="18"/>
  <c r="AH87" i="18"/>
  <c r="AI86" i="18"/>
  <c r="AH86" i="18"/>
  <c r="AI85" i="18"/>
  <c r="AH85" i="18"/>
  <c r="AN84" i="18"/>
  <c r="AG84" i="18"/>
  <c r="AF84" i="18"/>
  <c r="AF100" i="18" s="1"/>
  <c r="AE84" i="18"/>
  <c r="AE100" i="18" s="1"/>
  <c r="AD84" i="18"/>
  <c r="AD100" i="18" s="1"/>
  <c r="AC84" i="18"/>
  <c r="AC100" i="18" s="1"/>
  <c r="AB84" i="18"/>
  <c r="AB100" i="18" s="1"/>
  <c r="AA84" i="18"/>
  <c r="Z5" i="18" s="1"/>
  <c r="Z84" i="18"/>
  <c r="Z100" i="18" s="1"/>
  <c r="Y84" i="18"/>
  <c r="X84" i="18"/>
  <c r="W5" i="18" s="1"/>
  <c r="W84" i="18"/>
  <c r="W100" i="18" s="1"/>
  <c r="V84" i="18"/>
  <c r="V100" i="18" s="1"/>
  <c r="U84" i="18"/>
  <c r="U100" i="18" s="1"/>
  <c r="T84" i="18"/>
  <c r="T100" i="18" s="1"/>
  <c r="S84" i="18"/>
  <c r="R5" i="18" s="1"/>
  <c r="R84" i="18"/>
  <c r="R100" i="18" s="1"/>
  <c r="Q84" i="18"/>
  <c r="P84" i="18"/>
  <c r="P100" i="18" s="1"/>
  <c r="O84" i="18"/>
  <c r="N84" i="18"/>
  <c r="N100" i="18" s="1"/>
  <c r="M84" i="18"/>
  <c r="M100" i="18" s="1"/>
  <c r="L84" i="18"/>
  <c r="L100" i="18" s="1"/>
  <c r="K84" i="18"/>
  <c r="J5" i="18" s="1"/>
  <c r="J84" i="18"/>
  <c r="J100" i="18" s="1"/>
  <c r="I84" i="18"/>
  <c r="H84" i="18"/>
  <c r="G5" i="18" s="1"/>
  <c r="G84" i="18"/>
  <c r="F5" i="18" s="1"/>
  <c r="F84" i="18"/>
  <c r="F100" i="18" s="1"/>
  <c r="E84" i="18"/>
  <c r="E100" i="18" s="1"/>
  <c r="D84" i="18"/>
  <c r="C5" i="18" s="1"/>
  <c r="AN83" i="18"/>
  <c r="AI83" i="18"/>
  <c r="AH83" i="18"/>
  <c r="AN82" i="18"/>
  <c r="AI82" i="18"/>
  <c r="AH82" i="18"/>
  <c r="AN81" i="18"/>
  <c r="AI81" i="18"/>
  <c r="AH81" i="18"/>
  <c r="AI80" i="18"/>
  <c r="AH80" i="18"/>
  <c r="AI79" i="18"/>
  <c r="AH79" i="18"/>
  <c r="AI78" i="18"/>
  <c r="AH78" i="18"/>
  <c r="AI77" i="18"/>
  <c r="AH77" i="18"/>
  <c r="AI76" i="18"/>
  <c r="AH76" i="18"/>
  <c r="AI75" i="18"/>
  <c r="AH75" i="18"/>
  <c r="AI74" i="18"/>
  <c r="AH74" i="18"/>
  <c r="AI73" i="18"/>
  <c r="AH73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AI71" i="18"/>
  <c r="AH71" i="18"/>
  <c r="AI70" i="18"/>
  <c r="AH70" i="18"/>
  <c r="AI69" i="18"/>
  <c r="AH69" i="18"/>
  <c r="AF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R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AI67" i="18"/>
  <c r="AH67" i="18"/>
  <c r="AG67" i="18"/>
  <c r="AG68" i="18" s="1"/>
  <c r="AI66" i="18"/>
  <c r="AH66" i="18"/>
  <c r="AI65" i="18"/>
  <c r="AH65" i="18"/>
  <c r="AI64" i="18"/>
  <c r="AH64" i="18"/>
  <c r="AI63" i="18"/>
  <c r="AH63" i="18"/>
  <c r="AI62" i="18"/>
  <c r="AH62" i="18"/>
  <c r="AI61" i="18"/>
  <c r="AH61" i="18"/>
  <c r="AI60" i="18"/>
  <c r="AH60" i="18"/>
  <c r="AI59" i="18"/>
  <c r="AH59" i="18"/>
  <c r="AI58" i="18"/>
  <c r="AH58" i="18"/>
  <c r="AI57" i="18"/>
  <c r="AH57" i="18"/>
  <c r="AI56" i="18"/>
  <c r="AH56" i="18"/>
  <c r="AI55" i="18"/>
  <c r="AH55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AI53" i="18"/>
  <c r="AH53" i="18"/>
  <c r="AI52" i="18"/>
  <c r="AH52" i="18"/>
  <c r="AI51" i="18"/>
  <c r="AH51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V5" i="18"/>
  <c r="S5" i="18"/>
  <c r="N5" i="18"/>
  <c r="K5" i="18"/>
  <c r="AG4" i="18"/>
  <c r="K4" i="18"/>
  <c r="E4" i="18"/>
  <c r="H4" i="18" s="1"/>
  <c r="B4" i="18"/>
  <c r="S246" i="18" s="1"/>
  <c r="AG2" i="18"/>
  <c r="AE113" i="17"/>
  <c r="AE49" i="17"/>
  <c r="AE50" i="17"/>
  <c r="AE54" i="17"/>
  <c r="AD113" i="17"/>
  <c r="AD49" i="17"/>
  <c r="AC113" i="17"/>
  <c r="AC49" i="17"/>
  <c r="AC50" i="17"/>
  <c r="AC54" i="17"/>
  <c r="AC68" i="17"/>
  <c r="Y113" i="17"/>
  <c r="V113" i="17"/>
  <c r="V49" i="17"/>
  <c r="AF89" i="18" l="1"/>
  <c r="AF91" i="18" s="1"/>
  <c r="AD5" i="18"/>
  <c r="AE89" i="18"/>
  <c r="AE91" i="18" s="1"/>
  <c r="AW249" i="18" s="1"/>
  <c r="AD89" i="18"/>
  <c r="AD91" i="18" s="1"/>
  <c r="AC5" i="18"/>
  <c r="AC89" i="18"/>
  <c r="AC91" i="18" s="1"/>
  <c r="AA5" i="18"/>
  <c r="AB89" i="18"/>
  <c r="AB91" i="18" s="1"/>
  <c r="AA100" i="18"/>
  <c r="AA89" i="18"/>
  <c r="AA91" i="18" s="1"/>
  <c r="Y5" i="18"/>
  <c r="Z89" i="18"/>
  <c r="Z91" i="18" s="1"/>
  <c r="Z92" i="18" s="1"/>
  <c r="Y89" i="18"/>
  <c r="Y91" i="18" s="1"/>
  <c r="X89" i="18"/>
  <c r="X91" i="18" s="1"/>
  <c r="W89" i="18"/>
  <c r="W91" i="18" s="1"/>
  <c r="U5" i="18"/>
  <c r="V89" i="18"/>
  <c r="V91" i="18" s="1"/>
  <c r="AN249" i="18" s="1"/>
  <c r="U89" i="18"/>
  <c r="U91" i="18" s="1"/>
  <c r="U92" i="18" s="1"/>
  <c r="T89" i="18"/>
  <c r="T91" i="18" s="1"/>
  <c r="S100" i="18"/>
  <c r="S89" i="18"/>
  <c r="S91" i="18" s="1"/>
  <c r="Q5" i="18"/>
  <c r="R89" i="18"/>
  <c r="R91" i="18" s="1"/>
  <c r="O89" i="18"/>
  <c r="O91" i="18" s="1"/>
  <c r="Q89" i="18"/>
  <c r="Q91" i="18" s="1"/>
  <c r="P89" i="18"/>
  <c r="P91" i="18" s="1"/>
  <c r="P7" i="18" s="1"/>
  <c r="M5" i="18"/>
  <c r="L89" i="18"/>
  <c r="L91" i="18" s="1"/>
  <c r="M89" i="18"/>
  <c r="M91" i="18" s="1"/>
  <c r="N89" i="18"/>
  <c r="N91" i="18" s="1"/>
  <c r="N92" i="18" s="1"/>
  <c r="K100" i="18"/>
  <c r="AH54" i="18"/>
  <c r="K89" i="18"/>
  <c r="K91" i="18" s="1"/>
  <c r="K92" i="18" s="1"/>
  <c r="I5" i="18"/>
  <c r="J89" i="18"/>
  <c r="J91" i="18" s="1"/>
  <c r="J7" i="18" s="1"/>
  <c r="I89" i="18"/>
  <c r="I91" i="18" s="1"/>
  <c r="I7" i="18" s="1"/>
  <c r="H89" i="18"/>
  <c r="H91" i="18" s="1"/>
  <c r="Z249" i="18" s="1"/>
  <c r="G89" i="18"/>
  <c r="G91" i="18" s="1"/>
  <c r="G92" i="18" s="1"/>
  <c r="G100" i="18"/>
  <c r="E5" i="18"/>
  <c r="F89" i="18"/>
  <c r="F91" i="18" s="1"/>
  <c r="F92" i="18" s="1"/>
  <c r="AI54" i="18"/>
  <c r="E89" i="18"/>
  <c r="E91" i="18" s="1"/>
  <c r="E7" i="18" s="1"/>
  <c r="AH113" i="18"/>
  <c r="D89" i="18"/>
  <c r="D91" i="18" s="1"/>
  <c r="D92" i="18" s="1"/>
  <c r="AH49" i="18"/>
  <c r="C89" i="18"/>
  <c r="C91" i="18" s="1"/>
  <c r="C92" i="18" s="1"/>
  <c r="C110" i="18"/>
  <c r="B5" i="18"/>
  <c r="AH68" i="18"/>
  <c r="AH72" i="18"/>
  <c r="AI113" i="18"/>
  <c r="B89" i="18"/>
  <c r="B91" i="18" s="1"/>
  <c r="B92" i="18" s="1"/>
  <c r="AF5" i="18"/>
  <c r="D246" i="18"/>
  <c r="V7" i="18"/>
  <c r="V92" i="18"/>
  <c r="AV249" i="18"/>
  <c r="AD92" i="18"/>
  <c r="AD7" i="18"/>
  <c r="T92" i="18"/>
  <c r="AL249" i="18"/>
  <c r="T7" i="18"/>
  <c r="J232" i="18"/>
  <c r="K232" i="18" s="1"/>
  <c r="L232" i="18" s="1"/>
  <c r="M232" i="18" s="1"/>
  <c r="N232" i="18" s="1"/>
  <c r="O232" i="18" s="1"/>
  <c r="P232" i="18" s="1"/>
  <c r="M92" i="18"/>
  <c r="M7" i="18"/>
  <c r="AE249" i="18"/>
  <c r="I229" i="18"/>
  <c r="D270" i="18"/>
  <c r="E110" i="18"/>
  <c r="F234" i="18"/>
  <c r="AG249" i="18"/>
  <c r="O7" i="18"/>
  <c r="O92" i="18"/>
  <c r="AO249" i="18"/>
  <c r="W7" i="18"/>
  <c r="W92" i="18"/>
  <c r="Q7" i="18"/>
  <c r="Q92" i="18"/>
  <c r="AI249" i="18"/>
  <c r="Y7" i="18"/>
  <c r="Y92" i="18"/>
  <c r="AQ249" i="18"/>
  <c r="AG91" i="18"/>
  <c r="U7" i="18"/>
  <c r="AF7" i="18"/>
  <c r="AX249" i="18"/>
  <c r="AF92" i="18"/>
  <c r="AG3" i="18"/>
  <c r="AG6" i="18" s="1"/>
  <c r="AG89" i="18"/>
  <c r="AC92" i="18"/>
  <c r="AC7" i="18"/>
  <c r="AU249" i="18"/>
  <c r="R7" i="18"/>
  <c r="R92" i="18"/>
  <c r="AJ249" i="18"/>
  <c r="L7" i="18"/>
  <c r="L92" i="18"/>
  <c r="AD249" i="18"/>
  <c r="X7" i="18"/>
  <c r="AP249" i="18"/>
  <c r="X92" i="18"/>
  <c r="AB92" i="18"/>
  <c r="AB7" i="18"/>
  <c r="AT249" i="18"/>
  <c r="U249" i="18"/>
  <c r="S7" i="18"/>
  <c r="S92" i="18"/>
  <c r="AK249" i="18"/>
  <c r="AA7" i="18"/>
  <c r="AA92" i="18"/>
  <c r="AS249" i="18"/>
  <c r="AI72" i="18"/>
  <c r="O5" i="18"/>
  <c r="AE5" i="18"/>
  <c r="AI68" i="18"/>
  <c r="H100" i="18"/>
  <c r="X100" i="18"/>
  <c r="E230" i="18"/>
  <c r="H5" i="18"/>
  <c r="P5" i="18"/>
  <c r="X5" i="18"/>
  <c r="AH84" i="18"/>
  <c r="I100" i="18"/>
  <c r="Q100" i="18"/>
  <c r="Y100" i="18"/>
  <c r="C270" i="18"/>
  <c r="AH50" i="18"/>
  <c r="AI84" i="18"/>
  <c r="D100" i="18"/>
  <c r="B235" i="18"/>
  <c r="D5" i="18"/>
  <c r="L5" i="18"/>
  <c r="T5" i="18"/>
  <c r="AB5" i="18"/>
  <c r="AI50" i="18"/>
  <c r="AE92" i="18" l="1"/>
  <c r="AE7" i="18"/>
  <c r="Z7" i="18"/>
  <c r="AR249" i="18"/>
  <c r="AM249" i="18"/>
  <c r="P92" i="18"/>
  <c r="AH249" i="18"/>
  <c r="N7" i="18"/>
  <c r="AF249" i="18"/>
  <c r="K7" i="18"/>
  <c r="AC249" i="18"/>
  <c r="H92" i="18"/>
  <c r="H7" i="18"/>
  <c r="J92" i="18"/>
  <c r="AB249" i="18"/>
  <c r="C7" i="18"/>
  <c r="G7" i="18"/>
  <c r="Y249" i="18"/>
  <c r="I92" i="18"/>
  <c r="AA249" i="18"/>
  <c r="B244" i="18"/>
  <c r="C244" i="18"/>
  <c r="AH100" i="18"/>
  <c r="F7" i="18"/>
  <c r="X249" i="18"/>
  <c r="D7" i="18"/>
  <c r="V249" i="18"/>
  <c r="AH89" i="18"/>
  <c r="AI89" i="18"/>
  <c r="W249" i="18"/>
  <c r="E92" i="18"/>
  <c r="AI100" i="18"/>
  <c r="B7" i="18"/>
  <c r="AI91" i="18"/>
  <c r="T249" i="18"/>
  <c r="AH91" i="18"/>
  <c r="E235" i="18"/>
  <c r="F230" i="18"/>
  <c r="J229" i="18"/>
  <c r="E270" i="18"/>
  <c r="G234" i="18"/>
  <c r="F110" i="18"/>
  <c r="K6" i="18" l="1"/>
  <c r="A7" i="18"/>
  <c r="G230" i="18"/>
  <c r="F235" i="18"/>
  <c r="F270" i="18"/>
  <c r="H234" i="18"/>
  <c r="G110" i="18"/>
  <c r="AI92" i="18"/>
  <c r="AH92" i="18"/>
  <c r="K229" i="18"/>
  <c r="L229" i="18" l="1"/>
  <c r="G270" i="18"/>
  <c r="I234" i="18"/>
  <c r="H110" i="18"/>
  <c r="H230" i="18"/>
  <c r="G235" i="18"/>
  <c r="H270" i="18" l="1"/>
  <c r="J234" i="18"/>
  <c r="I110" i="18"/>
  <c r="M229" i="18"/>
  <c r="I230" i="18"/>
  <c r="H235" i="18"/>
  <c r="N229" i="18" l="1"/>
  <c r="K234" i="18"/>
  <c r="I270" i="18"/>
  <c r="J110" i="18"/>
  <c r="J230" i="18"/>
  <c r="J270" i="18" l="1"/>
  <c r="L234" i="18"/>
  <c r="K110" i="18"/>
  <c r="O229" i="18"/>
  <c r="K230" i="18"/>
  <c r="L230" i="18" l="1"/>
  <c r="P229" i="18"/>
  <c r="M234" i="18"/>
  <c r="K270" i="18"/>
  <c r="L110" i="18"/>
  <c r="L270" i="18" l="1"/>
  <c r="N234" i="18"/>
  <c r="M110" i="18"/>
  <c r="M230" i="18"/>
  <c r="N230" i="18" l="1"/>
  <c r="M270" i="18"/>
  <c r="O234" i="18"/>
  <c r="N110" i="18"/>
  <c r="N270" i="18" l="1"/>
  <c r="P234" i="18"/>
  <c r="O270" i="18" s="1"/>
  <c r="O110" i="18"/>
  <c r="O230" i="18"/>
  <c r="P230" i="18" l="1"/>
  <c r="AI110" i="18"/>
  <c r="AH110" i="18"/>
  <c r="L113" i="17" l="1"/>
  <c r="K113" i="17"/>
  <c r="I113" i="17"/>
  <c r="J113" i="17"/>
  <c r="H50" i="17"/>
  <c r="I50" i="17"/>
  <c r="J50" i="17"/>
  <c r="H54" i="17"/>
  <c r="I54" i="17"/>
  <c r="J54" i="17"/>
  <c r="H68" i="17"/>
  <c r="I68" i="17"/>
  <c r="J68" i="17"/>
  <c r="H84" i="17"/>
  <c r="H89" i="17" s="1"/>
  <c r="H91" i="17" s="1"/>
  <c r="H92" i="17" s="1"/>
  <c r="I84" i="17"/>
  <c r="I100" i="17" s="1"/>
  <c r="J84" i="17"/>
  <c r="J100" i="17" s="1"/>
  <c r="G113" i="17"/>
  <c r="AH113" i="17" s="1"/>
  <c r="F113" i="17"/>
  <c r="E113" i="17"/>
  <c r="AF274" i="17"/>
  <c r="AE274" i="17"/>
  <c r="AD274" i="17"/>
  <c r="AC274" i="17"/>
  <c r="AB274" i="17"/>
  <c r="AA274" i="17"/>
  <c r="Z274" i="17"/>
  <c r="Y274" i="17"/>
  <c r="X274" i="17"/>
  <c r="W274" i="17"/>
  <c r="V274" i="17"/>
  <c r="U274" i="17"/>
  <c r="T274" i="17"/>
  <c r="S274" i="17"/>
  <c r="R274" i="17"/>
  <c r="Q274" i="17"/>
  <c r="P274" i="17"/>
  <c r="O274" i="17"/>
  <c r="N274" i="17"/>
  <c r="M274" i="17"/>
  <c r="L274" i="17"/>
  <c r="K274" i="17"/>
  <c r="J274" i="17"/>
  <c r="I274" i="17"/>
  <c r="H274" i="17"/>
  <c r="G274" i="17"/>
  <c r="F274" i="17"/>
  <c r="E274" i="17"/>
  <c r="D274" i="17"/>
  <c r="C274" i="17"/>
  <c r="B274" i="17"/>
  <c r="A274" i="17"/>
  <c r="AF273" i="17"/>
  <c r="AE273" i="17"/>
  <c r="AD273" i="17"/>
  <c r="AC273" i="17"/>
  <c r="AB273" i="17"/>
  <c r="AA273" i="17"/>
  <c r="Z273" i="17"/>
  <c r="Y273" i="17"/>
  <c r="X273" i="17"/>
  <c r="W273" i="17"/>
  <c r="V273" i="17"/>
  <c r="U273" i="17"/>
  <c r="T273" i="17"/>
  <c r="S273" i="17"/>
  <c r="R273" i="17"/>
  <c r="Q273" i="17"/>
  <c r="P273" i="17"/>
  <c r="O273" i="17"/>
  <c r="N273" i="17"/>
  <c r="M273" i="17"/>
  <c r="L273" i="17"/>
  <c r="K273" i="17"/>
  <c r="J273" i="17"/>
  <c r="I273" i="17"/>
  <c r="H273" i="17"/>
  <c r="G273" i="17"/>
  <c r="F273" i="17"/>
  <c r="E273" i="17"/>
  <c r="D273" i="17"/>
  <c r="C273" i="17"/>
  <c r="B273" i="17"/>
  <c r="A273" i="17"/>
  <c r="AF272" i="17"/>
  <c r="AE272" i="17"/>
  <c r="AD272" i="17"/>
  <c r="AC272" i="17"/>
  <c r="AB272" i="17"/>
  <c r="AA272" i="17"/>
  <c r="Z272" i="17"/>
  <c r="Y272" i="17"/>
  <c r="X272" i="17"/>
  <c r="W272" i="17"/>
  <c r="V272" i="17"/>
  <c r="U272" i="17"/>
  <c r="T272" i="17"/>
  <c r="S272" i="17"/>
  <c r="R272" i="17"/>
  <c r="Q272" i="17"/>
  <c r="P272" i="17"/>
  <c r="O272" i="17"/>
  <c r="N272" i="17"/>
  <c r="M272" i="17"/>
  <c r="L272" i="17"/>
  <c r="K272" i="17"/>
  <c r="J272" i="17"/>
  <c r="I272" i="17"/>
  <c r="H272" i="17"/>
  <c r="G272" i="17"/>
  <c r="F272" i="17"/>
  <c r="E272" i="17"/>
  <c r="D272" i="17"/>
  <c r="C272" i="17"/>
  <c r="B272" i="17"/>
  <c r="A272" i="17"/>
  <c r="AF271" i="17"/>
  <c r="AE271" i="17"/>
  <c r="AD271" i="17"/>
  <c r="AC271" i="17"/>
  <c r="AB271" i="17"/>
  <c r="AA271" i="17"/>
  <c r="Z271" i="17"/>
  <c r="Y271" i="17"/>
  <c r="X271" i="17"/>
  <c r="W271" i="17"/>
  <c r="V271" i="17"/>
  <c r="U271" i="17"/>
  <c r="T271" i="17"/>
  <c r="S271" i="17"/>
  <c r="R271" i="17"/>
  <c r="Q271" i="17"/>
  <c r="P271" i="17"/>
  <c r="O271" i="17"/>
  <c r="N271" i="17"/>
  <c r="M271" i="17"/>
  <c r="L271" i="17"/>
  <c r="K271" i="17"/>
  <c r="J271" i="17"/>
  <c r="I271" i="17"/>
  <c r="H271" i="17"/>
  <c r="G271" i="17"/>
  <c r="F271" i="17"/>
  <c r="E271" i="17"/>
  <c r="D271" i="17"/>
  <c r="C271" i="17"/>
  <c r="B271" i="17"/>
  <c r="A271" i="17"/>
  <c r="AE270" i="17"/>
  <c r="AD270" i="17"/>
  <c r="AC270" i="17"/>
  <c r="AB270" i="17"/>
  <c r="AA270" i="17"/>
  <c r="Z270" i="17"/>
  <c r="Y270" i="17"/>
  <c r="X270" i="17"/>
  <c r="W270" i="17"/>
  <c r="V270" i="17"/>
  <c r="U270" i="17"/>
  <c r="T270" i="17"/>
  <c r="S270" i="17"/>
  <c r="R270" i="17"/>
  <c r="Q270" i="17"/>
  <c r="P270" i="17"/>
  <c r="B270" i="17"/>
  <c r="S245" i="17"/>
  <c r="AG235" i="17"/>
  <c r="AF235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C235" i="17"/>
  <c r="D234" i="17"/>
  <c r="C270" i="17" s="1"/>
  <c r="B234" i="17"/>
  <c r="AF270" i="17" s="1"/>
  <c r="D233" i="17"/>
  <c r="E233" i="17" s="1"/>
  <c r="F233" i="17" s="1"/>
  <c r="G233" i="17" s="1"/>
  <c r="H233" i="17" s="1"/>
  <c r="I233" i="17" s="1"/>
  <c r="J233" i="17" s="1"/>
  <c r="K233" i="17" s="1"/>
  <c r="L233" i="17" s="1"/>
  <c r="M233" i="17" s="1"/>
  <c r="N233" i="17" s="1"/>
  <c r="O233" i="17" s="1"/>
  <c r="P233" i="17" s="1"/>
  <c r="B233" i="17"/>
  <c r="E232" i="17"/>
  <c r="F232" i="17" s="1"/>
  <c r="G232" i="17" s="1"/>
  <c r="H232" i="17" s="1"/>
  <c r="I232" i="17" s="1"/>
  <c r="D232" i="17"/>
  <c r="B232" i="17"/>
  <c r="D231" i="17"/>
  <c r="E231" i="17" s="1"/>
  <c r="F231" i="17" s="1"/>
  <c r="G231" i="17" s="1"/>
  <c r="H231" i="17" s="1"/>
  <c r="B231" i="17"/>
  <c r="D230" i="17"/>
  <c r="B230" i="17"/>
  <c r="D229" i="17"/>
  <c r="E229" i="17" s="1"/>
  <c r="F229" i="17" s="1"/>
  <c r="B229" i="17"/>
  <c r="AG227" i="17"/>
  <c r="AF227" i="17"/>
  <c r="AE227" i="17"/>
  <c r="AD227" i="17"/>
  <c r="AC227" i="17"/>
  <c r="AB227" i="17"/>
  <c r="AA227" i="17"/>
  <c r="Z227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AI120" i="17"/>
  <c r="AH120" i="17"/>
  <c r="AI119" i="17"/>
  <c r="AH119" i="17"/>
  <c r="AI118" i="17"/>
  <c r="AH118" i="17"/>
  <c r="AI117" i="17"/>
  <c r="AH117" i="17"/>
  <c r="AI116" i="17"/>
  <c r="AH116" i="17"/>
  <c r="AI115" i="17"/>
  <c r="AH115" i="17"/>
  <c r="AI114" i="17"/>
  <c r="AH114" i="17"/>
  <c r="AI112" i="17"/>
  <c r="AH112" i="17"/>
  <c r="AI111" i="17"/>
  <c r="AH111" i="17"/>
  <c r="AF110" i="17"/>
  <c r="AE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C110" i="17"/>
  <c r="AI109" i="17"/>
  <c r="AH109" i="17"/>
  <c r="AI108" i="17"/>
  <c r="AH108" i="17"/>
  <c r="AI107" i="17"/>
  <c r="AH107" i="17"/>
  <c r="AI106" i="17"/>
  <c r="AH106" i="17"/>
  <c r="AI105" i="17"/>
  <c r="AH105" i="17"/>
  <c r="AI104" i="17"/>
  <c r="AH104" i="17"/>
  <c r="AI103" i="17"/>
  <c r="AH103" i="17"/>
  <c r="AI102" i="17"/>
  <c r="AH102" i="17"/>
  <c r="AI101" i="17"/>
  <c r="AH101" i="17"/>
  <c r="AI99" i="17"/>
  <c r="AH99" i="17"/>
  <c r="AI98" i="17"/>
  <c r="AH98" i="17"/>
  <c r="AI97" i="17"/>
  <c r="AH97" i="17"/>
  <c r="AI96" i="17"/>
  <c r="AH96" i="17"/>
  <c r="AI95" i="17"/>
  <c r="AH95" i="17"/>
  <c r="AI94" i="17"/>
  <c r="AH94" i="17"/>
  <c r="AI93" i="17"/>
  <c r="AH93" i="17"/>
  <c r="AI90" i="17"/>
  <c r="AH90" i="17"/>
  <c r="AI88" i="17"/>
  <c r="AH88" i="17"/>
  <c r="AG88" i="17"/>
  <c r="AI87" i="17"/>
  <c r="AH87" i="17"/>
  <c r="AI86" i="17"/>
  <c r="AH86" i="17"/>
  <c r="AI85" i="17"/>
  <c r="AH85" i="17"/>
  <c r="AN84" i="17"/>
  <c r="AG84" i="17"/>
  <c r="AF84" i="17"/>
  <c r="AF100" i="17" s="1"/>
  <c r="AE84" i="17"/>
  <c r="AD5" i="17" s="1"/>
  <c r="AD84" i="17"/>
  <c r="AD100" i="17" s="1"/>
  <c r="AC84" i="17"/>
  <c r="AC100" i="17" s="1"/>
  <c r="AB84" i="17"/>
  <c r="AB100" i="17" s="1"/>
  <c r="AA84" i="17"/>
  <c r="AA100" i="17" s="1"/>
  <c r="Z84" i="17"/>
  <c r="Z100" i="17" s="1"/>
  <c r="Y84" i="17"/>
  <c r="Y100" i="17" s="1"/>
  <c r="X84" i="17"/>
  <c r="W5" i="17" s="1"/>
  <c r="W84" i="17"/>
  <c r="V5" i="17" s="1"/>
  <c r="V84" i="17"/>
  <c r="V100" i="17" s="1"/>
  <c r="U84" i="17"/>
  <c r="U100" i="17" s="1"/>
  <c r="T84" i="17"/>
  <c r="T100" i="17" s="1"/>
  <c r="S84" i="17"/>
  <c r="S100" i="17" s="1"/>
  <c r="R84" i="17"/>
  <c r="R100" i="17" s="1"/>
  <c r="Q84" i="17"/>
  <c r="Q100" i="17" s="1"/>
  <c r="P84" i="17"/>
  <c r="P100" i="17" s="1"/>
  <c r="O84" i="17"/>
  <c r="N5" i="17" s="1"/>
  <c r="N84" i="17"/>
  <c r="N100" i="17" s="1"/>
  <c r="M84" i="17"/>
  <c r="M100" i="17" s="1"/>
  <c r="L84" i="17"/>
  <c r="L100" i="17" s="1"/>
  <c r="K84" i="17"/>
  <c r="K100" i="17" s="1"/>
  <c r="G5" i="17"/>
  <c r="G84" i="17"/>
  <c r="F5" i="17" s="1"/>
  <c r="F84" i="17"/>
  <c r="F100" i="17" s="1"/>
  <c r="E84" i="17"/>
  <c r="E100" i="17" s="1"/>
  <c r="D84" i="17"/>
  <c r="D100" i="17" s="1"/>
  <c r="C84" i="17"/>
  <c r="C100" i="17" s="1"/>
  <c r="AI83" i="17"/>
  <c r="AH83" i="17"/>
  <c r="AN82" i="17"/>
  <c r="AI82" i="17"/>
  <c r="AH82" i="17"/>
  <c r="AN81" i="17"/>
  <c r="AN83" i="17" s="1"/>
  <c r="AI81" i="17"/>
  <c r="AH81" i="17"/>
  <c r="AI80" i="17"/>
  <c r="AH80" i="17"/>
  <c r="AI79" i="17"/>
  <c r="AH79" i="17"/>
  <c r="AI78" i="17"/>
  <c r="AH78" i="17"/>
  <c r="AI77" i="17"/>
  <c r="AH77" i="17"/>
  <c r="AI76" i="17"/>
  <c r="AH76" i="17"/>
  <c r="AI75" i="17"/>
  <c r="AH75" i="17"/>
  <c r="AI74" i="17"/>
  <c r="AH74" i="17"/>
  <c r="AI73" i="17"/>
  <c r="AH73" i="17"/>
  <c r="AG72" i="17"/>
  <c r="AG4" i="17" s="1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AI71" i="17"/>
  <c r="AH71" i="17"/>
  <c r="AI70" i="17"/>
  <c r="AH70" i="17"/>
  <c r="AI69" i="17"/>
  <c r="AH69" i="17"/>
  <c r="AF68" i="17"/>
  <c r="AE68" i="17"/>
  <c r="AD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G68" i="17"/>
  <c r="F68" i="17"/>
  <c r="E68" i="17"/>
  <c r="D68" i="17"/>
  <c r="C68" i="17"/>
  <c r="AI67" i="17"/>
  <c r="AH67" i="17"/>
  <c r="AG67" i="17"/>
  <c r="AG68" i="17" s="1"/>
  <c r="AG3" i="17" s="1"/>
  <c r="AI66" i="17"/>
  <c r="AH66" i="17"/>
  <c r="AI65" i="17"/>
  <c r="AH65" i="17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I56" i="17"/>
  <c r="AH56" i="17"/>
  <c r="AI55" i="17"/>
  <c r="AH55" i="17"/>
  <c r="AG54" i="17"/>
  <c r="AF54" i="17"/>
  <c r="AD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G54" i="17"/>
  <c r="F54" i="17"/>
  <c r="E54" i="17"/>
  <c r="D54" i="17"/>
  <c r="C54" i="17"/>
  <c r="AI53" i="17"/>
  <c r="AH53" i="17"/>
  <c r="AI52" i="17"/>
  <c r="AH52" i="17"/>
  <c r="AI51" i="17"/>
  <c r="AH51" i="17"/>
  <c r="AG50" i="17"/>
  <c r="AF50" i="17"/>
  <c r="AD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G50" i="17"/>
  <c r="F50" i="17"/>
  <c r="E50" i="17"/>
  <c r="D50" i="17"/>
  <c r="C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F5" i="17"/>
  <c r="M5" i="17"/>
  <c r="I5" i="17"/>
  <c r="K4" i="17"/>
  <c r="E4" i="17"/>
  <c r="H4" i="17" s="1"/>
  <c r="B4" i="17"/>
  <c r="S246" i="17" s="1"/>
  <c r="AG2" i="17"/>
  <c r="AE54" i="16"/>
  <c r="AC113" i="16"/>
  <c r="AG6" i="17" l="1"/>
  <c r="AI113" i="17"/>
  <c r="D235" i="17"/>
  <c r="N89" i="17"/>
  <c r="N91" i="17" s="1"/>
  <c r="AF89" i="17"/>
  <c r="AF91" i="17" s="1"/>
  <c r="D110" i="17"/>
  <c r="AG89" i="17"/>
  <c r="AG91" i="17"/>
  <c r="J5" i="17"/>
  <c r="AE89" i="17"/>
  <c r="AE91" i="17" s="1"/>
  <c r="AE100" i="17"/>
  <c r="AC5" i="17"/>
  <c r="AD89" i="17"/>
  <c r="AD91" i="17" s="1"/>
  <c r="AB5" i="17"/>
  <c r="AC89" i="17"/>
  <c r="AC91" i="17" s="1"/>
  <c r="AU249" i="17" s="1"/>
  <c r="AA5" i="17"/>
  <c r="AB89" i="17"/>
  <c r="AB91" i="17" s="1"/>
  <c r="AH72" i="17"/>
  <c r="Z5" i="17"/>
  <c r="AA89" i="17"/>
  <c r="AA91" i="17" s="1"/>
  <c r="Y5" i="17"/>
  <c r="Z89" i="17"/>
  <c r="Z91" i="17" s="1"/>
  <c r="Z7" i="17" s="1"/>
  <c r="Y89" i="17"/>
  <c r="Y91" i="17" s="1"/>
  <c r="Y7" i="17" s="1"/>
  <c r="X89" i="17"/>
  <c r="X91" i="17" s="1"/>
  <c r="X7" i="17" s="1"/>
  <c r="W100" i="17"/>
  <c r="W89" i="17"/>
  <c r="W91" i="17" s="1"/>
  <c r="U5" i="17"/>
  <c r="V89" i="17"/>
  <c r="V91" i="17" s="1"/>
  <c r="T5" i="17"/>
  <c r="U89" i="17"/>
  <c r="U91" i="17" s="1"/>
  <c r="AM249" i="17" s="1"/>
  <c r="S5" i="17"/>
  <c r="T89" i="17"/>
  <c r="T91" i="17" s="1"/>
  <c r="T92" i="17" s="1"/>
  <c r="R5" i="17"/>
  <c r="S89" i="17"/>
  <c r="S91" i="17" s="1"/>
  <c r="R89" i="17"/>
  <c r="R91" i="17" s="1"/>
  <c r="Q5" i="17"/>
  <c r="Q89" i="17"/>
  <c r="Q91" i="17" s="1"/>
  <c r="P89" i="17"/>
  <c r="P91" i="17" s="1"/>
  <c r="P7" i="17" s="1"/>
  <c r="O100" i="17"/>
  <c r="O89" i="17"/>
  <c r="O91" i="17" s="1"/>
  <c r="L5" i="17"/>
  <c r="M89" i="17"/>
  <c r="M91" i="17" s="1"/>
  <c r="M92" i="17" s="1"/>
  <c r="L89" i="17"/>
  <c r="L91" i="17" s="1"/>
  <c r="AD249" i="17" s="1"/>
  <c r="K5" i="17"/>
  <c r="K89" i="17"/>
  <c r="K91" i="17" s="1"/>
  <c r="AC249" i="17" s="1"/>
  <c r="I89" i="17"/>
  <c r="I91" i="17" s="1"/>
  <c r="I92" i="17" s="1"/>
  <c r="J89" i="17"/>
  <c r="J91" i="17" s="1"/>
  <c r="J92" i="17" s="1"/>
  <c r="G100" i="17"/>
  <c r="G89" i="17"/>
  <c r="G91" i="17" s="1"/>
  <c r="D5" i="17"/>
  <c r="E5" i="17"/>
  <c r="AH68" i="17"/>
  <c r="F89" i="17"/>
  <c r="F91" i="17" s="1"/>
  <c r="F92" i="17" s="1"/>
  <c r="E89" i="17"/>
  <c r="E91" i="17" s="1"/>
  <c r="E92" i="17" s="1"/>
  <c r="C5" i="17"/>
  <c r="D89" i="17"/>
  <c r="D91" i="17" s="1"/>
  <c r="D7" i="17" s="1"/>
  <c r="AI54" i="17"/>
  <c r="B5" i="17"/>
  <c r="C89" i="17"/>
  <c r="C91" i="17" s="1"/>
  <c r="C7" i="17" s="1"/>
  <c r="D246" i="17"/>
  <c r="Q7" i="17"/>
  <c r="AI249" i="17"/>
  <c r="Q92" i="17"/>
  <c r="R7" i="17"/>
  <c r="R92" i="17"/>
  <c r="AJ249" i="17"/>
  <c r="K7" i="17"/>
  <c r="S7" i="17"/>
  <c r="S92" i="17"/>
  <c r="AK249" i="17"/>
  <c r="AA7" i="17"/>
  <c r="AA92" i="17"/>
  <c r="AS249" i="17"/>
  <c r="G229" i="17"/>
  <c r="L92" i="17"/>
  <c r="L7" i="17"/>
  <c r="J232" i="17"/>
  <c r="K232" i="17" s="1"/>
  <c r="L232" i="17" s="1"/>
  <c r="M232" i="17" s="1"/>
  <c r="N232" i="17" s="1"/>
  <c r="O232" i="17" s="1"/>
  <c r="P232" i="17" s="1"/>
  <c r="AB92" i="17"/>
  <c r="AT249" i="17"/>
  <c r="AB7" i="17"/>
  <c r="AF249" i="17"/>
  <c r="N92" i="17"/>
  <c r="N7" i="17"/>
  <c r="AN249" i="17"/>
  <c r="V7" i="17"/>
  <c r="V92" i="17"/>
  <c r="AV249" i="17"/>
  <c r="AD92" i="17"/>
  <c r="AD7" i="17"/>
  <c r="AG249" i="17"/>
  <c r="O7" i="17"/>
  <c r="O92" i="17"/>
  <c r="AO249" i="17"/>
  <c r="W92" i="17"/>
  <c r="W7" i="17"/>
  <c r="AW249" i="17"/>
  <c r="AE92" i="17"/>
  <c r="AE7" i="17"/>
  <c r="T7" i="17"/>
  <c r="H7" i="17"/>
  <c r="Z249" i="17"/>
  <c r="AP249" i="17"/>
  <c r="AF7" i="17"/>
  <c r="AX249" i="17"/>
  <c r="AF92" i="17"/>
  <c r="U92" i="17"/>
  <c r="AI72" i="17"/>
  <c r="O5" i="17"/>
  <c r="AE5" i="17"/>
  <c r="AI68" i="17"/>
  <c r="H100" i="17"/>
  <c r="X100" i="17"/>
  <c r="E230" i="17"/>
  <c r="E234" i="17"/>
  <c r="H5" i="17"/>
  <c r="P5" i="17"/>
  <c r="X5" i="17"/>
  <c r="AH84" i="17"/>
  <c r="AH50" i="17"/>
  <c r="AH54" i="17"/>
  <c r="AI84" i="17"/>
  <c r="AI50" i="17"/>
  <c r="B235" i="17"/>
  <c r="U7" i="17" l="1"/>
  <c r="V249" i="17"/>
  <c r="D92" i="17"/>
  <c r="AC7" i="17"/>
  <c r="P92" i="17"/>
  <c r="AR249" i="17"/>
  <c r="AA249" i="17"/>
  <c r="AH249" i="17"/>
  <c r="AC92" i="17"/>
  <c r="X92" i="17"/>
  <c r="AQ249" i="17"/>
  <c r="Y92" i="17"/>
  <c r="Z92" i="17"/>
  <c r="AL249" i="17"/>
  <c r="AI100" i="17"/>
  <c r="AE249" i="17"/>
  <c r="M7" i="17"/>
  <c r="K92" i="17"/>
  <c r="I7" i="17"/>
  <c r="C244" i="17"/>
  <c r="AB249" i="17"/>
  <c r="J7" i="17"/>
  <c r="Y249" i="17"/>
  <c r="G92" i="17"/>
  <c r="B244" i="17"/>
  <c r="G7" i="17"/>
  <c r="F7" i="17"/>
  <c r="X249" i="17"/>
  <c r="E7" i="17"/>
  <c r="W249" i="17"/>
  <c r="AH89" i="17"/>
  <c r="U249" i="17"/>
  <c r="AI89" i="17"/>
  <c r="C92" i="17"/>
  <c r="E110" i="17"/>
  <c r="D270" i="17"/>
  <c r="F234" i="17"/>
  <c r="E235" i="17"/>
  <c r="F230" i="17"/>
  <c r="H229" i="17"/>
  <c r="B7" i="17"/>
  <c r="AI91" i="17"/>
  <c r="T249" i="17"/>
  <c r="AH91" i="17"/>
  <c r="AH100" i="17"/>
  <c r="K6" i="17" l="1"/>
  <c r="A7" i="17"/>
  <c r="I229" i="17"/>
  <c r="G230" i="17"/>
  <c r="F235" i="17"/>
  <c r="E270" i="17"/>
  <c r="G234" i="17"/>
  <c r="F110" i="17"/>
  <c r="AI92" i="17"/>
  <c r="AH92" i="17"/>
  <c r="F270" i="17" l="1"/>
  <c r="H234" i="17"/>
  <c r="G110" i="17"/>
  <c r="H230" i="17"/>
  <c r="G235" i="17"/>
  <c r="J229" i="17"/>
  <c r="I230" i="17" l="1"/>
  <c r="H235" i="17"/>
  <c r="G270" i="17"/>
  <c r="I234" i="17"/>
  <c r="H110" i="17"/>
  <c r="K229" i="17"/>
  <c r="H270" i="17" l="1"/>
  <c r="J234" i="17"/>
  <c r="I110" i="17"/>
  <c r="J230" i="17"/>
  <c r="L229" i="17"/>
  <c r="K230" i="17" l="1"/>
  <c r="K234" i="17"/>
  <c r="I270" i="17"/>
  <c r="J110" i="17"/>
  <c r="M229" i="17"/>
  <c r="N229" i="17" l="1"/>
  <c r="L234" i="17"/>
  <c r="J270" i="17"/>
  <c r="K110" i="17"/>
  <c r="L230" i="17"/>
  <c r="M230" i="17" l="1"/>
  <c r="K270" i="17"/>
  <c r="M234" i="17"/>
  <c r="L110" i="17"/>
  <c r="O229" i="17"/>
  <c r="P229" i="17" l="1"/>
  <c r="L270" i="17"/>
  <c r="N234" i="17"/>
  <c r="M110" i="17"/>
  <c r="N230" i="17"/>
  <c r="O230" i="17" l="1"/>
  <c r="M270" i="17"/>
  <c r="O234" i="17"/>
  <c r="N110" i="17"/>
  <c r="P230" i="17" l="1"/>
  <c r="N270" i="17"/>
  <c r="P234" i="17"/>
  <c r="O270" i="17" s="1"/>
  <c r="O110" i="17"/>
  <c r="AI110" i="17" l="1"/>
  <c r="AH110" i="17"/>
  <c r="U113" i="16" l="1"/>
  <c r="R49" i="16"/>
  <c r="Q49" i="16"/>
  <c r="O49" i="16"/>
  <c r="P49" i="16"/>
  <c r="N49" i="16" l="1"/>
  <c r="M49" i="16"/>
  <c r="L50" i="16"/>
  <c r="L49" i="16"/>
  <c r="K50" i="16"/>
  <c r="AF274" i="16" l="1"/>
  <c r="AE274" i="16"/>
  <c r="AD274" i="16"/>
  <c r="AC274" i="16"/>
  <c r="AB274" i="16"/>
  <c r="AA274" i="16"/>
  <c r="Z274" i="16"/>
  <c r="Y274" i="16"/>
  <c r="X274" i="16"/>
  <c r="W274" i="16"/>
  <c r="V274" i="16"/>
  <c r="U274" i="16"/>
  <c r="T274" i="16"/>
  <c r="S274" i="16"/>
  <c r="R274" i="16"/>
  <c r="Q274" i="16"/>
  <c r="P274" i="16"/>
  <c r="O274" i="16"/>
  <c r="N274" i="16"/>
  <c r="M274" i="16"/>
  <c r="L274" i="16"/>
  <c r="K274" i="16"/>
  <c r="J274" i="16"/>
  <c r="I274" i="16"/>
  <c r="H274" i="16"/>
  <c r="G274" i="16"/>
  <c r="F274" i="16"/>
  <c r="E274" i="16"/>
  <c r="D274" i="16"/>
  <c r="C274" i="16"/>
  <c r="B274" i="16"/>
  <c r="A274" i="16"/>
  <c r="AF273" i="16"/>
  <c r="AE273" i="16"/>
  <c r="AD273" i="16"/>
  <c r="AC273" i="16"/>
  <c r="AB273" i="16"/>
  <c r="AA273" i="16"/>
  <c r="Z273" i="16"/>
  <c r="Y273" i="16"/>
  <c r="X273" i="16"/>
  <c r="W273" i="16"/>
  <c r="V273" i="16"/>
  <c r="U273" i="16"/>
  <c r="T273" i="16"/>
  <c r="S273" i="16"/>
  <c r="R273" i="16"/>
  <c r="Q273" i="16"/>
  <c r="P273" i="16"/>
  <c r="O273" i="16"/>
  <c r="N273" i="16"/>
  <c r="M273" i="16"/>
  <c r="L273" i="16"/>
  <c r="K273" i="16"/>
  <c r="J273" i="16"/>
  <c r="I273" i="16"/>
  <c r="H273" i="16"/>
  <c r="G273" i="16"/>
  <c r="F273" i="16"/>
  <c r="E273" i="16"/>
  <c r="D273" i="16"/>
  <c r="C273" i="16"/>
  <c r="B273" i="16"/>
  <c r="A273" i="16"/>
  <c r="AF272" i="16"/>
  <c r="AE272" i="16"/>
  <c r="AD272" i="16"/>
  <c r="AC272" i="16"/>
  <c r="AB272" i="16"/>
  <c r="AA272" i="16"/>
  <c r="Z272" i="16"/>
  <c r="Y272" i="16"/>
  <c r="X272" i="16"/>
  <c r="W272" i="16"/>
  <c r="V272" i="16"/>
  <c r="U272" i="16"/>
  <c r="T272" i="16"/>
  <c r="S272" i="16"/>
  <c r="R272" i="16"/>
  <c r="Q272" i="16"/>
  <c r="P272" i="16"/>
  <c r="O272" i="16"/>
  <c r="N272" i="16"/>
  <c r="M272" i="16"/>
  <c r="L272" i="16"/>
  <c r="K272" i="16"/>
  <c r="J272" i="16"/>
  <c r="I272" i="16"/>
  <c r="H272" i="16"/>
  <c r="G272" i="16"/>
  <c r="F272" i="16"/>
  <c r="E272" i="16"/>
  <c r="D272" i="16"/>
  <c r="C272" i="16"/>
  <c r="B272" i="16"/>
  <c r="A272" i="16"/>
  <c r="AF271" i="16"/>
  <c r="AE271" i="16"/>
  <c r="AD271" i="16"/>
  <c r="AC271" i="16"/>
  <c r="AB271" i="16"/>
  <c r="AA271" i="16"/>
  <c r="Z271" i="16"/>
  <c r="Y271" i="16"/>
  <c r="X271" i="16"/>
  <c r="W271" i="16"/>
  <c r="V271" i="16"/>
  <c r="U271" i="16"/>
  <c r="T271" i="16"/>
  <c r="S271" i="16"/>
  <c r="R271" i="16"/>
  <c r="Q271" i="16"/>
  <c r="P271" i="16"/>
  <c r="O271" i="16"/>
  <c r="N271" i="16"/>
  <c r="M271" i="16"/>
  <c r="L271" i="16"/>
  <c r="K271" i="16"/>
  <c r="J271" i="16"/>
  <c r="I271" i="16"/>
  <c r="H271" i="16"/>
  <c r="G271" i="16"/>
  <c r="F271" i="16"/>
  <c r="E271" i="16"/>
  <c r="D271" i="16"/>
  <c r="C271" i="16"/>
  <c r="B271" i="16"/>
  <c r="A271" i="16"/>
  <c r="AE270" i="16"/>
  <c r="AD270" i="16"/>
  <c r="AC270" i="16"/>
  <c r="AB270" i="16"/>
  <c r="AA270" i="16"/>
  <c r="Z270" i="16"/>
  <c r="Y270" i="16"/>
  <c r="X270" i="16"/>
  <c r="W270" i="16"/>
  <c r="V270" i="16"/>
  <c r="U270" i="16"/>
  <c r="T270" i="16"/>
  <c r="S270" i="16"/>
  <c r="R270" i="16"/>
  <c r="Q270" i="16"/>
  <c r="P270" i="16"/>
  <c r="B270" i="16"/>
  <c r="S245" i="16"/>
  <c r="AG235" i="16"/>
  <c r="AF235" i="16"/>
  <c r="AE235" i="16"/>
  <c r="AD235" i="16"/>
  <c r="AC235" i="16"/>
  <c r="AB235" i="16"/>
  <c r="AA235" i="16"/>
  <c r="Z235" i="16"/>
  <c r="Y235" i="16"/>
  <c r="X235" i="16"/>
  <c r="W235" i="16"/>
  <c r="V235" i="16"/>
  <c r="U235" i="16"/>
  <c r="T235" i="16"/>
  <c r="S235" i="16"/>
  <c r="R235" i="16"/>
  <c r="Q235" i="16"/>
  <c r="D235" i="16"/>
  <c r="C235" i="16"/>
  <c r="E234" i="16"/>
  <c r="D270" i="16" s="1"/>
  <c r="D234" i="16"/>
  <c r="C270" i="16" s="1"/>
  <c r="B234" i="16"/>
  <c r="AF270" i="16" s="1"/>
  <c r="F233" i="16"/>
  <c r="G233" i="16" s="1"/>
  <c r="H233" i="16" s="1"/>
  <c r="I233" i="16" s="1"/>
  <c r="J233" i="16" s="1"/>
  <c r="K233" i="16" s="1"/>
  <c r="L233" i="16" s="1"/>
  <c r="M233" i="16" s="1"/>
  <c r="N233" i="16" s="1"/>
  <c r="O233" i="16" s="1"/>
  <c r="P233" i="16" s="1"/>
  <c r="E233" i="16"/>
  <c r="D233" i="16"/>
  <c r="B233" i="16"/>
  <c r="D232" i="16"/>
  <c r="E232" i="16" s="1"/>
  <c r="F232" i="16" s="1"/>
  <c r="G232" i="16" s="1"/>
  <c r="H232" i="16" s="1"/>
  <c r="I232" i="16" s="1"/>
  <c r="B232" i="16"/>
  <c r="E231" i="16"/>
  <c r="F231" i="16" s="1"/>
  <c r="G231" i="16" s="1"/>
  <c r="H231" i="16" s="1"/>
  <c r="D231" i="16"/>
  <c r="B231" i="16"/>
  <c r="E230" i="16"/>
  <c r="F230" i="16" s="1"/>
  <c r="D230" i="16"/>
  <c r="B230" i="16"/>
  <c r="F229" i="16"/>
  <c r="G229" i="16" s="1"/>
  <c r="E229" i="16"/>
  <c r="E235" i="16" s="1"/>
  <c r="D229" i="16"/>
  <c r="B229" i="16"/>
  <c r="B110" i="16" s="1"/>
  <c r="AG227" i="16"/>
  <c r="AF227" i="16"/>
  <c r="AE227" i="16"/>
  <c r="AD227" i="16"/>
  <c r="AC227" i="16"/>
  <c r="AB227" i="16"/>
  <c r="AA227" i="16"/>
  <c r="Z227" i="16"/>
  <c r="Y227" i="16"/>
  <c r="X227" i="16"/>
  <c r="W227" i="16"/>
  <c r="V227" i="16"/>
  <c r="U227" i="16"/>
  <c r="T227" i="16"/>
  <c r="S227" i="16"/>
  <c r="R227" i="16"/>
  <c r="Q227" i="16"/>
  <c r="P227" i="16"/>
  <c r="O227" i="16"/>
  <c r="N227" i="16"/>
  <c r="M227" i="16"/>
  <c r="L227" i="16"/>
  <c r="K227" i="16"/>
  <c r="J227" i="16"/>
  <c r="I227" i="16"/>
  <c r="H227" i="16"/>
  <c r="G227" i="16"/>
  <c r="F227" i="16"/>
  <c r="E227" i="16"/>
  <c r="D227" i="16"/>
  <c r="C227" i="16"/>
  <c r="B227" i="16"/>
  <c r="AI120" i="16"/>
  <c r="AH120" i="16"/>
  <c r="AI119" i="16"/>
  <c r="AH119" i="16"/>
  <c r="AI118" i="16"/>
  <c r="AH118" i="16"/>
  <c r="AI117" i="16"/>
  <c r="AH117" i="16"/>
  <c r="AI116" i="16"/>
  <c r="AH116" i="16"/>
  <c r="AI115" i="16"/>
  <c r="AH115" i="16"/>
  <c r="AI114" i="16"/>
  <c r="AH114" i="16"/>
  <c r="AI113" i="16"/>
  <c r="AH113" i="16"/>
  <c r="AI112" i="16"/>
  <c r="AH112" i="16"/>
  <c r="AI111" i="16"/>
  <c r="AH111" i="16"/>
  <c r="AF110" i="16"/>
  <c r="AE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E110" i="16"/>
  <c r="D110" i="16"/>
  <c r="C110" i="16"/>
  <c r="AI109" i="16"/>
  <c r="AH109" i="16"/>
  <c r="AI108" i="16"/>
  <c r="AH108" i="16"/>
  <c r="AI107" i="16"/>
  <c r="AH107" i="16"/>
  <c r="AI106" i="16"/>
  <c r="AH106" i="16"/>
  <c r="AI105" i="16"/>
  <c r="AH105" i="16"/>
  <c r="AI104" i="16"/>
  <c r="AH104" i="16"/>
  <c r="AI103" i="16"/>
  <c r="AH103" i="16"/>
  <c r="AI102" i="16"/>
  <c r="AH102" i="16"/>
  <c r="AI101" i="16"/>
  <c r="AH101" i="16"/>
  <c r="AI99" i="16"/>
  <c r="AH99" i="16"/>
  <c r="AI98" i="16"/>
  <c r="AH98" i="16"/>
  <c r="AI97" i="16"/>
  <c r="AH97" i="16"/>
  <c r="AI96" i="16"/>
  <c r="AH96" i="16"/>
  <c r="AI95" i="16"/>
  <c r="AH95" i="16"/>
  <c r="AI94" i="16"/>
  <c r="AH94" i="16"/>
  <c r="AI93" i="16"/>
  <c r="AH93" i="16"/>
  <c r="AI90" i="16"/>
  <c r="AH90" i="16"/>
  <c r="AI88" i="16"/>
  <c r="AH88" i="16"/>
  <c r="AG88" i="16"/>
  <c r="AI87" i="16"/>
  <c r="AH87" i="16"/>
  <c r="AI86" i="16"/>
  <c r="AH86" i="16"/>
  <c r="AI85" i="16"/>
  <c r="AH85" i="16"/>
  <c r="AN84" i="16"/>
  <c r="AG84" i="16"/>
  <c r="AG91" i="16" s="1"/>
  <c r="AF84" i="16"/>
  <c r="AE5" i="16" s="1"/>
  <c r="AE84" i="16"/>
  <c r="AE100" i="16" s="1"/>
  <c r="AD84" i="16"/>
  <c r="AD100" i="16" s="1"/>
  <c r="AC84" i="16"/>
  <c r="AC100" i="16" s="1"/>
  <c r="AB84" i="16"/>
  <c r="AA5" i="16" s="1"/>
  <c r="AA84" i="16"/>
  <c r="AA100" i="16" s="1"/>
  <c r="Z84" i="16"/>
  <c r="Z100" i="16" s="1"/>
  <c r="Y84" i="16"/>
  <c r="Y100" i="16" s="1"/>
  <c r="X84" i="16"/>
  <c r="X100" i="16" s="1"/>
  <c r="W84" i="16"/>
  <c r="W100" i="16" s="1"/>
  <c r="V84" i="16"/>
  <c r="U5" i="16" s="1"/>
  <c r="U84" i="16"/>
  <c r="U100" i="16" s="1"/>
  <c r="T84" i="16"/>
  <c r="S5" i="16" s="1"/>
  <c r="S84" i="16"/>
  <c r="S100" i="16" s="1"/>
  <c r="R84" i="16"/>
  <c r="R100" i="16" s="1"/>
  <c r="Q84" i="16"/>
  <c r="Q100" i="16" s="1"/>
  <c r="P84" i="16"/>
  <c r="O5" i="16" s="1"/>
  <c r="O84" i="16"/>
  <c r="O100" i="16" s="1"/>
  <c r="N84" i="16"/>
  <c r="M5" i="16" s="1"/>
  <c r="M84" i="16"/>
  <c r="M100" i="16" s="1"/>
  <c r="L84" i="16"/>
  <c r="K5" i="16" s="1"/>
  <c r="K84" i="16"/>
  <c r="K100" i="16" s="1"/>
  <c r="J84" i="16"/>
  <c r="J100" i="16" s="1"/>
  <c r="I84" i="16"/>
  <c r="I100" i="16" s="1"/>
  <c r="H84" i="16"/>
  <c r="H100" i="16" s="1"/>
  <c r="G84" i="16"/>
  <c r="G100" i="16" s="1"/>
  <c r="F84" i="16"/>
  <c r="F100" i="16" s="1"/>
  <c r="E84" i="16"/>
  <c r="E100" i="16" s="1"/>
  <c r="D84" i="16"/>
  <c r="C5" i="16" s="1"/>
  <c r="C84" i="16"/>
  <c r="C100" i="16" s="1"/>
  <c r="B84" i="16"/>
  <c r="B100" i="16" s="1"/>
  <c r="AN83" i="16"/>
  <c r="AI83" i="16"/>
  <c r="AH83" i="16"/>
  <c r="AN82" i="16"/>
  <c r="AI82" i="16"/>
  <c r="AH82" i="16"/>
  <c r="AN81" i="16"/>
  <c r="AI81" i="16"/>
  <c r="AH81" i="16"/>
  <c r="AI80" i="16"/>
  <c r="AH80" i="16"/>
  <c r="AI79" i="16"/>
  <c r="AH79" i="16"/>
  <c r="AI78" i="16"/>
  <c r="AH78" i="16"/>
  <c r="AI77" i="16"/>
  <c r="AH77" i="16"/>
  <c r="AI76" i="16"/>
  <c r="AH76" i="16"/>
  <c r="AI75" i="16"/>
  <c r="AH75" i="16"/>
  <c r="AI74" i="16"/>
  <c r="AH74" i="16"/>
  <c r="AI73" i="16"/>
  <c r="AH73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B72" i="16"/>
  <c r="AI71" i="16"/>
  <c r="AH71" i="16"/>
  <c r="AI70" i="16"/>
  <c r="AH70" i="16"/>
  <c r="AI69" i="16"/>
  <c r="AH69" i="16"/>
  <c r="AG68" i="16"/>
  <c r="AG3" i="16" s="1"/>
  <c r="AG6" i="16" s="1"/>
  <c r="AF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AI67" i="16"/>
  <c r="AH67" i="16"/>
  <c r="AG67" i="16"/>
  <c r="AI66" i="16"/>
  <c r="AH66" i="16"/>
  <c r="AI65" i="16"/>
  <c r="AH65" i="16"/>
  <c r="AI64" i="16"/>
  <c r="AH64" i="16"/>
  <c r="AI63" i="16"/>
  <c r="AH63" i="16"/>
  <c r="AI62" i="16"/>
  <c r="AH62" i="16"/>
  <c r="AI61" i="16"/>
  <c r="AH61" i="16"/>
  <c r="AI60" i="16"/>
  <c r="AH60" i="16"/>
  <c r="AI59" i="16"/>
  <c r="AH59" i="16"/>
  <c r="AI58" i="16"/>
  <c r="AH58" i="16"/>
  <c r="AI57" i="16"/>
  <c r="AH57" i="16"/>
  <c r="AI56" i="16"/>
  <c r="AH56" i="16"/>
  <c r="AI55" i="16"/>
  <c r="AH55" i="16"/>
  <c r="AG54" i="16"/>
  <c r="AF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AI53" i="16"/>
  <c r="AH53" i="16"/>
  <c r="AI52" i="16"/>
  <c r="AH52" i="16"/>
  <c r="AI51" i="16"/>
  <c r="AH51" i="16"/>
  <c r="AG50" i="16"/>
  <c r="AG89" i="16" s="1"/>
  <c r="AF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J50" i="16"/>
  <c r="I50" i="16"/>
  <c r="H50" i="16"/>
  <c r="G50" i="16"/>
  <c r="F50" i="16"/>
  <c r="E50" i="16"/>
  <c r="D50" i="16"/>
  <c r="C50" i="16"/>
  <c r="B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D5" i="16"/>
  <c r="Y5" i="16"/>
  <c r="W5" i="16"/>
  <c r="AG4" i="16"/>
  <c r="K4" i="16"/>
  <c r="E4" i="16"/>
  <c r="H4" i="16" s="1"/>
  <c r="B4" i="16"/>
  <c r="S246" i="16" s="1"/>
  <c r="AG2" i="16"/>
  <c r="AF12" i="15"/>
  <c r="AE12" i="15"/>
  <c r="AF100" i="16" l="1"/>
  <c r="AF89" i="16"/>
  <c r="AF91" i="16" s="1"/>
  <c r="AC5" i="16"/>
  <c r="AD89" i="16"/>
  <c r="AD91" i="16" s="1"/>
  <c r="AB5" i="16"/>
  <c r="AC89" i="16"/>
  <c r="AC91" i="16" s="1"/>
  <c r="AB89" i="16"/>
  <c r="AB91" i="16" s="1"/>
  <c r="Z5" i="16"/>
  <c r="AA89" i="16"/>
  <c r="AA91" i="16" s="1"/>
  <c r="Z89" i="16"/>
  <c r="Z91" i="16" s="1"/>
  <c r="Y89" i="16"/>
  <c r="Y91" i="16" s="1"/>
  <c r="X89" i="16"/>
  <c r="X91" i="16" s="1"/>
  <c r="V5" i="16"/>
  <c r="W89" i="16"/>
  <c r="W91" i="16" s="1"/>
  <c r="V100" i="16"/>
  <c r="V89" i="16"/>
  <c r="V91" i="16" s="1"/>
  <c r="AN249" i="16" s="1"/>
  <c r="R5" i="16"/>
  <c r="T5" i="16"/>
  <c r="U89" i="16"/>
  <c r="U91" i="16" s="1"/>
  <c r="T89" i="16"/>
  <c r="T91" i="16" s="1"/>
  <c r="S89" i="16"/>
  <c r="S91" i="16" s="1"/>
  <c r="Q5" i="16"/>
  <c r="R89" i="16"/>
  <c r="R91" i="16" s="1"/>
  <c r="Q89" i="16"/>
  <c r="Q91" i="16" s="1"/>
  <c r="P100" i="16"/>
  <c r="N5" i="16"/>
  <c r="O89" i="16"/>
  <c r="O91" i="16" s="1"/>
  <c r="P89" i="16"/>
  <c r="P91" i="16" s="1"/>
  <c r="N100" i="16"/>
  <c r="N89" i="16"/>
  <c r="N91" i="16" s="1"/>
  <c r="L5" i="16"/>
  <c r="AI72" i="16"/>
  <c r="M89" i="16"/>
  <c r="M91" i="16" s="1"/>
  <c r="AE249" i="16" s="1"/>
  <c r="L89" i="16"/>
  <c r="L91" i="16" s="1"/>
  <c r="L7" i="16" s="1"/>
  <c r="J5" i="16"/>
  <c r="K89" i="16"/>
  <c r="K91" i="16" s="1"/>
  <c r="K7" i="16" s="1"/>
  <c r="I5" i="16"/>
  <c r="J89" i="16"/>
  <c r="J91" i="16" s="1"/>
  <c r="J92" i="16" s="1"/>
  <c r="AI54" i="16"/>
  <c r="I89" i="16"/>
  <c r="I91" i="16" s="1"/>
  <c r="I92" i="16" s="1"/>
  <c r="G5" i="16"/>
  <c r="H89" i="16"/>
  <c r="H91" i="16" s="1"/>
  <c r="H7" i="16" s="1"/>
  <c r="F5" i="16"/>
  <c r="G89" i="16"/>
  <c r="G91" i="16" s="1"/>
  <c r="E5" i="16"/>
  <c r="F89" i="16"/>
  <c r="F91" i="16" s="1"/>
  <c r="F92" i="16" s="1"/>
  <c r="D5" i="16"/>
  <c r="E89" i="16"/>
  <c r="E91" i="16" s="1"/>
  <c r="W249" i="16" s="1"/>
  <c r="D89" i="16"/>
  <c r="D91" i="16" s="1"/>
  <c r="D7" i="16" s="1"/>
  <c r="B5" i="16"/>
  <c r="AH68" i="16"/>
  <c r="C89" i="16"/>
  <c r="C91" i="16" s="1"/>
  <c r="C92" i="16" s="1"/>
  <c r="AH54" i="16"/>
  <c r="AF5" i="16"/>
  <c r="AH72" i="16"/>
  <c r="AI68" i="16"/>
  <c r="B89" i="16"/>
  <c r="S7" i="16"/>
  <c r="S92" i="16"/>
  <c r="AK249" i="16"/>
  <c r="E92" i="16"/>
  <c r="E7" i="16"/>
  <c r="T92" i="16"/>
  <c r="AL249" i="16"/>
  <c r="T7" i="16"/>
  <c r="AB92" i="16"/>
  <c r="AT249" i="16"/>
  <c r="AB7" i="16"/>
  <c r="U92" i="16"/>
  <c r="AM249" i="16"/>
  <c r="U7" i="16"/>
  <c r="K92" i="16"/>
  <c r="AC249" i="16"/>
  <c r="AF249" i="16"/>
  <c r="N7" i="16"/>
  <c r="N92" i="16"/>
  <c r="V92" i="16"/>
  <c r="AV249" i="16"/>
  <c r="AD7" i="16"/>
  <c r="AD92" i="16"/>
  <c r="AC92" i="16"/>
  <c r="AU249" i="16"/>
  <c r="AC7" i="16"/>
  <c r="H229" i="16"/>
  <c r="J232" i="16"/>
  <c r="K232" i="16" s="1"/>
  <c r="L232" i="16" s="1"/>
  <c r="M232" i="16" s="1"/>
  <c r="N232" i="16" s="1"/>
  <c r="O232" i="16" s="1"/>
  <c r="P232" i="16" s="1"/>
  <c r="AO249" i="16"/>
  <c r="W7" i="16"/>
  <c r="W92" i="16"/>
  <c r="C7" i="16"/>
  <c r="AA7" i="16"/>
  <c r="AA92" i="16"/>
  <c r="AS249" i="16"/>
  <c r="G7" i="16"/>
  <c r="G92" i="16"/>
  <c r="AG249" i="16"/>
  <c r="O92" i="16"/>
  <c r="O7" i="16"/>
  <c r="H92" i="16"/>
  <c r="Z249" i="16"/>
  <c r="P7" i="16"/>
  <c r="P92" i="16"/>
  <c r="AH249" i="16"/>
  <c r="X7" i="16"/>
  <c r="X92" i="16"/>
  <c r="AP249" i="16"/>
  <c r="AF7" i="16"/>
  <c r="AF92" i="16"/>
  <c r="AX249" i="16"/>
  <c r="I7" i="16"/>
  <c r="Q7" i="16"/>
  <c r="Q92" i="16"/>
  <c r="AI249" i="16"/>
  <c r="Y7" i="16"/>
  <c r="Y92" i="16"/>
  <c r="AQ249" i="16"/>
  <c r="G230" i="16"/>
  <c r="H230" i="16" s="1"/>
  <c r="I230" i="16" s="1"/>
  <c r="J230" i="16" s="1"/>
  <c r="K230" i="16" s="1"/>
  <c r="L230" i="16" s="1"/>
  <c r="M230" i="16" s="1"/>
  <c r="N230" i="16" s="1"/>
  <c r="O230" i="16" s="1"/>
  <c r="P230" i="16" s="1"/>
  <c r="R7" i="16"/>
  <c r="R92" i="16"/>
  <c r="AJ249" i="16"/>
  <c r="Z7" i="16"/>
  <c r="Z92" i="16"/>
  <c r="AR249" i="16"/>
  <c r="D246" i="16"/>
  <c r="H5" i="16"/>
  <c r="P5" i="16"/>
  <c r="X5" i="16"/>
  <c r="AH84" i="16"/>
  <c r="F234" i="16"/>
  <c r="AI84" i="16"/>
  <c r="D100" i="16"/>
  <c r="L100" i="16"/>
  <c r="T100" i="16"/>
  <c r="AB100" i="16"/>
  <c r="B235" i="16"/>
  <c r="V7" i="16" l="1"/>
  <c r="AD249" i="16"/>
  <c r="L92" i="16"/>
  <c r="B244" i="16"/>
  <c r="M92" i="16"/>
  <c r="M7" i="16"/>
  <c r="J7" i="16"/>
  <c r="AA249" i="16"/>
  <c r="C244" i="16"/>
  <c r="K6" i="16" s="1"/>
  <c r="F7" i="16"/>
  <c r="Y249" i="16"/>
  <c r="X249" i="16"/>
  <c r="AB249" i="16"/>
  <c r="AI100" i="16"/>
  <c r="V249" i="16"/>
  <c r="D92" i="16"/>
  <c r="AH100" i="16"/>
  <c r="U249" i="16"/>
  <c r="B91" i="16"/>
  <c r="E270" i="16"/>
  <c r="G234" i="16"/>
  <c r="F110" i="16"/>
  <c r="G235" i="16"/>
  <c r="F235" i="16"/>
  <c r="I229" i="16"/>
  <c r="B7" i="16"/>
  <c r="B92" i="16"/>
  <c r="T249" i="16"/>
  <c r="F270" i="16" l="1"/>
  <c r="H234" i="16"/>
  <c r="G110" i="16"/>
  <c r="J229" i="16"/>
  <c r="G270" i="16" l="1"/>
  <c r="I234" i="16"/>
  <c r="H235" i="16"/>
  <c r="H110" i="16"/>
  <c r="K229" i="16"/>
  <c r="H270" i="16" l="1"/>
  <c r="J234" i="16"/>
  <c r="I110" i="16"/>
  <c r="L229" i="16"/>
  <c r="M229" i="16" l="1"/>
  <c r="K234" i="16"/>
  <c r="I270" i="16"/>
  <c r="J110" i="16"/>
  <c r="N229" i="16" l="1"/>
  <c r="J270" i="16"/>
  <c r="L234" i="16"/>
  <c r="K110" i="16"/>
  <c r="M234" i="16" l="1"/>
  <c r="K270" i="16"/>
  <c r="L110" i="16"/>
  <c r="O229" i="16"/>
  <c r="P229" i="16" l="1"/>
  <c r="L270" i="16"/>
  <c r="N234" i="16"/>
  <c r="M110" i="16"/>
  <c r="M270" i="16" l="1"/>
  <c r="O234" i="16"/>
  <c r="N110" i="16"/>
  <c r="N270" i="16" l="1"/>
  <c r="P234" i="16"/>
  <c r="O270" i="16" s="1"/>
  <c r="O110" i="16"/>
  <c r="AI110" i="16" l="1"/>
  <c r="AH110" i="16"/>
  <c r="AD50" i="15" l="1"/>
  <c r="AC50" i="15"/>
  <c r="Y50" i="15" l="1"/>
  <c r="Z50" i="15"/>
  <c r="AA50" i="15"/>
  <c r="AA49" i="15"/>
  <c r="Z49" i="15"/>
  <c r="Y49" i="15"/>
  <c r="X49" i="15"/>
  <c r="W49" i="15"/>
  <c r="V49" i="15"/>
  <c r="U49" i="15"/>
  <c r="T113" i="15"/>
  <c r="T49" i="15"/>
  <c r="S49" i="15"/>
  <c r="R113" i="15"/>
  <c r="R49" i="15"/>
  <c r="R50" i="15"/>
  <c r="R54" i="15"/>
  <c r="R68" i="15"/>
  <c r="R72" i="15"/>
  <c r="R84" i="15"/>
  <c r="R100" i="15" s="1"/>
  <c r="Q49" i="15"/>
  <c r="Q50" i="15"/>
  <c r="Q54" i="15"/>
  <c r="Q68" i="15"/>
  <c r="Q72" i="15"/>
  <c r="Q84" i="15"/>
  <c r="Q100" i="15" s="1"/>
  <c r="Q113" i="15"/>
  <c r="P113" i="15"/>
  <c r="P49" i="15"/>
  <c r="P50" i="15"/>
  <c r="P54" i="15"/>
  <c r="P68" i="15"/>
  <c r="O113" i="15"/>
  <c r="O49" i="15"/>
  <c r="O50" i="15"/>
  <c r="R89" i="15" l="1"/>
  <c r="R91" i="15" s="1"/>
  <c r="R92" i="15" s="1"/>
  <c r="Q89" i="15"/>
  <c r="Q91" i="15" s="1"/>
  <c r="Q92" i="15" s="1"/>
  <c r="M113" i="15" l="1"/>
  <c r="M50" i="15" l="1"/>
  <c r="M54" i="15"/>
  <c r="M68" i="15"/>
  <c r="M72" i="15"/>
  <c r="E49" i="15"/>
  <c r="D49" i="15"/>
  <c r="C49" i="15"/>
  <c r="B49" i="15" l="1"/>
  <c r="AI49" i="15" s="1"/>
  <c r="AF274" i="15"/>
  <c r="AE274" i="15"/>
  <c r="AD274" i="15"/>
  <c r="AC274" i="15"/>
  <c r="AB274" i="15"/>
  <c r="AA274" i="15"/>
  <c r="Z274" i="15"/>
  <c r="Y274" i="15"/>
  <c r="X274" i="15"/>
  <c r="W274" i="15"/>
  <c r="V274" i="15"/>
  <c r="U274" i="15"/>
  <c r="T274" i="15"/>
  <c r="S274" i="15"/>
  <c r="R274" i="15"/>
  <c r="Q274" i="15"/>
  <c r="P274" i="15"/>
  <c r="O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AF273" i="15"/>
  <c r="AE273" i="15"/>
  <c r="AD273" i="15"/>
  <c r="AC273" i="15"/>
  <c r="AB273" i="15"/>
  <c r="AA273" i="15"/>
  <c r="Z273" i="15"/>
  <c r="Y273" i="15"/>
  <c r="X273" i="15"/>
  <c r="W273" i="15"/>
  <c r="V273" i="15"/>
  <c r="U273" i="15"/>
  <c r="T273" i="15"/>
  <c r="S273" i="15"/>
  <c r="R273" i="15"/>
  <c r="Q273" i="15"/>
  <c r="P273" i="15"/>
  <c r="O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AF272" i="15"/>
  <c r="AE272" i="15"/>
  <c r="AD272" i="15"/>
  <c r="AC272" i="15"/>
  <c r="AB272" i="15"/>
  <c r="AA272" i="15"/>
  <c r="Z272" i="15"/>
  <c r="Y272" i="15"/>
  <c r="X272" i="15"/>
  <c r="W272" i="15"/>
  <c r="V272" i="15"/>
  <c r="U272" i="15"/>
  <c r="T272" i="15"/>
  <c r="S272" i="15"/>
  <c r="R272" i="15"/>
  <c r="Q272" i="15"/>
  <c r="P272" i="15"/>
  <c r="O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AF271" i="15"/>
  <c r="AE271" i="15"/>
  <c r="AD271" i="15"/>
  <c r="AC271" i="15"/>
  <c r="AB271" i="15"/>
  <c r="AA271" i="15"/>
  <c r="Z271" i="15"/>
  <c r="Y271" i="15"/>
  <c r="X271" i="15"/>
  <c r="W271" i="15"/>
  <c r="V271" i="15"/>
  <c r="U271" i="15"/>
  <c r="T271" i="15"/>
  <c r="S271" i="15"/>
  <c r="R271" i="15"/>
  <c r="Q271" i="15"/>
  <c r="P271" i="15"/>
  <c r="O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AE270" i="15"/>
  <c r="AD270" i="15"/>
  <c r="AC270" i="15"/>
  <c r="AB270" i="15"/>
  <c r="AA270" i="15"/>
  <c r="Z270" i="15"/>
  <c r="Y270" i="15"/>
  <c r="X270" i="15"/>
  <c r="W270" i="15"/>
  <c r="V270" i="15"/>
  <c r="U270" i="15"/>
  <c r="T270" i="15"/>
  <c r="S270" i="15"/>
  <c r="R270" i="15"/>
  <c r="Q270" i="15"/>
  <c r="P270" i="15"/>
  <c r="C270" i="15"/>
  <c r="B270" i="15"/>
  <c r="S245" i="15"/>
  <c r="AG235" i="15"/>
  <c r="AF235" i="15"/>
  <c r="AE235" i="15"/>
  <c r="AD235" i="15"/>
  <c r="AC235" i="15"/>
  <c r="AB235" i="15"/>
  <c r="AA235" i="15"/>
  <c r="Z235" i="15"/>
  <c r="Y235" i="15"/>
  <c r="X235" i="15"/>
  <c r="W235" i="15"/>
  <c r="V235" i="15"/>
  <c r="U235" i="15"/>
  <c r="T235" i="15"/>
  <c r="S235" i="15"/>
  <c r="R235" i="15"/>
  <c r="Q235" i="15"/>
  <c r="C235" i="15"/>
  <c r="E234" i="15"/>
  <c r="D270" i="15" s="1"/>
  <c r="D234" i="15"/>
  <c r="B234" i="15"/>
  <c r="AF270" i="15" s="1"/>
  <c r="D233" i="15"/>
  <c r="E233" i="15" s="1"/>
  <c r="F233" i="15" s="1"/>
  <c r="G233" i="15" s="1"/>
  <c r="H233" i="15" s="1"/>
  <c r="I233" i="15" s="1"/>
  <c r="J233" i="15" s="1"/>
  <c r="K233" i="15" s="1"/>
  <c r="L233" i="15" s="1"/>
  <c r="M233" i="15" s="1"/>
  <c r="N233" i="15" s="1"/>
  <c r="O233" i="15" s="1"/>
  <c r="P233" i="15" s="1"/>
  <c r="B233" i="15"/>
  <c r="D232" i="15"/>
  <c r="E232" i="15" s="1"/>
  <c r="F232" i="15" s="1"/>
  <c r="G232" i="15" s="1"/>
  <c r="H232" i="15" s="1"/>
  <c r="I232" i="15" s="1"/>
  <c r="B232" i="15"/>
  <c r="G231" i="15"/>
  <c r="H231" i="15" s="1"/>
  <c r="F231" i="15"/>
  <c r="E231" i="15"/>
  <c r="D231" i="15"/>
  <c r="B231" i="15"/>
  <c r="E230" i="15"/>
  <c r="F230" i="15" s="1"/>
  <c r="G230" i="15" s="1"/>
  <c r="H230" i="15" s="1"/>
  <c r="I230" i="15" s="1"/>
  <c r="J230" i="15" s="1"/>
  <c r="K230" i="15" s="1"/>
  <c r="L230" i="15" s="1"/>
  <c r="M230" i="15" s="1"/>
  <c r="N230" i="15" s="1"/>
  <c r="O230" i="15" s="1"/>
  <c r="P230" i="15" s="1"/>
  <c r="D230" i="15"/>
  <c r="B230" i="15"/>
  <c r="D229" i="15"/>
  <c r="D235" i="15" s="1"/>
  <c r="B229" i="15"/>
  <c r="B110" i="15" s="1"/>
  <c r="AG227" i="15"/>
  <c r="AF227" i="15"/>
  <c r="AE227" i="15"/>
  <c r="AD227" i="15"/>
  <c r="AC227" i="15"/>
  <c r="AB227" i="15"/>
  <c r="AA227" i="15"/>
  <c r="Z227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I120" i="15"/>
  <c r="AH120" i="15"/>
  <c r="AI119" i="15"/>
  <c r="AH119" i="15"/>
  <c r="AI118" i="15"/>
  <c r="AH118" i="15"/>
  <c r="AI117" i="15"/>
  <c r="AH117" i="15"/>
  <c r="AI116" i="15"/>
  <c r="AH116" i="15"/>
  <c r="AI115" i="15"/>
  <c r="AH115" i="15"/>
  <c r="AI114" i="15"/>
  <c r="AH114" i="15"/>
  <c r="AI113" i="15"/>
  <c r="AH113" i="15"/>
  <c r="AI112" i="15"/>
  <c r="AH112" i="15"/>
  <c r="AI111" i="15"/>
  <c r="AH111" i="15"/>
  <c r="AF110" i="15"/>
  <c r="AE110" i="15"/>
  <c r="AC110" i="15"/>
  <c r="AB110" i="15"/>
  <c r="AA110" i="15"/>
  <c r="Z110" i="15"/>
  <c r="Y110" i="15"/>
  <c r="X110" i="15"/>
  <c r="W110" i="15"/>
  <c r="V110" i="15"/>
  <c r="U110" i="15"/>
  <c r="T110" i="15"/>
  <c r="S110" i="15"/>
  <c r="C110" i="15"/>
  <c r="AI109" i="15"/>
  <c r="AH109" i="15"/>
  <c r="AI108" i="15"/>
  <c r="AH108" i="15"/>
  <c r="AI107" i="15"/>
  <c r="AH107" i="15"/>
  <c r="AI106" i="15"/>
  <c r="AH106" i="15"/>
  <c r="AI105" i="15"/>
  <c r="AH105" i="15"/>
  <c r="AI104" i="15"/>
  <c r="AH104" i="15"/>
  <c r="AI103" i="15"/>
  <c r="AH103" i="15"/>
  <c r="AI102" i="15"/>
  <c r="AH102" i="15"/>
  <c r="AI101" i="15"/>
  <c r="AH101" i="15"/>
  <c r="AI99" i="15"/>
  <c r="AH99" i="15"/>
  <c r="AI98" i="15"/>
  <c r="AH98" i="15"/>
  <c r="AI97" i="15"/>
  <c r="AH97" i="15"/>
  <c r="AI96" i="15"/>
  <c r="AH96" i="15"/>
  <c r="AI95" i="15"/>
  <c r="AH95" i="15"/>
  <c r="AI94" i="15"/>
  <c r="AH94" i="15"/>
  <c r="AI93" i="15"/>
  <c r="AH93" i="15"/>
  <c r="AI90" i="15"/>
  <c r="AH90" i="15"/>
  <c r="AI88" i="15"/>
  <c r="AH88" i="15"/>
  <c r="AG88" i="15"/>
  <c r="AI87" i="15"/>
  <c r="AH87" i="15"/>
  <c r="AI86" i="15"/>
  <c r="AH86" i="15"/>
  <c r="AI85" i="15"/>
  <c r="AH85" i="15"/>
  <c r="AN84" i="15"/>
  <c r="AG84" i="15"/>
  <c r="AG91" i="15" s="1"/>
  <c r="AF84" i="15"/>
  <c r="AF100" i="15" s="1"/>
  <c r="AE84" i="15"/>
  <c r="AD5" i="15" s="1"/>
  <c r="AD84" i="15"/>
  <c r="AD100" i="15" s="1"/>
  <c r="AC84" i="15"/>
  <c r="AC100" i="15" s="1"/>
  <c r="AB84" i="15"/>
  <c r="AB100" i="15" s="1"/>
  <c r="AA84" i="15"/>
  <c r="AA100" i="15" s="1"/>
  <c r="Z84" i="15"/>
  <c r="Z100" i="15" s="1"/>
  <c r="Y84" i="15"/>
  <c r="X84" i="15"/>
  <c r="X100" i="15" s="1"/>
  <c r="W84" i="15"/>
  <c r="W100" i="15" s="1"/>
  <c r="V84" i="15"/>
  <c r="V100" i="15" s="1"/>
  <c r="U84" i="15"/>
  <c r="U100" i="15" s="1"/>
  <c r="T84" i="15"/>
  <c r="T100" i="15" s="1"/>
  <c r="S84" i="15"/>
  <c r="S100" i="15" s="1"/>
  <c r="P84" i="15"/>
  <c r="P100" i="15" s="1"/>
  <c r="O84" i="15"/>
  <c r="N5" i="15" s="1"/>
  <c r="N84" i="15"/>
  <c r="N100" i="15" s="1"/>
  <c r="M84" i="15"/>
  <c r="M100" i="15" s="1"/>
  <c r="L84" i="15"/>
  <c r="K5" i="15" s="1"/>
  <c r="K84" i="15"/>
  <c r="J5" i="15" s="1"/>
  <c r="J84" i="15"/>
  <c r="J100" i="15" s="1"/>
  <c r="I84" i="15"/>
  <c r="H84" i="15"/>
  <c r="G5" i="15" s="1"/>
  <c r="G84" i="15"/>
  <c r="F5" i="15" s="1"/>
  <c r="F84" i="15"/>
  <c r="F100" i="15" s="1"/>
  <c r="E84" i="15"/>
  <c r="E100" i="15" s="1"/>
  <c r="D84" i="15"/>
  <c r="C5" i="15" s="1"/>
  <c r="C84" i="15"/>
  <c r="C100" i="15" s="1"/>
  <c r="B84" i="15"/>
  <c r="B100" i="15" s="1"/>
  <c r="AN83" i="15"/>
  <c r="AI83" i="15"/>
  <c r="AH83" i="15"/>
  <c r="AN82" i="15"/>
  <c r="AI82" i="15"/>
  <c r="AH82" i="15"/>
  <c r="AN81" i="15"/>
  <c r="AI81" i="15"/>
  <c r="AH81" i="15"/>
  <c r="AI80" i="15"/>
  <c r="AH80" i="15"/>
  <c r="AI79" i="15"/>
  <c r="AH79" i="15"/>
  <c r="AI78" i="15"/>
  <c r="AH78" i="15"/>
  <c r="AI77" i="15"/>
  <c r="AH77" i="15"/>
  <c r="AI76" i="15"/>
  <c r="AH76" i="15"/>
  <c r="AI75" i="15"/>
  <c r="AH75" i="15"/>
  <c r="AI74" i="15"/>
  <c r="AH74" i="15"/>
  <c r="AI73" i="15"/>
  <c r="AH73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P72" i="15"/>
  <c r="O72" i="15"/>
  <c r="N72" i="15"/>
  <c r="L72" i="15"/>
  <c r="B72" i="15"/>
  <c r="AI71" i="15"/>
  <c r="AH71" i="15"/>
  <c r="AI70" i="15"/>
  <c r="AH70" i="15"/>
  <c r="AI69" i="15"/>
  <c r="AH69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O68" i="15"/>
  <c r="N68" i="15"/>
  <c r="L68" i="15"/>
  <c r="K68" i="15"/>
  <c r="J68" i="15"/>
  <c r="I68" i="15"/>
  <c r="H68" i="15"/>
  <c r="G68" i="15"/>
  <c r="F68" i="15"/>
  <c r="E68" i="15"/>
  <c r="D68" i="15"/>
  <c r="C68" i="15"/>
  <c r="B68" i="15"/>
  <c r="AI67" i="15"/>
  <c r="AH67" i="15"/>
  <c r="AG67" i="15"/>
  <c r="AG68" i="15" s="1"/>
  <c r="AG3" i="15" s="1"/>
  <c r="AI66" i="15"/>
  <c r="AH66" i="15"/>
  <c r="AI65" i="15"/>
  <c r="AH65" i="15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I56" i="15"/>
  <c r="AH56" i="15"/>
  <c r="AI55" i="15"/>
  <c r="AH55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O54" i="15"/>
  <c r="N54" i="15"/>
  <c r="L54" i="15"/>
  <c r="K54" i="15"/>
  <c r="J54" i="15"/>
  <c r="I54" i="15"/>
  <c r="H54" i="15"/>
  <c r="G54" i="15"/>
  <c r="F54" i="15"/>
  <c r="E54" i="15"/>
  <c r="D54" i="15"/>
  <c r="C54" i="15"/>
  <c r="B54" i="15"/>
  <c r="AI53" i="15"/>
  <c r="AH53" i="15"/>
  <c r="AI52" i="15"/>
  <c r="AH52" i="15"/>
  <c r="AI51" i="15"/>
  <c r="AH51" i="15"/>
  <c r="AG50" i="15"/>
  <c r="AG2" i="15" s="1"/>
  <c r="AF50" i="15"/>
  <c r="AE50" i="15"/>
  <c r="AB50" i="15"/>
  <c r="X50" i="15"/>
  <c r="W50" i="15"/>
  <c r="V50" i="15"/>
  <c r="U50" i="15"/>
  <c r="T50" i="15"/>
  <c r="S50" i="15"/>
  <c r="N50" i="15"/>
  <c r="L50" i="15"/>
  <c r="K50" i="15"/>
  <c r="J50" i="15"/>
  <c r="I50" i="15"/>
  <c r="H50" i="15"/>
  <c r="G50" i="15"/>
  <c r="F50" i="15"/>
  <c r="E50" i="15"/>
  <c r="D50" i="15"/>
  <c r="C50" i="15"/>
  <c r="B50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G4" i="15"/>
  <c r="K4" i="15"/>
  <c r="E4" i="15"/>
  <c r="H4" i="15" s="1"/>
  <c r="B4" i="15"/>
  <c r="D246" i="15" s="1"/>
  <c r="AF49" i="13"/>
  <c r="AE49" i="13"/>
  <c r="AD51" i="13"/>
  <c r="AD49" i="13"/>
  <c r="AC51" i="13"/>
  <c r="AC49" i="13"/>
  <c r="AB51" i="13"/>
  <c r="AB49" i="13"/>
  <c r="AA51" i="13"/>
  <c r="AA49" i="13"/>
  <c r="Z51" i="13"/>
  <c r="Z49" i="13"/>
  <c r="Y51" i="13"/>
  <c r="X51" i="13"/>
  <c r="Y49" i="13"/>
  <c r="AF89" i="15" l="1"/>
  <c r="AF91" i="15" s="1"/>
  <c r="AF92" i="15" s="1"/>
  <c r="AE5" i="15"/>
  <c r="AC5" i="15"/>
  <c r="AB5" i="15"/>
  <c r="AC89" i="15"/>
  <c r="AC91" i="15" s="1"/>
  <c r="AA5" i="15"/>
  <c r="AB89" i="15"/>
  <c r="AB91" i="15" s="1"/>
  <c r="Z89" i="15"/>
  <c r="Z91" i="15" s="1"/>
  <c r="Z7" i="15" s="1"/>
  <c r="Z5" i="15"/>
  <c r="Y89" i="15"/>
  <c r="Y91" i="15" s="1"/>
  <c r="Y92" i="15" s="1"/>
  <c r="U5" i="15"/>
  <c r="W5" i="15"/>
  <c r="X89" i="15"/>
  <c r="X91" i="15" s="1"/>
  <c r="X92" i="15" s="1"/>
  <c r="T5" i="15"/>
  <c r="S5" i="15"/>
  <c r="T89" i="15"/>
  <c r="T91" i="15" s="1"/>
  <c r="T92" i="15" s="1"/>
  <c r="R5" i="15"/>
  <c r="V5" i="15"/>
  <c r="AE89" i="15"/>
  <c r="AE91" i="15" s="1"/>
  <c r="AW249" i="15" s="1"/>
  <c r="P89" i="15"/>
  <c r="P91" i="15" s="1"/>
  <c r="P92" i="15" s="1"/>
  <c r="N89" i="15"/>
  <c r="N91" i="15" s="1"/>
  <c r="N92" i="15" s="1"/>
  <c r="W89" i="15"/>
  <c r="W91" i="15" s="1"/>
  <c r="AO249" i="15" s="1"/>
  <c r="M5" i="15"/>
  <c r="R7" i="15"/>
  <c r="U89" i="15"/>
  <c r="U91" i="15" s="1"/>
  <c r="U7" i="15" s="1"/>
  <c r="AE100" i="15"/>
  <c r="V89" i="15"/>
  <c r="V91" i="15" s="1"/>
  <c r="AN249" i="15" s="1"/>
  <c r="AD89" i="15"/>
  <c r="AD91" i="15" s="1"/>
  <c r="AV249" i="15" s="1"/>
  <c r="O5" i="15"/>
  <c r="O100" i="15"/>
  <c r="O89" i="15"/>
  <c r="O91" i="15" s="1"/>
  <c r="AG249" i="15" s="1"/>
  <c r="AH72" i="15"/>
  <c r="M89" i="15"/>
  <c r="M91" i="15" s="1"/>
  <c r="M7" i="15" s="1"/>
  <c r="K100" i="15"/>
  <c r="I89" i="15"/>
  <c r="I91" i="15" s="1"/>
  <c r="I7" i="15" s="1"/>
  <c r="H100" i="15"/>
  <c r="H89" i="15"/>
  <c r="H91" i="15" s="1"/>
  <c r="Z249" i="15" s="1"/>
  <c r="G100" i="15"/>
  <c r="E5" i="15"/>
  <c r="J89" i="15"/>
  <c r="J91" i="15" s="1"/>
  <c r="J92" i="15" s="1"/>
  <c r="L89" i="15"/>
  <c r="L91" i="15" s="1"/>
  <c r="L92" i="15" s="1"/>
  <c r="F89" i="15"/>
  <c r="F91" i="15" s="1"/>
  <c r="X249" i="15" s="1"/>
  <c r="E89" i="15"/>
  <c r="E91" i="15" s="1"/>
  <c r="E7" i="15" s="1"/>
  <c r="D89" i="15"/>
  <c r="D91" i="15" s="1"/>
  <c r="V249" i="15" s="1"/>
  <c r="AH54" i="15"/>
  <c r="B5" i="15"/>
  <c r="AI68" i="15"/>
  <c r="AF5" i="15"/>
  <c r="AI54" i="15"/>
  <c r="B89" i="15"/>
  <c r="B91" i="15" s="1"/>
  <c r="S246" i="15"/>
  <c r="Q7" i="15"/>
  <c r="AI249" i="15"/>
  <c r="AG6" i="15"/>
  <c r="AC92" i="15"/>
  <c r="AU249" i="15"/>
  <c r="AJ249" i="15"/>
  <c r="AD7" i="15"/>
  <c r="AD92" i="15"/>
  <c r="AC7" i="15"/>
  <c r="C89" i="15"/>
  <c r="C91" i="15" s="1"/>
  <c r="K89" i="15"/>
  <c r="K91" i="15" s="1"/>
  <c r="S89" i="15"/>
  <c r="S91" i="15" s="1"/>
  <c r="AA89" i="15"/>
  <c r="AA91" i="15" s="1"/>
  <c r="AH68" i="15"/>
  <c r="J232" i="15"/>
  <c r="K232" i="15" s="1"/>
  <c r="L232" i="15" s="1"/>
  <c r="M232" i="15" s="1"/>
  <c r="N232" i="15" s="1"/>
  <c r="O232" i="15" s="1"/>
  <c r="P232" i="15" s="1"/>
  <c r="AB92" i="15"/>
  <c r="AT249" i="15"/>
  <c r="AB7" i="15"/>
  <c r="AF249" i="15"/>
  <c r="N7" i="15"/>
  <c r="D92" i="15"/>
  <c r="AI50" i="15"/>
  <c r="H5" i="15"/>
  <c r="I100" i="15"/>
  <c r="P5" i="15"/>
  <c r="X5" i="15"/>
  <c r="Y100" i="15"/>
  <c r="AI72" i="15"/>
  <c r="D110" i="15"/>
  <c r="AH84" i="15"/>
  <c r="F234" i="15"/>
  <c r="I5" i="15"/>
  <c r="Q5" i="15"/>
  <c r="Y5" i="15"/>
  <c r="AH50" i="15"/>
  <c r="AI84" i="15"/>
  <c r="G89" i="15"/>
  <c r="G91" i="15" s="1"/>
  <c r="E229" i="15"/>
  <c r="AG89" i="15"/>
  <c r="D100" i="15"/>
  <c r="L100" i="15"/>
  <c r="B235" i="15"/>
  <c r="D5" i="15"/>
  <c r="L5" i="15"/>
  <c r="X49" i="13"/>
  <c r="W51" i="13"/>
  <c r="W49" i="13"/>
  <c r="V51" i="13"/>
  <c r="V49" i="13"/>
  <c r="U51" i="13"/>
  <c r="U49" i="13"/>
  <c r="T51" i="13"/>
  <c r="T49" i="13"/>
  <c r="S51" i="13"/>
  <c r="S49" i="13"/>
  <c r="Q50" i="13"/>
  <c r="Q49" i="13"/>
  <c r="R49" i="13"/>
  <c r="Q51" i="13"/>
  <c r="R51" i="13"/>
  <c r="P51" i="13"/>
  <c r="P49" i="13"/>
  <c r="O113" i="13"/>
  <c r="O51" i="13"/>
  <c r="O49" i="13"/>
  <c r="AF7" i="15" l="1"/>
  <c r="AX249" i="15"/>
  <c r="AE7" i="15"/>
  <c r="AE92" i="15"/>
  <c r="AQ249" i="15"/>
  <c r="Y7" i="15"/>
  <c r="AP249" i="15"/>
  <c r="X7" i="15"/>
  <c r="Z92" i="15"/>
  <c r="AR249" i="15"/>
  <c r="W7" i="15"/>
  <c r="W92" i="15"/>
  <c r="V92" i="15"/>
  <c r="V7" i="15"/>
  <c r="T7" i="15"/>
  <c r="AL249" i="15"/>
  <c r="AH249" i="15"/>
  <c r="P7" i="15"/>
  <c r="O7" i="15"/>
  <c r="O92" i="15"/>
  <c r="AM249" i="15"/>
  <c r="U92" i="15"/>
  <c r="AE249" i="15"/>
  <c r="M92" i="15"/>
  <c r="L7" i="15"/>
  <c r="AD249" i="15"/>
  <c r="I92" i="15"/>
  <c r="AA249" i="15"/>
  <c r="J7" i="15"/>
  <c r="AB249" i="15"/>
  <c r="H92" i="15"/>
  <c r="H7" i="15"/>
  <c r="F7" i="15"/>
  <c r="F92" i="15"/>
  <c r="W249" i="15"/>
  <c r="E92" i="15"/>
  <c r="AH100" i="15"/>
  <c r="AI100" i="15"/>
  <c r="D7" i="15"/>
  <c r="C7" i="15"/>
  <c r="C92" i="15"/>
  <c r="U249" i="15"/>
  <c r="F229" i="15"/>
  <c r="E110" i="15"/>
  <c r="E235" i="15"/>
  <c r="Y249" i="15"/>
  <c r="C244" i="15"/>
  <c r="B244" i="15"/>
  <c r="G7" i="15"/>
  <c r="G92" i="15"/>
  <c r="K7" i="15"/>
  <c r="K92" i="15"/>
  <c r="AC249" i="15"/>
  <c r="B7" i="15"/>
  <c r="B92" i="15"/>
  <c r="AI91" i="15"/>
  <c r="T249" i="15"/>
  <c r="AH91" i="15"/>
  <c r="AH89" i="15"/>
  <c r="AI89" i="15"/>
  <c r="E270" i="15"/>
  <c r="G234" i="15"/>
  <c r="AA7" i="15"/>
  <c r="AA92" i="15"/>
  <c r="AS249" i="15"/>
  <c r="S7" i="15"/>
  <c r="S92" i="15"/>
  <c r="AK249" i="15"/>
  <c r="N51" i="13"/>
  <c r="A7" i="15" l="1"/>
  <c r="F270" i="15"/>
  <c r="H234" i="15"/>
  <c r="AI92" i="15"/>
  <c r="AH92" i="15"/>
  <c r="F235" i="15"/>
  <c r="G229" i="15"/>
  <c r="F110" i="15"/>
  <c r="K6" i="15"/>
  <c r="M51" i="13"/>
  <c r="L113" i="13"/>
  <c r="L51" i="13"/>
  <c r="L54" i="13" s="1"/>
  <c r="L49" i="13"/>
  <c r="K113" i="13"/>
  <c r="K51" i="13"/>
  <c r="K49" i="13"/>
  <c r="J113" i="13"/>
  <c r="AH113" i="13" s="1"/>
  <c r="J51" i="13"/>
  <c r="J49" i="13"/>
  <c r="I113" i="13"/>
  <c r="I49" i="13"/>
  <c r="H113" i="13"/>
  <c r="H49" i="13"/>
  <c r="G113" i="13"/>
  <c r="G49" i="13"/>
  <c r="AI49" i="13" s="1"/>
  <c r="F113" i="13"/>
  <c r="F49" i="13"/>
  <c r="E113" i="13"/>
  <c r="E49" i="13"/>
  <c r="D49" i="13"/>
  <c r="C49" i="13"/>
  <c r="B49" i="13"/>
  <c r="AF274" i="13"/>
  <c r="AE274" i="13"/>
  <c r="AD274" i="13"/>
  <c r="AC274" i="13"/>
  <c r="AB274" i="13"/>
  <c r="AA274" i="13"/>
  <c r="Z274" i="13"/>
  <c r="Y274" i="13"/>
  <c r="X274" i="13"/>
  <c r="W274" i="13"/>
  <c r="V274" i="13"/>
  <c r="U274" i="13"/>
  <c r="T274" i="13"/>
  <c r="S274" i="13"/>
  <c r="R274" i="13"/>
  <c r="Q274" i="13"/>
  <c r="P274" i="13"/>
  <c r="O274" i="13"/>
  <c r="N274" i="13"/>
  <c r="M274" i="13"/>
  <c r="L274" i="13"/>
  <c r="K274" i="13"/>
  <c r="J274" i="13"/>
  <c r="I274" i="13"/>
  <c r="H274" i="13"/>
  <c r="G274" i="13"/>
  <c r="F274" i="13"/>
  <c r="E274" i="13"/>
  <c r="D274" i="13"/>
  <c r="C274" i="13"/>
  <c r="B274" i="13"/>
  <c r="A274" i="13"/>
  <c r="AF273" i="13"/>
  <c r="AE273" i="13"/>
  <c r="AD273" i="13"/>
  <c r="AC273" i="13"/>
  <c r="AB273" i="13"/>
  <c r="AA273" i="13"/>
  <c r="Z273" i="13"/>
  <c r="Y273" i="13"/>
  <c r="X273" i="13"/>
  <c r="W273" i="13"/>
  <c r="V273" i="13"/>
  <c r="U273" i="13"/>
  <c r="T273" i="13"/>
  <c r="S273" i="13"/>
  <c r="R273" i="13"/>
  <c r="Q273" i="13"/>
  <c r="P273" i="13"/>
  <c r="O273" i="13"/>
  <c r="N273" i="13"/>
  <c r="M273" i="13"/>
  <c r="L273" i="13"/>
  <c r="K273" i="13"/>
  <c r="J273" i="13"/>
  <c r="I273" i="13"/>
  <c r="H273" i="13"/>
  <c r="G273" i="13"/>
  <c r="F273" i="13"/>
  <c r="E273" i="13"/>
  <c r="D273" i="13"/>
  <c r="C273" i="13"/>
  <c r="B273" i="13"/>
  <c r="A273" i="13"/>
  <c r="AF272" i="13"/>
  <c r="AE272" i="13"/>
  <c r="AD272" i="13"/>
  <c r="AC272" i="13"/>
  <c r="AB272" i="13"/>
  <c r="AA272" i="13"/>
  <c r="Z272" i="13"/>
  <c r="Y272" i="13"/>
  <c r="X272" i="13"/>
  <c r="W272" i="13"/>
  <c r="V272" i="13"/>
  <c r="U272" i="13"/>
  <c r="T272" i="13"/>
  <c r="S272" i="13"/>
  <c r="R272" i="13"/>
  <c r="Q272" i="13"/>
  <c r="P272" i="13"/>
  <c r="O272" i="13"/>
  <c r="N272" i="13"/>
  <c r="M272" i="13"/>
  <c r="L272" i="13"/>
  <c r="K272" i="13"/>
  <c r="J272" i="13"/>
  <c r="I272" i="13"/>
  <c r="H272" i="13"/>
  <c r="G272" i="13"/>
  <c r="F272" i="13"/>
  <c r="E272" i="13"/>
  <c r="D272" i="13"/>
  <c r="C272" i="13"/>
  <c r="B272" i="13"/>
  <c r="A272" i="13"/>
  <c r="AF271" i="13"/>
  <c r="AE271" i="13"/>
  <c r="AD271" i="13"/>
  <c r="AC271" i="13"/>
  <c r="AB271" i="13"/>
  <c r="AA271" i="13"/>
  <c r="Z271" i="13"/>
  <c r="Y271" i="13"/>
  <c r="X271" i="13"/>
  <c r="W271" i="13"/>
  <c r="V271" i="13"/>
  <c r="U271" i="13"/>
  <c r="T271" i="13"/>
  <c r="S271" i="13"/>
  <c r="R271" i="13"/>
  <c r="Q271" i="13"/>
  <c r="P271" i="13"/>
  <c r="O271" i="13"/>
  <c r="N271" i="13"/>
  <c r="M271" i="13"/>
  <c r="L271" i="13"/>
  <c r="K271" i="13"/>
  <c r="J271" i="13"/>
  <c r="I271" i="13"/>
  <c r="H271" i="13"/>
  <c r="G271" i="13"/>
  <c r="F271" i="13"/>
  <c r="E271" i="13"/>
  <c r="D271" i="13"/>
  <c r="C271" i="13"/>
  <c r="B271" i="13"/>
  <c r="A271" i="13"/>
  <c r="AE270" i="13"/>
  <c r="AD270" i="13"/>
  <c r="AC270" i="13"/>
  <c r="AB270" i="13"/>
  <c r="AA270" i="13"/>
  <c r="Z270" i="13"/>
  <c r="Y270" i="13"/>
  <c r="X270" i="13"/>
  <c r="W270" i="13"/>
  <c r="V270" i="13"/>
  <c r="U270" i="13"/>
  <c r="T270" i="13"/>
  <c r="S270" i="13"/>
  <c r="R270" i="13"/>
  <c r="Q270" i="13"/>
  <c r="P270" i="13"/>
  <c r="B270" i="13"/>
  <c r="S245" i="13"/>
  <c r="AG235" i="13"/>
  <c r="AF235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C235" i="13"/>
  <c r="D234" i="13"/>
  <c r="C270" i="13" s="1"/>
  <c r="B234" i="13"/>
  <c r="AF270" i="13" s="1"/>
  <c r="D233" i="13"/>
  <c r="E233" i="13" s="1"/>
  <c r="F233" i="13" s="1"/>
  <c r="G233" i="13" s="1"/>
  <c r="H233" i="13" s="1"/>
  <c r="I233" i="13" s="1"/>
  <c r="J233" i="13" s="1"/>
  <c r="K233" i="13" s="1"/>
  <c r="L233" i="13" s="1"/>
  <c r="M233" i="13" s="1"/>
  <c r="N233" i="13" s="1"/>
  <c r="O233" i="13" s="1"/>
  <c r="P233" i="13" s="1"/>
  <c r="B233" i="13"/>
  <c r="E232" i="13"/>
  <c r="F232" i="13" s="1"/>
  <c r="G232" i="13" s="1"/>
  <c r="H232" i="13" s="1"/>
  <c r="I232" i="13" s="1"/>
  <c r="D232" i="13"/>
  <c r="B232" i="13"/>
  <c r="D231" i="13"/>
  <c r="E231" i="13" s="1"/>
  <c r="F231" i="13" s="1"/>
  <c r="G231" i="13" s="1"/>
  <c r="H231" i="13" s="1"/>
  <c r="B231" i="13"/>
  <c r="D230" i="13"/>
  <c r="E230" i="13" s="1"/>
  <c r="F230" i="13" s="1"/>
  <c r="G230" i="13" s="1"/>
  <c r="H230" i="13" s="1"/>
  <c r="I230" i="13" s="1"/>
  <c r="J230" i="13" s="1"/>
  <c r="K230" i="13" s="1"/>
  <c r="L230" i="13" s="1"/>
  <c r="M230" i="13" s="1"/>
  <c r="N230" i="13" s="1"/>
  <c r="O230" i="13" s="1"/>
  <c r="P230" i="13" s="1"/>
  <c r="B230" i="13"/>
  <c r="D229" i="13"/>
  <c r="B229" i="13"/>
  <c r="AG227" i="13"/>
  <c r="AF227" i="13"/>
  <c r="AE227" i="13"/>
  <c r="AD227" i="13"/>
  <c r="AC227" i="13"/>
  <c r="AB227" i="13"/>
  <c r="AA227" i="13"/>
  <c r="Z227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AI120" i="13"/>
  <c r="AH120" i="13"/>
  <c r="AI119" i="13"/>
  <c r="AH119" i="13"/>
  <c r="AI118" i="13"/>
  <c r="AH118" i="13"/>
  <c r="AI117" i="13"/>
  <c r="AH117" i="13"/>
  <c r="AI116" i="13"/>
  <c r="AH116" i="13"/>
  <c r="AI115" i="13"/>
  <c r="AH115" i="13"/>
  <c r="AI114" i="13"/>
  <c r="AH114" i="13"/>
  <c r="AI112" i="13"/>
  <c r="AH112" i="13"/>
  <c r="AI111" i="13"/>
  <c r="AH111" i="13"/>
  <c r="AF110" i="13"/>
  <c r="AE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C110" i="13"/>
  <c r="AI109" i="13"/>
  <c r="AH109" i="13"/>
  <c r="AI108" i="13"/>
  <c r="AH108" i="13"/>
  <c r="AI107" i="13"/>
  <c r="AH107" i="13"/>
  <c r="AI106" i="13"/>
  <c r="AH106" i="13"/>
  <c r="AI105" i="13"/>
  <c r="AH105" i="13"/>
  <c r="AI104" i="13"/>
  <c r="AH104" i="13"/>
  <c r="AI103" i="13"/>
  <c r="AH103" i="13"/>
  <c r="AI102" i="13"/>
  <c r="AH102" i="13"/>
  <c r="AI101" i="13"/>
  <c r="AH101" i="13"/>
  <c r="AI99" i="13"/>
  <c r="AH99" i="13"/>
  <c r="AI98" i="13"/>
  <c r="AH98" i="13"/>
  <c r="AI97" i="13"/>
  <c r="AH97" i="13"/>
  <c r="AI96" i="13"/>
  <c r="AH96" i="13"/>
  <c r="AI95" i="13"/>
  <c r="AH95" i="13"/>
  <c r="AI94" i="13"/>
  <c r="AH94" i="13"/>
  <c r="AI93" i="13"/>
  <c r="AH93" i="13"/>
  <c r="AI90" i="13"/>
  <c r="AH90" i="13"/>
  <c r="AI88" i="13"/>
  <c r="AH88" i="13"/>
  <c r="AG88" i="13"/>
  <c r="AG91" i="13" s="1"/>
  <c r="AI87" i="13"/>
  <c r="AH87" i="13"/>
  <c r="AI86" i="13"/>
  <c r="AH86" i="13"/>
  <c r="AI85" i="13"/>
  <c r="AH85" i="13"/>
  <c r="AN84" i="13"/>
  <c r="AG84" i="13"/>
  <c r="AF84" i="13"/>
  <c r="AE5" i="13" s="1"/>
  <c r="AE84" i="13"/>
  <c r="AE100" i="13" s="1"/>
  <c r="AD84" i="13"/>
  <c r="AD100" i="13" s="1"/>
  <c r="AC84" i="13"/>
  <c r="AC100" i="13" s="1"/>
  <c r="AB84" i="13"/>
  <c r="AB100" i="13" s="1"/>
  <c r="AA84" i="13"/>
  <c r="AA100" i="13" s="1"/>
  <c r="Z84" i="13"/>
  <c r="Y84" i="13"/>
  <c r="Y100" i="13" s="1"/>
  <c r="X84" i="13"/>
  <c r="X100" i="13" s="1"/>
  <c r="W84" i="13"/>
  <c r="W100" i="13" s="1"/>
  <c r="V84" i="13"/>
  <c r="V100" i="13" s="1"/>
  <c r="U84" i="13"/>
  <c r="U100" i="13" s="1"/>
  <c r="T84" i="13"/>
  <c r="T100" i="13" s="1"/>
  <c r="S84" i="13"/>
  <c r="S100" i="13" s="1"/>
  <c r="R84" i="13"/>
  <c r="Q84" i="13"/>
  <c r="P5" i="13" s="1"/>
  <c r="P84" i="13"/>
  <c r="O5" i="13" s="1"/>
  <c r="O84" i="13"/>
  <c r="N5" i="13" s="1"/>
  <c r="N84" i="13"/>
  <c r="N100" i="13" s="1"/>
  <c r="M84" i="13"/>
  <c r="M100" i="13" s="1"/>
  <c r="L84" i="13"/>
  <c r="L100" i="13" s="1"/>
  <c r="K84" i="13"/>
  <c r="K100" i="13" s="1"/>
  <c r="J84" i="13"/>
  <c r="I84" i="13"/>
  <c r="I100" i="13" s="1"/>
  <c r="H84" i="13"/>
  <c r="H100" i="13" s="1"/>
  <c r="G84" i="13"/>
  <c r="F5" i="13" s="1"/>
  <c r="F84" i="13"/>
  <c r="F100" i="13" s="1"/>
  <c r="E84" i="13"/>
  <c r="D5" i="13" s="1"/>
  <c r="D84" i="13"/>
  <c r="D100" i="13" s="1"/>
  <c r="C84" i="13"/>
  <c r="C100" i="13" s="1"/>
  <c r="B84" i="13"/>
  <c r="AF5" i="13" s="1"/>
  <c r="AN83" i="13"/>
  <c r="AI83" i="13"/>
  <c r="AH83" i="13"/>
  <c r="AN82" i="13"/>
  <c r="AI82" i="13"/>
  <c r="AH82" i="13"/>
  <c r="AN81" i="13"/>
  <c r="AI81" i="13"/>
  <c r="AH81" i="13"/>
  <c r="AI80" i="13"/>
  <c r="AH80" i="13"/>
  <c r="AI79" i="13"/>
  <c r="AH79" i="13"/>
  <c r="AI78" i="13"/>
  <c r="AH78" i="13"/>
  <c r="AI77" i="13"/>
  <c r="AH77" i="13"/>
  <c r="AI76" i="13"/>
  <c r="AH76" i="13"/>
  <c r="AI75" i="13"/>
  <c r="AH75" i="13"/>
  <c r="AI74" i="13"/>
  <c r="AH74" i="13"/>
  <c r="AI73" i="13"/>
  <c r="AH73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B72" i="13"/>
  <c r="AI71" i="13"/>
  <c r="AH71" i="13"/>
  <c r="AI70" i="13"/>
  <c r="AH70" i="13"/>
  <c r="AI69" i="13"/>
  <c r="AH69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AI67" i="13"/>
  <c r="AH67" i="13"/>
  <c r="AG67" i="13"/>
  <c r="AG68" i="13" s="1"/>
  <c r="AG3" i="13" s="1"/>
  <c r="AI66" i="13"/>
  <c r="AH66" i="13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I58" i="13"/>
  <c r="AH58" i="13"/>
  <c r="AI57" i="13"/>
  <c r="AH57" i="13"/>
  <c r="AI56" i="13"/>
  <c r="AH56" i="13"/>
  <c r="AI55" i="13"/>
  <c r="AH55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K54" i="13"/>
  <c r="J54" i="13"/>
  <c r="I54" i="13"/>
  <c r="H54" i="13"/>
  <c r="G54" i="13"/>
  <c r="F54" i="13"/>
  <c r="E54" i="13"/>
  <c r="D54" i="13"/>
  <c r="C54" i="13"/>
  <c r="B54" i="13"/>
  <c r="AI53" i="13"/>
  <c r="AH53" i="13"/>
  <c r="AI52" i="13"/>
  <c r="AH52" i="13"/>
  <c r="AI51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G4" i="13"/>
  <c r="K4" i="13"/>
  <c r="E4" i="13"/>
  <c r="H4" i="13" s="1"/>
  <c r="B4" i="13"/>
  <c r="S246" i="13" s="1"/>
  <c r="E4" i="12"/>
  <c r="AF49" i="12"/>
  <c r="AE72" i="12"/>
  <c r="AE49" i="12"/>
  <c r="AD49" i="12"/>
  <c r="AC49" i="12"/>
  <c r="AB49" i="12"/>
  <c r="AA49" i="12"/>
  <c r="AA113" i="12"/>
  <c r="Z113" i="12"/>
  <c r="Z49" i="12"/>
  <c r="Y113" i="12"/>
  <c r="Y49" i="12"/>
  <c r="X113" i="12"/>
  <c r="X49" i="12"/>
  <c r="W113" i="12"/>
  <c r="W49" i="12"/>
  <c r="V113" i="12"/>
  <c r="V49" i="12"/>
  <c r="U113" i="12"/>
  <c r="U49" i="12"/>
  <c r="T113" i="12"/>
  <c r="T49" i="12"/>
  <c r="S113" i="12"/>
  <c r="S49" i="12"/>
  <c r="R49" i="12"/>
  <c r="Q49" i="12"/>
  <c r="H229" i="15" l="1"/>
  <c r="G110" i="15"/>
  <c r="G235" i="15"/>
  <c r="G270" i="15"/>
  <c r="I234" i="15"/>
  <c r="AD5" i="13"/>
  <c r="AB5" i="13"/>
  <c r="AB89" i="13"/>
  <c r="AB91" i="13" s="1"/>
  <c r="AB92" i="13" s="1"/>
  <c r="W5" i="13"/>
  <c r="T5" i="13"/>
  <c r="S5" i="13"/>
  <c r="U89" i="13"/>
  <c r="U91" i="13" s="1"/>
  <c r="U7" i="13" s="1"/>
  <c r="V5" i="13"/>
  <c r="V89" i="13"/>
  <c r="V91" i="13" s="1"/>
  <c r="AN249" i="13" s="1"/>
  <c r="AD89" i="13"/>
  <c r="AD91" i="13" s="1"/>
  <c r="AD7" i="13" s="1"/>
  <c r="AE89" i="13"/>
  <c r="AE91" i="13" s="1"/>
  <c r="AE7" i="13" s="1"/>
  <c r="AC89" i="13"/>
  <c r="AC91" i="13" s="1"/>
  <c r="AC92" i="13" s="1"/>
  <c r="W89" i="13"/>
  <c r="W91" i="13" s="1"/>
  <c r="W92" i="13" s="1"/>
  <c r="AA5" i="13"/>
  <c r="X5" i="13"/>
  <c r="R89" i="13"/>
  <c r="R91" i="13" s="1"/>
  <c r="Z89" i="13"/>
  <c r="Z91" i="13" s="1"/>
  <c r="AR249" i="13" s="1"/>
  <c r="AI113" i="13"/>
  <c r="X89" i="13"/>
  <c r="X91" i="13" s="1"/>
  <c r="AP249" i="13" s="1"/>
  <c r="AF89" i="13"/>
  <c r="AF91" i="13" s="1"/>
  <c r="AF7" i="13" s="1"/>
  <c r="P89" i="13"/>
  <c r="P91" i="13" s="1"/>
  <c r="AH249" i="13" s="1"/>
  <c r="O100" i="13"/>
  <c r="O89" i="13"/>
  <c r="O91" i="13" s="1"/>
  <c r="AG249" i="13" s="1"/>
  <c r="T89" i="13"/>
  <c r="T91" i="13" s="1"/>
  <c r="T92" i="13" s="1"/>
  <c r="AH72" i="13"/>
  <c r="N89" i="13"/>
  <c r="N91" i="13" s="1"/>
  <c r="N92" i="13" s="1"/>
  <c r="L5" i="13"/>
  <c r="M89" i="13"/>
  <c r="M91" i="13" s="1"/>
  <c r="AE249" i="13" s="1"/>
  <c r="K5" i="13"/>
  <c r="AH51" i="13"/>
  <c r="L89" i="13"/>
  <c r="L91" i="13" s="1"/>
  <c r="L92" i="13" s="1"/>
  <c r="K89" i="13"/>
  <c r="K91" i="13" s="1"/>
  <c r="AC249" i="13" s="1"/>
  <c r="J89" i="13"/>
  <c r="J91" i="13" s="1"/>
  <c r="J7" i="13" s="1"/>
  <c r="H5" i="13"/>
  <c r="G5" i="13"/>
  <c r="H89" i="13"/>
  <c r="H91" i="13" s="1"/>
  <c r="Z249" i="13" s="1"/>
  <c r="G100" i="13"/>
  <c r="G89" i="13"/>
  <c r="G91" i="13" s="1"/>
  <c r="Y249" i="13" s="1"/>
  <c r="E100" i="13"/>
  <c r="F89" i="13"/>
  <c r="F91" i="13" s="1"/>
  <c r="X249" i="13" s="1"/>
  <c r="E89" i="13"/>
  <c r="E91" i="13" s="1"/>
  <c r="E7" i="13" s="1"/>
  <c r="C5" i="13"/>
  <c r="D89" i="13"/>
  <c r="D91" i="13" s="1"/>
  <c r="D92" i="13" s="1"/>
  <c r="AI68" i="13"/>
  <c r="C89" i="13"/>
  <c r="C91" i="13" s="1"/>
  <c r="C92" i="13" s="1"/>
  <c r="AH68" i="13"/>
  <c r="B89" i="13"/>
  <c r="B91" i="13" s="1"/>
  <c r="D246" i="13"/>
  <c r="J232" i="13"/>
  <c r="K232" i="13" s="1"/>
  <c r="L232" i="13" s="1"/>
  <c r="M232" i="13" s="1"/>
  <c r="N232" i="13" s="1"/>
  <c r="O232" i="13" s="1"/>
  <c r="P232" i="13" s="1"/>
  <c r="R7" i="13"/>
  <c r="AJ249" i="13"/>
  <c r="R92" i="13"/>
  <c r="AW249" i="13"/>
  <c r="D235" i="13"/>
  <c r="E229" i="13"/>
  <c r="E234" i="13"/>
  <c r="AB7" i="13"/>
  <c r="I89" i="13"/>
  <c r="I91" i="13" s="1"/>
  <c r="Q89" i="13"/>
  <c r="Q91" i="13" s="1"/>
  <c r="Y89" i="13"/>
  <c r="Y91" i="13" s="1"/>
  <c r="AG89" i="13"/>
  <c r="AG2" i="13"/>
  <c r="AG6" i="13" s="1"/>
  <c r="AI72" i="13"/>
  <c r="P100" i="13"/>
  <c r="AF100" i="13"/>
  <c r="G7" i="13"/>
  <c r="K7" i="13"/>
  <c r="K92" i="13"/>
  <c r="S89" i="13"/>
  <c r="S91" i="13" s="1"/>
  <c r="B100" i="13"/>
  <c r="AI84" i="13"/>
  <c r="J100" i="13"/>
  <c r="I5" i="13"/>
  <c r="Q5" i="13"/>
  <c r="R100" i="13"/>
  <c r="Z100" i="13"/>
  <c r="Y5" i="13"/>
  <c r="AH84" i="13"/>
  <c r="B110" i="13"/>
  <c r="B235" i="13"/>
  <c r="Q100" i="13"/>
  <c r="AA89" i="13"/>
  <c r="AA91" i="13" s="1"/>
  <c r="AM249" i="13"/>
  <c r="O92" i="13"/>
  <c r="AH54" i="13"/>
  <c r="D110" i="13"/>
  <c r="AH50" i="13"/>
  <c r="B5" i="13"/>
  <c r="J5" i="13"/>
  <c r="R5" i="13"/>
  <c r="Z5" i="13"/>
  <c r="AI50" i="13"/>
  <c r="AI54" i="13"/>
  <c r="E5" i="13"/>
  <c r="M5" i="13"/>
  <c r="U5" i="13"/>
  <c r="AC5" i="13"/>
  <c r="H270" i="15" l="1"/>
  <c r="J234" i="15"/>
  <c r="I229" i="15"/>
  <c r="H110" i="15"/>
  <c r="H235" i="15"/>
  <c r="AX249" i="13"/>
  <c r="AF92" i="13"/>
  <c r="AT249" i="13"/>
  <c r="AE92" i="13"/>
  <c r="AV249" i="13"/>
  <c r="AD92" i="13"/>
  <c r="AC7" i="13"/>
  <c r="AU249" i="13"/>
  <c r="O7" i="13"/>
  <c r="W7" i="13"/>
  <c r="AO249" i="13"/>
  <c r="Z7" i="13"/>
  <c r="Z92" i="13"/>
  <c r="X92" i="13"/>
  <c r="X7" i="13"/>
  <c r="V92" i="13"/>
  <c r="U92" i="13"/>
  <c r="T7" i="13"/>
  <c r="AL249" i="13"/>
  <c r="P92" i="13"/>
  <c r="P7" i="13"/>
  <c r="V7" i="13"/>
  <c r="AB249" i="13"/>
  <c r="J92" i="13"/>
  <c r="AF249" i="13"/>
  <c r="N7" i="13"/>
  <c r="M92" i="13"/>
  <c r="M7" i="13"/>
  <c r="L7" i="13"/>
  <c r="AD249" i="13"/>
  <c r="H7" i="13"/>
  <c r="H92" i="13"/>
  <c r="G92" i="13"/>
  <c r="F7" i="13"/>
  <c r="F92" i="13"/>
  <c r="E92" i="13"/>
  <c r="W249" i="13"/>
  <c r="D7" i="13"/>
  <c r="V249" i="13"/>
  <c r="C7" i="13"/>
  <c r="U249" i="13"/>
  <c r="B7" i="13"/>
  <c r="B92" i="13"/>
  <c r="AI91" i="13"/>
  <c r="AH91" i="13"/>
  <c r="T249" i="13"/>
  <c r="AI89" i="13"/>
  <c r="AI100" i="13"/>
  <c r="AH100" i="13"/>
  <c r="I7" i="13"/>
  <c r="I92" i="13"/>
  <c r="AA249" i="13"/>
  <c r="S7" i="13"/>
  <c r="S92" i="13"/>
  <c r="AK249" i="13"/>
  <c r="AA7" i="13"/>
  <c r="AA92" i="13"/>
  <c r="AS249" i="13"/>
  <c r="F234" i="13"/>
  <c r="D270" i="13"/>
  <c r="F229" i="13"/>
  <c r="E235" i="13"/>
  <c r="E110" i="13"/>
  <c r="B244" i="13"/>
  <c r="C244" i="13"/>
  <c r="Y7" i="13"/>
  <c r="Y92" i="13"/>
  <c r="AQ249" i="13"/>
  <c r="AH89" i="13"/>
  <c r="Q7" i="13"/>
  <c r="Q92" i="13"/>
  <c r="AI249" i="13"/>
  <c r="I110" i="15" l="1"/>
  <c r="J229" i="15"/>
  <c r="K234" i="15"/>
  <c r="I270" i="15"/>
  <c r="G229" i="13"/>
  <c r="F235" i="13"/>
  <c r="F110" i="13"/>
  <c r="E270" i="13"/>
  <c r="G234" i="13"/>
  <c r="AH92" i="13"/>
  <c r="AI92" i="13"/>
  <c r="K6" i="13"/>
  <c r="A7" i="13"/>
  <c r="J270" i="15" l="1"/>
  <c r="L234" i="15"/>
  <c r="K229" i="15"/>
  <c r="J110" i="15"/>
  <c r="F270" i="13"/>
  <c r="H234" i="13"/>
  <c r="H229" i="13"/>
  <c r="G110" i="13"/>
  <c r="G235" i="13"/>
  <c r="K110" i="15" l="1"/>
  <c r="L229" i="15"/>
  <c r="M234" i="15"/>
  <c r="K270" i="15"/>
  <c r="G270" i="13"/>
  <c r="I234" i="13"/>
  <c r="I229" i="13"/>
  <c r="H110" i="13"/>
  <c r="H235" i="13"/>
  <c r="L270" i="15" l="1"/>
  <c r="N234" i="15"/>
  <c r="M229" i="15"/>
  <c r="L110" i="15"/>
  <c r="I110" i="13"/>
  <c r="J229" i="13"/>
  <c r="H270" i="13"/>
  <c r="J234" i="13"/>
  <c r="M110" i="15" l="1"/>
  <c r="N229" i="15"/>
  <c r="M270" i="15"/>
  <c r="O234" i="15"/>
  <c r="K234" i="13"/>
  <c r="I270" i="13"/>
  <c r="J110" i="13"/>
  <c r="K229" i="13"/>
  <c r="N270" i="15" l="1"/>
  <c r="P234" i="15"/>
  <c r="O270" i="15" s="1"/>
  <c r="O229" i="15"/>
  <c r="N110" i="15"/>
  <c r="K110" i="13"/>
  <c r="L229" i="13"/>
  <c r="J270" i="13"/>
  <c r="L234" i="13"/>
  <c r="P229" i="15" l="1"/>
  <c r="O110" i="15"/>
  <c r="K270" i="13"/>
  <c r="M234" i="13"/>
  <c r="M229" i="13"/>
  <c r="L110" i="13"/>
  <c r="AH110" i="15" l="1"/>
  <c r="AI110" i="15"/>
  <c r="N229" i="13"/>
  <c r="M110" i="13"/>
  <c r="N234" i="13"/>
  <c r="L270" i="13"/>
  <c r="M270" i="13" l="1"/>
  <c r="O234" i="13"/>
  <c r="O229" i="13"/>
  <c r="N110" i="13"/>
  <c r="P229" i="13" l="1"/>
  <c r="O110" i="13"/>
  <c r="N270" i="13"/>
  <c r="P234" i="13"/>
  <c r="O270" i="13" s="1"/>
  <c r="AI110" i="13" l="1"/>
  <c r="AH110" i="13"/>
  <c r="P49" i="12" l="1"/>
  <c r="O49" i="12"/>
  <c r="N49" i="12"/>
  <c r="N50" i="12"/>
  <c r="N54" i="12"/>
  <c r="M84" i="12"/>
  <c r="M100" i="12" s="1"/>
  <c r="M49" i="12"/>
  <c r="L49" i="12"/>
  <c r="K49" i="12"/>
  <c r="J84" i="12"/>
  <c r="J100" i="12"/>
  <c r="J49" i="12"/>
  <c r="I49" i="12"/>
  <c r="H49" i="12"/>
  <c r="G49" i="12"/>
  <c r="F49" i="12"/>
  <c r="E49" i="12"/>
  <c r="D113" i="12"/>
  <c r="AI113" i="12" s="1"/>
  <c r="D49" i="12"/>
  <c r="C49" i="12"/>
  <c r="D50" i="12"/>
  <c r="D54" i="12"/>
  <c r="D68" i="12"/>
  <c r="D72" i="12"/>
  <c r="D84" i="12"/>
  <c r="D100" i="12" s="1"/>
  <c r="D110" i="12"/>
  <c r="C113" i="12"/>
  <c r="C50" i="12"/>
  <c r="C54" i="12"/>
  <c r="C68" i="12"/>
  <c r="C72" i="12"/>
  <c r="C84" i="12"/>
  <c r="C100" i="12" s="1"/>
  <c r="B113" i="12"/>
  <c r="B110" i="12"/>
  <c r="B84" i="12"/>
  <c r="B100" i="12" s="1"/>
  <c r="B72" i="12"/>
  <c r="B68" i="12"/>
  <c r="B54" i="12"/>
  <c r="B50" i="12"/>
  <c r="B49" i="12"/>
  <c r="AF274" i="12"/>
  <c r="AE274" i="12"/>
  <c r="AD274" i="12"/>
  <c r="AC274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O274" i="12"/>
  <c r="N274" i="12"/>
  <c r="M274" i="12"/>
  <c r="L274" i="12"/>
  <c r="K274" i="12"/>
  <c r="J274" i="12"/>
  <c r="I274" i="12"/>
  <c r="H274" i="12"/>
  <c r="G274" i="12"/>
  <c r="F274" i="12"/>
  <c r="E274" i="12"/>
  <c r="D274" i="12"/>
  <c r="C274" i="12"/>
  <c r="B274" i="12"/>
  <c r="A274" i="12"/>
  <c r="AF273" i="12"/>
  <c r="AE273" i="12"/>
  <c r="AD273" i="12"/>
  <c r="AC273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O273" i="12"/>
  <c r="N273" i="12"/>
  <c r="M273" i="12"/>
  <c r="L273" i="12"/>
  <c r="K273" i="12"/>
  <c r="J273" i="12"/>
  <c r="I273" i="12"/>
  <c r="H273" i="12"/>
  <c r="G273" i="12"/>
  <c r="F273" i="12"/>
  <c r="E273" i="12"/>
  <c r="D273" i="12"/>
  <c r="C273" i="12"/>
  <c r="B273" i="12"/>
  <c r="A273" i="12"/>
  <c r="AF272" i="12"/>
  <c r="AE272" i="12"/>
  <c r="AD272" i="12"/>
  <c r="AC272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O272" i="12"/>
  <c r="N272" i="12"/>
  <c r="M272" i="12"/>
  <c r="L272" i="12"/>
  <c r="K272" i="12"/>
  <c r="J272" i="12"/>
  <c r="I272" i="12"/>
  <c r="H272" i="12"/>
  <c r="G272" i="12"/>
  <c r="F272" i="12"/>
  <c r="E272" i="12"/>
  <c r="D272" i="12"/>
  <c r="C272" i="12"/>
  <c r="B272" i="12"/>
  <c r="A272" i="12"/>
  <c r="AF271" i="12"/>
  <c r="AE271" i="12"/>
  <c r="AD271" i="12"/>
  <c r="AC271" i="12"/>
  <c r="AB271" i="12"/>
  <c r="AA271" i="12"/>
  <c r="Z271" i="12"/>
  <c r="Y271" i="12"/>
  <c r="X271" i="12"/>
  <c r="W271" i="12"/>
  <c r="V271" i="12"/>
  <c r="U271" i="12"/>
  <c r="T271" i="12"/>
  <c r="S271" i="12"/>
  <c r="R271" i="12"/>
  <c r="Q271" i="12"/>
  <c r="P271" i="12"/>
  <c r="O271" i="12"/>
  <c r="N271" i="12"/>
  <c r="M271" i="12"/>
  <c r="L271" i="12"/>
  <c r="K271" i="12"/>
  <c r="J271" i="12"/>
  <c r="I271" i="12"/>
  <c r="H271" i="12"/>
  <c r="G271" i="12"/>
  <c r="F271" i="12"/>
  <c r="E271" i="12"/>
  <c r="D271" i="12"/>
  <c r="C271" i="12"/>
  <c r="B271" i="12"/>
  <c r="A271" i="12"/>
  <c r="AE270" i="12"/>
  <c r="AD270" i="12"/>
  <c r="AC270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B270" i="12"/>
  <c r="S245" i="12"/>
  <c r="AG235" i="12"/>
  <c r="AF235" i="12"/>
  <c r="AE235" i="12"/>
  <c r="AD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C235" i="12"/>
  <c r="D234" i="12"/>
  <c r="E234" i="12" s="1"/>
  <c r="B234" i="12"/>
  <c r="AF270" i="12" s="1"/>
  <c r="E233" i="12"/>
  <c r="F233" i="12" s="1"/>
  <c r="G233" i="12" s="1"/>
  <c r="H233" i="12" s="1"/>
  <c r="I233" i="12" s="1"/>
  <c r="J233" i="12" s="1"/>
  <c r="K233" i="12" s="1"/>
  <c r="L233" i="12" s="1"/>
  <c r="M233" i="12" s="1"/>
  <c r="N233" i="12" s="1"/>
  <c r="O233" i="12" s="1"/>
  <c r="P233" i="12" s="1"/>
  <c r="D233" i="12"/>
  <c r="B233" i="12"/>
  <c r="D232" i="12"/>
  <c r="E232" i="12" s="1"/>
  <c r="F232" i="12" s="1"/>
  <c r="G232" i="12" s="1"/>
  <c r="H232" i="12" s="1"/>
  <c r="I232" i="12" s="1"/>
  <c r="B232" i="12"/>
  <c r="F231" i="12"/>
  <c r="G231" i="12" s="1"/>
  <c r="H231" i="12" s="1"/>
  <c r="E231" i="12"/>
  <c r="D231" i="12"/>
  <c r="B231" i="12"/>
  <c r="D230" i="12"/>
  <c r="D235" i="12" s="1"/>
  <c r="B230" i="12"/>
  <c r="E229" i="12"/>
  <c r="F229" i="12" s="1"/>
  <c r="D229" i="12"/>
  <c r="B229" i="12"/>
  <c r="AG227" i="12"/>
  <c r="AF227" i="12"/>
  <c r="AE227" i="12"/>
  <c r="AD227" i="12"/>
  <c r="AC227" i="12"/>
  <c r="AB227" i="12"/>
  <c r="AA227" i="12"/>
  <c r="Z227" i="12"/>
  <c r="Y227" i="12"/>
  <c r="X227" i="12"/>
  <c r="W227" i="12"/>
  <c r="V227" i="12"/>
  <c r="U227" i="12"/>
  <c r="T227" i="12"/>
  <c r="S227" i="12"/>
  <c r="R227" i="12"/>
  <c r="Q227" i="12"/>
  <c r="P227" i="12"/>
  <c r="O227" i="12"/>
  <c r="N227" i="12"/>
  <c r="M227" i="12"/>
  <c r="L227" i="12"/>
  <c r="K227" i="12"/>
  <c r="J227" i="12"/>
  <c r="I227" i="12"/>
  <c r="H227" i="12"/>
  <c r="G227" i="12"/>
  <c r="F227" i="12"/>
  <c r="E227" i="12"/>
  <c r="D227" i="12"/>
  <c r="C227" i="12"/>
  <c r="B227" i="12"/>
  <c r="AI120" i="12"/>
  <c r="AH120" i="12"/>
  <c r="AI119" i="12"/>
  <c r="AH119" i="12"/>
  <c r="AI118" i="12"/>
  <c r="AH118" i="12"/>
  <c r="AI117" i="12"/>
  <c r="AH117" i="12"/>
  <c r="AI116" i="12"/>
  <c r="AH116" i="12"/>
  <c r="AI115" i="12"/>
  <c r="AH115" i="12"/>
  <c r="AI114" i="12"/>
  <c r="AH114" i="12"/>
  <c r="AI112" i="12"/>
  <c r="AH112" i="12"/>
  <c r="AI111" i="12"/>
  <c r="AH111" i="12"/>
  <c r="AF110" i="12"/>
  <c r="AE110" i="12"/>
  <c r="AC110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C110" i="12"/>
  <c r="AI109" i="12"/>
  <c r="AH109" i="12"/>
  <c r="AI108" i="12"/>
  <c r="AH108" i="12"/>
  <c r="AI107" i="12"/>
  <c r="AH107" i="12"/>
  <c r="AI106" i="12"/>
  <c r="AH106" i="12"/>
  <c r="AI105" i="12"/>
  <c r="AH105" i="12"/>
  <c r="AI104" i="12"/>
  <c r="AH104" i="12"/>
  <c r="AI103" i="12"/>
  <c r="AH103" i="12"/>
  <c r="AI102" i="12"/>
  <c r="AH102" i="12"/>
  <c r="AI101" i="12"/>
  <c r="AH101" i="12"/>
  <c r="O100" i="12"/>
  <c r="AI99" i="12"/>
  <c r="AH99" i="12"/>
  <c r="AI98" i="12"/>
  <c r="AH98" i="12"/>
  <c r="AI97" i="12"/>
  <c r="AH97" i="12"/>
  <c r="AI96" i="12"/>
  <c r="AH96" i="12"/>
  <c r="AI95" i="12"/>
  <c r="AH95" i="12"/>
  <c r="AI94" i="12"/>
  <c r="AH94" i="12"/>
  <c r="AI93" i="12"/>
  <c r="AH93" i="12"/>
  <c r="AI90" i="12"/>
  <c r="AH90" i="12"/>
  <c r="AI88" i="12"/>
  <c r="AH88" i="12"/>
  <c r="AG88" i="12"/>
  <c r="AI87" i="12"/>
  <c r="AH87" i="12"/>
  <c r="AI86" i="12"/>
  <c r="AH86" i="12"/>
  <c r="AI85" i="12"/>
  <c r="AH85" i="12"/>
  <c r="AN84" i="12"/>
  <c r="AG84" i="12"/>
  <c r="AG91" i="12" s="1"/>
  <c r="AF84" i="12"/>
  <c r="AE5" i="12" s="1"/>
  <c r="AE84" i="12"/>
  <c r="AE100" i="12" s="1"/>
  <c r="AD84" i="12"/>
  <c r="AD100" i="12" s="1"/>
  <c r="AC84" i="12"/>
  <c r="AC100" i="12" s="1"/>
  <c r="AB84" i="12"/>
  <c r="AB100" i="12" s="1"/>
  <c r="AA84" i="12"/>
  <c r="AA100" i="12" s="1"/>
  <c r="Z84" i="12"/>
  <c r="Y5" i="12" s="1"/>
  <c r="Y84" i="12"/>
  <c r="Y100" i="12" s="1"/>
  <c r="X84" i="12"/>
  <c r="X100" i="12" s="1"/>
  <c r="W84" i="12"/>
  <c r="W100" i="12" s="1"/>
  <c r="V84" i="12"/>
  <c r="V100" i="12" s="1"/>
  <c r="U84" i="12"/>
  <c r="U100" i="12" s="1"/>
  <c r="T84" i="12"/>
  <c r="T100" i="12" s="1"/>
  <c r="S84" i="12"/>
  <c r="S100" i="12" s="1"/>
  <c r="R84" i="12"/>
  <c r="R100" i="12" s="1"/>
  <c r="Q84" i="12"/>
  <c r="Q100" i="12" s="1"/>
  <c r="P84" i="12"/>
  <c r="O5" i="12" s="1"/>
  <c r="O84" i="12"/>
  <c r="N5" i="12" s="1"/>
  <c r="N84" i="12"/>
  <c r="N100" i="12" s="1"/>
  <c r="L84" i="12"/>
  <c r="L100" i="12" s="1"/>
  <c r="K84" i="12"/>
  <c r="K100" i="12" s="1"/>
  <c r="I84" i="12"/>
  <c r="I100" i="12" s="1"/>
  <c r="H84" i="12"/>
  <c r="H100" i="12" s="1"/>
  <c r="G84" i="12"/>
  <c r="G100" i="12" s="1"/>
  <c r="F84" i="12"/>
  <c r="F100" i="12" s="1"/>
  <c r="E84" i="12"/>
  <c r="E100" i="12" s="1"/>
  <c r="AN83" i="12"/>
  <c r="AI83" i="12"/>
  <c r="AH83" i="12"/>
  <c r="AN82" i="12"/>
  <c r="AI82" i="12"/>
  <c r="AH82" i="12"/>
  <c r="AN81" i="12"/>
  <c r="AI81" i="12"/>
  <c r="AH81" i="12"/>
  <c r="AI80" i="12"/>
  <c r="AH80" i="12"/>
  <c r="AI79" i="12"/>
  <c r="AH79" i="12"/>
  <c r="AI78" i="12"/>
  <c r="AH78" i="12"/>
  <c r="AI77" i="12"/>
  <c r="AH77" i="12"/>
  <c r="AI76" i="12"/>
  <c r="AH76" i="12"/>
  <c r="AI75" i="12"/>
  <c r="AH75" i="12"/>
  <c r="AI74" i="12"/>
  <c r="AH74" i="12"/>
  <c r="AI73" i="12"/>
  <c r="AH73" i="12"/>
  <c r="AG72" i="12"/>
  <c r="AF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AI71" i="12"/>
  <c r="AH71" i="12"/>
  <c r="AI70" i="12"/>
  <c r="AH70" i="12"/>
  <c r="AI69" i="12"/>
  <c r="AH69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AI67" i="12"/>
  <c r="AH67" i="12"/>
  <c r="AG67" i="12"/>
  <c r="AG68" i="12" s="1"/>
  <c r="AG3" i="12" s="1"/>
  <c r="AG6" i="12" s="1"/>
  <c r="AI66" i="12"/>
  <c r="AH66" i="12"/>
  <c r="AI65" i="12"/>
  <c r="AH65" i="12"/>
  <c r="AI64" i="12"/>
  <c r="AH64" i="12"/>
  <c r="AI63" i="12"/>
  <c r="AH63" i="12"/>
  <c r="AI62" i="12"/>
  <c r="AH62" i="12"/>
  <c r="AI61" i="12"/>
  <c r="AH61" i="12"/>
  <c r="AI60" i="12"/>
  <c r="AH60" i="12"/>
  <c r="AI59" i="12"/>
  <c r="AH59" i="12"/>
  <c r="AI58" i="12"/>
  <c r="AH58" i="12"/>
  <c r="AI57" i="12"/>
  <c r="AH57" i="12"/>
  <c r="AI56" i="12"/>
  <c r="AH56" i="12"/>
  <c r="AI55" i="12"/>
  <c r="AH55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M54" i="12"/>
  <c r="L54" i="12"/>
  <c r="K54" i="12"/>
  <c r="J54" i="12"/>
  <c r="I54" i="12"/>
  <c r="H54" i="12"/>
  <c r="G54" i="12"/>
  <c r="F54" i="12"/>
  <c r="E54" i="12"/>
  <c r="AI53" i="12"/>
  <c r="AH53" i="12"/>
  <c r="AI52" i="12"/>
  <c r="AH52" i="12"/>
  <c r="AI51" i="12"/>
  <c r="AH51" i="12"/>
  <c r="AG50" i="12"/>
  <c r="AF50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M50" i="12"/>
  <c r="L50" i="12"/>
  <c r="K50" i="12"/>
  <c r="J50" i="12"/>
  <c r="I50" i="12"/>
  <c r="H50" i="12"/>
  <c r="G50" i="12"/>
  <c r="F50" i="12"/>
  <c r="E50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G4" i="12"/>
  <c r="K4" i="12"/>
  <c r="H4" i="12"/>
  <c r="B4" i="12"/>
  <c r="S246" i="12" s="1"/>
  <c r="AG2" i="12"/>
  <c r="AF113" i="11"/>
  <c r="AF49" i="11"/>
  <c r="AF50" i="11"/>
  <c r="AF54" i="11"/>
  <c r="AF68" i="11"/>
  <c r="AF72" i="11"/>
  <c r="AE113" i="11"/>
  <c r="AE49" i="11"/>
  <c r="AE50" i="11"/>
  <c r="AE54" i="11"/>
  <c r="AE68" i="11"/>
  <c r="AE72" i="11"/>
  <c r="AE84" i="11"/>
  <c r="AE100" i="11" s="1"/>
  <c r="AD49" i="11"/>
  <c r="AB50" i="11"/>
  <c r="AC50" i="11"/>
  <c r="V49" i="11"/>
  <c r="V50" i="11"/>
  <c r="V54" i="11"/>
  <c r="V68" i="11"/>
  <c r="V72" i="11"/>
  <c r="V84" i="11"/>
  <c r="V100" i="11" s="1"/>
  <c r="V110" i="11"/>
  <c r="U49" i="11"/>
  <c r="U50" i="11"/>
  <c r="U54" i="11"/>
  <c r="U68" i="11"/>
  <c r="U72" i="11"/>
  <c r="U84" i="11"/>
  <c r="U100" i="11" s="1"/>
  <c r="U110" i="11"/>
  <c r="T49" i="11"/>
  <c r="T50" i="11"/>
  <c r="T54" i="11"/>
  <c r="T68" i="11"/>
  <c r="T72" i="11"/>
  <c r="T84" i="11"/>
  <c r="T100" i="11" s="1"/>
  <c r="T110" i="11"/>
  <c r="S49" i="11"/>
  <c r="R49" i="11"/>
  <c r="R50" i="11"/>
  <c r="R54" i="11"/>
  <c r="R68" i="11"/>
  <c r="R72" i="11"/>
  <c r="R84" i="11"/>
  <c r="R100" i="11" s="1"/>
  <c r="Q49" i="11"/>
  <c r="Q50" i="11"/>
  <c r="Q54" i="11"/>
  <c r="Q68" i="11"/>
  <c r="Q72" i="11"/>
  <c r="Q84" i="11"/>
  <c r="Q100" i="11" s="1"/>
  <c r="P49" i="11"/>
  <c r="O113" i="11"/>
  <c r="O49" i="11"/>
  <c r="AF89" i="12" l="1"/>
  <c r="AF91" i="12" s="1"/>
  <c r="AD5" i="12"/>
  <c r="AE89" i="12"/>
  <c r="AE91" i="12" s="1"/>
  <c r="AC5" i="12"/>
  <c r="AD89" i="12"/>
  <c r="AD91" i="12" s="1"/>
  <c r="AB5" i="12"/>
  <c r="AC89" i="12"/>
  <c r="AC91" i="12" s="1"/>
  <c r="AB89" i="12"/>
  <c r="AB91" i="12" s="1"/>
  <c r="Z5" i="12"/>
  <c r="AA89" i="12"/>
  <c r="AA91" i="12" s="1"/>
  <c r="Z100" i="12"/>
  <c r="Z89" i="12"/>
  <c r="Z91" i="12" s="1"/>
  <c r="Y89" i="12"/>
  <c r="Y91" i="12" s="1"/>
  <c r="X89" i="12"/>
  <c r="X91" i="12" s="1"/>
  <c r="V5" i="12"/>
  <c r="W89" i="12"/>
  <c r="W91" i="12" s="1"/>
  <c r="U5" i="12"/>
  <c r="V89" i="12"/>
  <c r="V91" i="12" s="1"/>
  <c r="AN249" i="12" s="1"/>
  <c r="T5" i="12"/>
  <c r="U89" i="12"/>
  <c r="U91" i="12" s="1"/>
  <c r="T89" i="12"/>
  <c r="T91" i="12" s="1"/>
  <c r="R5" i="12"/>
  <c r="S89" i="12"/>
  <c r="S91" i="12" s="1"/>
  <c r="Q5" i="12"/>
  <c r="R89" i="12"/>
  <c r="R91" i="12" s="1"/>
  <c r="Q89" i="12"/>
  <c r="Q91" i="12" s="1"/>
  <c r="P89" i="12"/>
  <c r="P91" i="12" s="1"/>
  <c r="AH249" i="12" s="1"/>
  <c r="O89" i="12"/>
  <c r="O91" i="12" s="1"/>
  <c r="M5" i="12"/>
  <c r="N89" i="12"/>
  <c r="N91" i="12" s="1"/>
  <c r="M89" i="12"/>
  <c r="M91" i="12" s="1"/>
  <c r="M92" i="12" s="1"/>
  <c r="L5" i="12"/>
  <c r="L89" i="12"/>
  <c r="L91" i="12" s="1"/>
  <c r="AI54" i="12"/>
  <c r="J5" i="12"/>
  <c r="K89" i="12"/>
  <c r="K91" i="12" s="1"/>
  <c r="K7" i="12" s="1"/>
  <c r="I5" i="12"/>
  <c r="J89" i="12"/>
  <c r="J91" i="12" s="1"/>
  <c r="J92" i="12" s="1"/>
  <c r="I89" i="12"/>
  <c r="I91" i="12" s="1"/>
  <c r="AH72" i="12"/>
  <c r="H89" i="12"/>
  <c r="H91" i="12" s="1"/>
  <c r="F5" i="12"/>
  <c r="G89" i="12"/>
  <c r="G91" i="12" s="1"/>
  <c r="Y249" i="12" s="1"/>
  <c r="AH49" i="12"/>
  <c r="E5" i="12"/>
  <c r="AH54" i="12"/>
  <c r="F89" i="12"/>
  <c r="F91" i="12" s="1"/>
  <c r="X249" i="12" s="1"/>
  <c r="AI49" i="12"/>
  <c r="D5" i="12"/>
  <c r="E89" i="12"/>
  <c r="E91" i="12" s="1"/>
  <c r="W249" i="12" s="1"/>
  <c r="AI68" i="12"/>
  <c r="AH113" i="12"/>
  <c r="D89" i="12"/>
  <c r="D91" i="12" s="1"/>
  <c r="D92" i="12" s="1"/>
  <c r="C89" i="12"/>
  <c r="C91" i="12" s="1"/>
  <c r="C92" i="12" s="1"/>
  <c r="B5" i="12"/>
  <c r="AH84" i="12"/>
  <c r="B89" i="12"/>
  <c r="B91" i="12" s="1"/>
  <c r="B92" i="12" s="1"/>
  <c r="AF5" i="12"/>
  <c r="D246" i="12"/>
  <c r="AG249" i="12"/>
  <c r="O7" i="12"/>
  <c r="O92" i="12"/>
  <c r="U92" i="12"/>
  <c r="U7" i="12"/>
  <c r="AM249" i="12"/>
  <c r="P92" i="12"/>
  <c r="Y7" i="12"/>
  <c r="Y92" i="12"/>
  <c r="AQ249" i="12"/>
  <c r="AG89" i="12"/>
  <c r="AC92" i="12"/>
  <c r="AU249" i="12"/>
  <c r="AC7" i="12"/>
  <c r="J7" i="12"/>
  <c r="R7" i="12"/>
  <c r="R92" i="12"/>
  <c r="AJ249" i="12"/>
  <c r="Z7" i="12"/>
  <c r="Z92" i="12"/>
  <c r="AR249" i="12"/>
  <c r="S7" i="12"/>
  <c r="S92" i="12"/>
  <c r="AK249" i="12"/>
  <c r="G229" i="12"/>
  <c r="J232" i="12"/>
  <c r="K232" i="12" s="1"/>
  <c r="L232" i="12" s="1"/>
  <c r="M232" i="12" s="1"/>
  <c r="N232" i="12" s="1"/>
  <c r="O232" i="12" s="1"/>
  <c r="P232" i="12" s="1"/>
  <c r="G7" i="12"/>
  <c r="G92" i="12"/>
  <c r="AW249" i="12"/>
  <c r="AE7" i="12"/>
  <c r="AE92" i="12"/>
  <c r="AF7" i="12"/>
  <c r="AX249" i="12"/>
  <c r="AF92" i="12"/>
  <c r="I7" i="12"/>
  <c r="I92" i="12"/>
  <c r="AA249" i="12"/>
  <c r="L92" i="12"/>
  <c r="L7" i="12"/>
  <c r="AD249" i="12"/>
  <c r="AO249" i="12"/>
  <c r="W7" i="12"/>
  <c r="W92" i="12"/>
  <c r="AP249" i="12"/>
  <c r="X7" i="12"/>
  <c r="X92" i="12"/>
  <c r="AB92" i="12"/>
  <c r="AT249" i="12"/>
  <c r="AB7" i="12"/>
  <c r="E110" i="12"/>
  <c r="D270" i="12"/>
  <c r="F234" i="12"/>
  <c r="Q7" i="12"/>
  <c r="Q92" i="12"/>
  <c r="AI249" i="12"/>
  <c r="AA7" i="12"/>
  <c r="AA92" i="12"/>
  <c r="AS249" i="12"/>
  <c r="AF249" i="12"/>
  <c r="N92" i="12"/>
  <c r="N7" i="12"/>
  <c r="V7" i="12"/>
  <c r="V92" i="12"/>
  <c r="AV249" i="12"/>
  <c r="AD92" i="12"/>
  <c r="AD7" i="12"/>
  <c r="T92" i="12"/>
  <c r="T7" i="12"/>
  <c r="AL249" i="12"/>
  <c r="AH68" i="12"/>
  <c r="AI72" i="12"/>
  <c r="W5" i="12"/>
  <c r="P100" i="12"/>
  <c r="E230" i="12"/>
  <c r="H5" i="12"/>
  <c r="P5" i="12"/>
  <c r="X5" i="12"/>
  <c r="C270" i="12"/>
  <c r="AI84" i="12"/>
  <c r="AI50" i="12"/>
  <c r="G5" i="12"/>
  <c r="C5" i="12"/>
  <c r="K5" i="12"/>
  <c r="S5" i="12"/>
  <c r="AA5" i="12"/>
  <c r="B235" i="12"/>
  <c r="AF100" i="12"/>
  <c r="AH50" i="12"/>
  <c r="AE89" i="11"/>
  <c r="AE91" i="11" s="1"/>
  <c r="AE92" i="11" s="1"/>
  <c r="V89" i="11"/>
  <c r="V91" i="11" s="1"/>
  <c r="V92" i="11" s="1"/>
  <c r="U89" i="11"/>
  <c r="U91" i="11" s="1"/>
  <c r="U92" i="11" s="1"/>
  <c r="T89" i="11"/>
  <c r="T91" i="11" s="1"/>
  <c r="T92" i="11" s="1"/>
  <c r="R89" i="11"/>
  <c r="R91" i="11" s="1"/>
  <c r="R92" i="11" s="1"/>
  <c r="Q89" i="11"/>
  <c r="Q91" i="11" s="1"/>
  <c r="Q92" i="11" s="1"/>
  <c r="AI100" i="12" l="1"/>
  <c r="P7" i="12"/>
  <c r="M7" i="12"/>
  <c r="AE249" i="12"/>
  <c r="B244" i="12"/>
  <c r="K92" i="12"/>
  <c r="AC249" i="12"/>
  <c r="AB249" i="12"/>
  <c r="Z249" i="12"/>
  <c r="C244" i="12"/>
  <c r="H7" i="12"/>
  <c r="H92" i="12"/>
  <c r="F92" i="12"/>
  <c r="F7" i="12"/>
  <c r="E7" i="12"/>
  <c r="E92" i="12"/>
  <c r="D7" i="12"/>
  <c r="C7" i="12"/>
  <c r="U249" i="12"/>
  <c r="AI89" i="12"/>
  <c r="AH89" i="12"/>
  <c r="V249" i="12"/>
  <c r="E235" i="12"/>
  <c r="F230" i="12"/>
  <c r="E270" i="12"/>
  <c r="G234" i="12"/>
  <c r="F110" i="12"/>
  <c r="B7" i="12"/>
  <c r="AI91" i="12"/>
  <c r="T249" i="12"/>
  <c r="AH91" i="12"/>
  <c r="AH100" i="12"/>
  <c r="H229" i="12"/>
  <c r="G110" i="12"/>
  <c r="K6" i="12" l="1"/>
  <c r="A7" i="12"/>
  <c r="F270" i="12"/>
  <c r="H234" i="12"/>
  <c r="G230" i="12"/>
  <c r="F235" i="12"/>
  <c r="I229" i="12"/>
  <c r="H110" i="12"/>
  <c r="AI92" i="12"/>
  <c r="AH92" i="12"/>
  <c r="J229" i="12" l="1"/>
  <c r="H230" i="12"/>
  <c r="G235" i="12"/>
  <c r="G270" i="12"/>
  <c r="I234" i="12"/>
  <c r="H270" i="12" l="1"/>
  <c r="J234" i="12"/>
  <c r="I230" i="12"/>
  <c r="H235" i="12"/>
  <c r="J110" i="12"/>
  <c r="K229" i="12"/>
  <c r="I110" i="12"/>
  <c r="K234" i="12" l="1"/>
  <c r="I270" i="12"/>
  <c r="K110" i="12"/>
  <c r="L229" i="12"/>
  <c r="J230" i="12"/>
  <c r="M229" i="12" l="1"/>
  <c r="K230" i="12"/>
  <c r="J270" i="12"/>
  <c r="L234" i="12"/>
  <c r="N113" i="11"/>
  <c r="N110" i="11"/>
  <c r="N49" i="11"/>
  <c r="M234" i="12" l="1"/>
  <c r="M110" i="12" s="1"/>
  <c r="K270" i="12"/>
  <c r="L230" i="12"/>
  <c r="N229" i="12"/>
  <c r="L110" i="12"/>
  <c r="O229" i="12" l="1"/>
  <c r="M230" i="12"/>
  <c r="L270" i="12"/>
  <c r="N234" i="12"/>
  <c r="M270" i="12" l="1"/>
  <c r="O234" i="12"/>
  <c r="N230" i="12"/>
  <c r="N110" i="12"/>
  <c r="P229" i="12"/>
  <c r="O110" i="12"/>
  <c r="AI110" i="12" l="1"/>
  <c r="AH110" i="12"/>
  <c r="O230" i="12"/>
  <c r="N270" i="12"/>
  <c r="P234" i="12"/>
  <c r="O270" i="12" s="1"/>
  <c r="P230" i="12" l="1"/>
  <c r="M113" i="11" l="1"/>
  <c r="M49" i="11"/>
  <c r="L113" i="11"/>
  <c r="L50" i="11"/>
  <c r="L54" i="11"/>
  <c r="K113" i="11"/>
  <c r="K50" i="11"/>
  <c r="J113" i="11"/>
  <c r="I50" i="11"/>
  <c r="J50" i="11"/>
  <c r="I54" i="11"/>
  <c r="J54" i="11"/>
  <c r="I68" i="11"/>
  <c r="J68" i="11"/>
  <c r="I84" i="11"/>
  <c r="I100" i="11" s="1"/>
  <c r="J84" i="11"/>
  <c r="J100" i="11" s="1"/>
  <c r="I110" i="11"/>
  <c r="J110" i="11"/>
  <c r="I113" i="11"/>
  <c r="G50" i="11"/>
  <c r="H50" i="11"/>
  <c r="G54" i="11"/>
  <c r="H54" i="11"/>
  <c r="G68" i="11"/>
  <c r="H68" i="11"/>
  <c r="G84" i="11"/>
  <c r="G100" i="11" s="1"/>
  <c r="H84" i="11"/>
  <c r="H100" i="11" s="1"/>
  <c r="G110" i="11"/>
  <c r="H110" i="11"/>
  <c r="G113" i="11"/>
  <c r="H113" i="11"/>
  <c r="F113" i="11"/>
  <c r="E113" i="11"/>
  <c r="E50" i="11"/>
  <c r="F50" i="11"/>
  <c r="D50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B270" i="11"/>
  <c r="S24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D235" i="11"/>
  <c r="C235" i="11"/>
  <c r="E234" i="11"/>
  <c r="D270" i="11" s="1"/>
  <c r="D234" i="11"/>
  <c r="C270" i="11" s="1"/>
  <c r="B234" i="11"/>
  <c r="AF270" i="11" s="1"/>
  <c r="D233" i="11"/>
  <c r="E233" i="11" s="1"/>
  <c r="F233" i="11" s="1"/>
  <c r="G233" i="11" s="1"/>
  <c r="H233" i="11" s="1"/>
  <c r="I233" i="11" s="1"/>
  <c r="J233" i="11" s="1"/>
  <c r="K233" i="11" s="1"/>
  <c r="L233" i="11" s="1"/>
  <c r="M233" i="11" s="1"/>
  <c r="N233" i="11" s="1"/>
  <c r="O233" i="11" s="1"/>
  <c r="P233" i="11" s="1"/>
  <c r="B233" i="11"/>
  <c r="G232" i="11"/>
  <c r="H232" i="11" s="1"/>
  <c r="I232" i="11" s="1"/>
  <c r="F232" i="11"/>
  <c r="E232" i="11"/>
  <c r="D232" i="11"/>
  <c r="B232" i="11"/>
  <c r="E231" i="11"/>
  <c r="F231" i="11" s="1"/>
  <c r="G231" i="11" s="1"/>
  <c r="H231" i="11" s="1"/>
  <c r="D231" i="11"/>
  <c r="B231" i="11"/>
  <c r="E230" i="11"/>
  <c r="F230" i="11" s="1"/>
  <c r="G230" i="11" s="1"/>
  <c r="H230" i="11" s="1"/>
  <c r="I230" i="11" s="1"/>
  <c r="J230" i="11" s="1"/>
  <c r="K230" i="11" s="1"/>
  <c r="L230" i="11" s="1"/>
  <c r="M230" i="11" s="1"/>
  <c r="N230" i="11" s="1"/>
  <c r="O230" i="11" s="1"/>
  <c r="P230" i="11" s="1"/>
  <c r="D230" i="11"/>
  <c r="B230" i="11"/>
  <c r="E229" i="11"/>
  <c r="F229" i="11" s="1"/>
  <c r="D229" i="11"/>
  <c r="B229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I120" i="11"/>
  <c r="AH120" i="11"/>
  <c r="AI119" i="11"/>
  <c r="AH119" i="11"/>
  <c r="AI118" i="11"/>
  <c r="AH118" i="11"/>
  <c r="AI117" i="11"/>
  <c r="AH117" i="11"/>
  <c r="AI116" i="11"/>
  <c r="AH116" i="11"/>
  <c r="AI115" i="11"/>
  <c r="AH115" i="11"/>
  <c r="AI114" i="11"/>
  <c r="AH114" i="11"/>
  <c r="AI113" i="11"/>
  <c r="AH113" i="11"/>
  <c r="AI112" i="11"/>
  <c r="AH112" i="11"/>
  <c r="AI111" i="11"/>
  <c r="AH111" i="11"/>
  <c r="AF110" i="11"/>
  <c r="AE110" i="11"/>
  <c r="AC110" i="11"/>
  <c r="AB110" i="11"/>
  <c r="AA110" i="11"/>
  <c r="Z110" i="11"/>
  <c r="Y110" i="11"/>
  <c r="X110" i="11"/>
  <c r="W110" i="11"/>
  <c r="S110" i="11"/>
  <c r="E110" i="11"/>
  <c r="D110" i="11"/>
  <c r="C110" i="11"/>
  <c r="AI109" i="11"/>
  <c r="AH109" i="11"/>
  <c r="AI108" i="11"/>
  <c r="AH108" i="11"/>
  <c r="AI107" i="11"/>
  <c r="AH107" i="11"/>
  <c r="AI106" i="11"/>
  <c r="AH106" i="11"/>
  <c r="AI105" i="11"/>
  <c r="AH105" i="11"/>
  <c r="AI104" i="11"/>
  <c r="AH104" i="11"/>
  <c r="AI103" i="11"/>
  <c r="AH103" i="11"/>
  <c r="AI102" i="11"/>
  <c r="AH102" i="11"/>
  <c r="AI101" i="11"/>
  <c r="AH101" i="11"/>
  <c r="AI99" i="11"/>
  <c r="AH99" i="11"/>
  <c r="AI98" i="11"/>
  <c r="AH98" i="11"/>
  <c r="AI97" i="11"/>
  <c r="AH97" i="11"/>
  <c r="AI96" i="11"/>
  <c r="AH96" i="11"/>
  <c r="AI95" i="11"/>
  <c r="AH95" i="11"/>
  <c r="AI94" i="11"/>
  <c r="AH94" i="11"/>
  <c r="AI93" i="11"/>
  <c r="AH93" i="11"/>
  <c r="AI90" i="11"/>
  <c r="AH90" i="11"/>
  <c r="AI88" i="11"/>
  <c r="AH88" i="11"/>
  <c r="AG88" i="11"/>
  <c r="AI87" i="11"/>
  <c r="AH87" i="11"/>
  <c r="AI86" i="11"/>
  <c r="AH86" i="11"/>
  <c r="AI85" i="11"/>
  <c r="AH85" i="11"/>
  <c r="AN84" i="11"/>
  <c r="AG84" i="11"/>
  <c r="AG91" i="11" s="1"/>
  <c r="AF84" i="11"/>
  <c r="AF89" i="11" s="1"/>
  <c r="AF91" i="11" s="1"/>
  <c r="AD84" i="11"/>
  <c r="AD100" i="11" s="1"/>
  <c r="AC84" i="11"/>
  <c r="AC100" i="11" s="1"/>
  <c r="AB84" i="11"/>
  <c r="AB100" i="11" s="1"/>
  <c r="AA84" i="11"/>
  <c r="AA100" i="11" s="1"/>
  <c r="Z84" i="11"/>
  <c r="Z100" i="11" s="1"/>
  <c r="Y84" i="11"/>
  <c r="Y100" i="11" s="1"/>
  <c r="X84" i="11"/>
  <c r="X100" i="11" s="1"/>
  <c r="W84" i="11"/>
  <c r="W100" i="11" s="1"/>
  <c r="S84" i="11"/>
  <c r="S100" i="11" s="1"/>
  <c r="P84" i="11"/>
  <c r="P100" i="11" s="1"/>
  <c r="O84" i="11"/>
  <c r="O100" i="11" s="1"/>
  <c r="N84" i="11"/>
  <c r="N100" i="11" s="1"/>
  <c r="M84" i="11"/>
  <c r="M100" i="11" s="1"/>
  <c r="L84" i="11"/>
  <c r="L100" i="11" s="1"/>
  <c r="K84" i="11"/>
  <c r="K100" i="11" s="1"/>
  <c r="F84" i="11"/>
  <c r="F100" i="11" s="1"/>
  <c r="E84" i="11"/>
  <c r="E100" i="11" s="1"/>
  <c r="D84" i="11"/>
  <c r="D100" i="11" s="1"/>
  <c r="C84" i="11"/>
  <c r="C100" i="11" s="1"/>
  <c r="AN83" i="11"/>
  <c r="AI83" i="11"/>
  <c r="AH83" i="11"/>
  <c r="AN82" i="11"/>
  <c r="AI82" i="11"/>
  <c r="AH82" i="11"/>
  <c r="AN81" i="11"/>
  <c r="AI81" i="11"/>
  <c r="AH81" i="11"/>
  <c r="AI80" i="11"/>
  <c r="AH80" i="11"/>
  <c r="AI79" i="11"/>
  <c r="AH79" i="11"/>
  <c r="AI78" i="11"/>
  <c r="AH78" i="11"/>
  <c r="AI77" i="11"/>
  <c r="AH77" i="11"/>
  <c r="AI76" i="11"/>
  <c r="AH76" i="11"/>
  <c r="AI75" i="11"/>
  <c r="AH75" i="11"/>
  <c r="AI74" i="11"/>
  <c r="AH74" i="11"/>
  <c r="AI73" i="11"/>
  <c r="AH73" i="11"/>
  <c r="AG72" i="11"/>
  <c r="AG4" i="11" s="1"/>
  <c r="AD72" i="11"/>
  <c r="AC72" i="11"/>
  <c r="AB72" i="11"/>
  <c r="AA72" i="11"/>
  <c r="Z72" i="11"/>
  <c r="Y72" i="11"/>
  <c r="X72" i="11"/>
  <c r="W72" i="11"/>
  <c r="S72" i="11"/>
  <c r="P72" i="11"/>
  <c r="O72" i="11"/>
  <c r="N72" i="11"/>
  <c r="M72" i="11"/>
  <c r="L72" i="11"/>
  <c r="AI71" i="11"/>
  <c r="AH71" i="11"/>
  <c r="AI70" i="11"/>
  <c r="AH70" i="11"/>
  <c r="AI69" i="11"/>
  <c r="AH69" i="11"/>
  <c r="AG68" i="11"/>
  <c r="AD68" i="11"/>
  <c r="AC68" i="11"/>
  <c r="AB68" i="11"/>
  <c r="AA68" i="11"/>
  <c r="Z68" i="11"/>
  <c r="Y68" i="11"/>
  <c r="X68" i="11"/>
  <c r="W68" i="11"/>
  <c r="S68" i="11"/>
  <c r="P68" i="11"/>
  <c r="O68" i="11"/>
  <c r="N68" i="11"/>
  <c r="M68" i="11"/>
  <c r="L68" i="11"/>
  <c r="K68" i="11"/>
  <c r="F68" i="11"/>
  <c r="E68" i="11"/>
  <c r="D68" i="11"/>
  <c r="C68" i="11"/>
  <c r="AI67" i="11"/>
  <c r="AH67" i="11"/>
  <c r="AG67" i="11"/>
  <c r="AI66" i="11"/>
  <c r="AH66" i="1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8" i="11"/>
  <c r="AH58" i="11"/>
  <c r="AI57" i="11"/>
  <c r="AH57" i="11"/>
  <c r="AI56" i="11"/>
  <c r="AH56" i="11"/>
  <c r="AI55" i="11"/>
  <c r="AH55" i="11"/>
  <c r="AG54" i="11"/>
  <c r="AD54" i="11"/>
  <c r="AC54" i="11"/>
  <c r="AB54" i="11"/>
  <c r="AA54" i="11"/>
  <c r="Z54" i="11"/>
  <c r="Y54" i="11"/>
  <c r="X54" i="11"/>
  <c r="W54" i="11"/>
  <c r="S54" i="11"/>
  <c r="P54" i="11"/>
  <c r="O54" i="11"/>
  <c r="N54" i="11"/>
  <c r="M54" i="11"/>
  <c r="K54" i="11"/>
  <c r="F54" i="11"/>
  <c r="E54" i="11"/>
  <c r="D54" i="11"/>
  <c r="C54" i="11"/>
  <c r="AI53" i="11"/>
  <c r="AH53" i="11"/>
  <c r="AI52" i="11"/>
  <c r="AH52" i="11"/>
  <c r="AI51" i="11"/>
  <c r="AH51" i="11"/>
  <c r="AG50" i="11"/>
  <c r="AG89" i="11" s="1"/>
  <c r="AD50" i="11"/>
  <c r="AA50" i="11"/>
  <c r="Z50" i="11"/>
  <c r="Y50" i="11"/>
  <c r="X50" i="11"/>
  <c r="W50" i="11"/>
  <c r="S50" i="11"/>
  <c r="P50" i="11"/>
  <c r="O50" i="11"/>
  <c r="N50" i="11"/>
  <c r="M50" i="11"/>
  <c r="C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AF5" i="11"/>
  <c r="Z5" i="11"/>
  <c r="Y5" i="11"/>
  <c r="U5" i="11"/>
  <c r="T5" i="11"/>
  <c r="S5" i="11"/>
  <c r="Q5" i="11"/>
  <c r="J5" i="11"/>
  <c r="K4" i="11"/>
  <c r="E4" i="11"/>
  <c r="H4" i="11" s="1"/>
  <c r="B4" i="11"/>
  <c r="S246" i="11" s="1"/>
  <c r="AG3" i="11"/>
  <c r="AG2" i="11"/>
  <c r="AF50" i="10"/>
  <c r="AF54" i="10"/>
  <c r="AE50" i="10"/>
  <c r="AE54" i="10"/>
  <c r="AC54" i="10"/>
  <c r="AC50" i="10"/>
  <c r="AB113" i="10"/>
  <c r="AA50" i="10"/>
  <c r="AA54" i="10"/>
  <c r="AA68" i="10"/>
  <c r="AA72" i="10"/>
  <c r="AA84" i="10"/>
  <c r="AA100" i="10" s="1"/>
  <c r="AA110" i="10"/>
  <c r="AE5" i="11" l="1"/>
  <c r="AF100" i="11"/>
  <c r="AC5" i="11"/>
  <c r="AD89" i="11"/>
  <c r="AD91" i="11" s="1"/>
  <c r="AA5" i="11"/>
  <c r="AB5" i="11"/>
  <c r="AC89" i="11"/>
  <c r="AC91" i="11" s="1"/>
  <c r="AB89" i="11"/>
  <c r="AB91" i="11" s="1"/>
  <c r="AA89" i="11"/>
  <c r="AA91" i="11" s="1"/>
  <c r="Z89" i="11"/>
  <c r="Z91" i="11" s="1"/>
  <c r="Y89" i="11"/>
  <c r="Y91" i="11" s="1"/>
  <c r="W5" i="11"/>
  <c r="X89" i="11"/>
  <c r="X91" i="11" s="1"/>
  <c r="W89" i="11"/>
  <c r="W91" i="11" s="1"/>
  <c r="R5" i="11"/>
  <c r="S89" i="11"/>
  <c r="S91" i="11" s="1"/>
  <c r="O5" i="11"/>
  <c r="P89" i="11"/>
  <c r="P91" i="11" s="1"/>
  <c r="AH72" i="11"/>
  <c r="O89" i="11"/>
  <c r="O91" i="11" s="1"/>
  <c r="N89" i="11"/>
  <c r="N91" i="11" s="1"/>
  <c r="M5" i="11"/>
  <c r="L5" i="11"/>
  <c r="M89" i="11"/>
  <c r="M91" i="11" s="1"/>
  <c r="M7" i="11" s="1"/>
  <c r="AI54" i="11"/>
  <c r="L89" i="11"/>
  <c r="L91" i="11" s="1"/>
  <c r="AD249" i="11" s="1"/>
  <c r="K5" i="11"/>
  <c r="AI72" i="11"/>
  <c r="K89" i="11"/>
  <c r="K91" i="11" s="1"/>
  <c r="AC249" i="11" s="1"/>
  <c r="I5" i="11"/>
  <c r="J89" i="11"/>
  <c r="J91" i="11" s="1"/>
  <c r="J92" i="11" s="1"/>
  <c r="I89" i="11"/>
  <c r="I91" i="11" s="1"/>
  <c r="I92" i="11" s="1"/>
  <c r="F89" i="11"/>
  <c r="F91" i="11" s="1"/>
  <c r="F92" i="11" s="1"/>
  <c r="G5" i="11"/>
  <c r="G89" i="11"/>
  <c r="G91" i="11" s="1"/>
  <c r="G92" i="11" s="1"/>
  <c r="H89" i="11"/>
  <c r="H91" i="11" s="1"/>
  <c r="H92" i="11" s="1"/>
  <c r="D5" i="11"/>
  <c r="E89" i="11"/>
  <c r="E91" i="11" s="1"/>
  <c r="W249" i="11" s="1"/>
  <c r="E5" i="11"/>
  <c r="AI68" i="11"/>
  <c r="AH68" i="11"/>
  <c r="AI50" i="11"/>
  <c r="D89" i="11"/>
  <c r="D91" i="11" s="1"/>
  <c r="D7" i="11" s="1"/>
  <c r="C5" i="11"/>
  <c r="B5" i="11"/>
  <c r="AG6" i="11"/>
  <c r="AF249" i="11"/>
  <c r="N7" i="11"/>
  <c r="N92" i="11"/>
  <c r="AN249" i="11"/>
  <c r="V7" i="11"/>
  <c r="AV249" i="11"/>
  <c r="AD7" i="11"/>
  <c r="AD92" i="11"/>
  <c r="AG249" i="11"/>
  <c r="O7" i="11"/>
  <c r="O92" i="11"/>
  <c r="G229" i="11"/>
  <c r="F235" i="11"/>
  <c r="F110" i="11"/>
  <c r="AM249" i="11"/>
  <c r="U7" i="11"/>
  <c r="AW249" i="11"/>
  <c r="AE7" i="11"/>
  <c r="P7" i="11"/>
  <c r="P92" i="11"/>
  <c r="AH249" i="11"/>
  <c r="X7" i="11"/>
  <c r="X92" i="11"/>
  <c r="AP249" i="11"/>
  <c r="AF7" i="11"/>
  <c r="AF92" i="11"/>
  <c r="AX249" i="11"/>
  <c r="R7" i="11"/>
  <c r="AJ249" i="11"/>
  <c r="Z7" i="11"/>
  <c r="Z92" i="11"/>
  <c r="AR249" i="11"/>
  <c r="Y7" i="11"/>
  <c r="AQ249" i="11"/>
  <c r="Y92" i="11"/>
  <c r="AI100" i="11"/>
  <c r="AH100" i="11"/>
  <c r="AO249" i="11"/>
  <c r="W7" i="11"/>
  <c r="W92" i="11"/>
  <c r="Q7" i="11"/>
  <c r="AI249" i="11"/>
  <c r="J232" i="11"/>
  <c r="K232" i="11" s="1"/>
  <c r="L232" i="11" s="1"/>
  <c r="M232" i="11" s="1"/>
  <c r="N232" i="11" s="1"/>
  <c r="O232" i="11" s="1"/>
  <c r="P232" i="11" s="1"/>
  <c r="AC92" i="11"/>
  <c r="AU249" i="11"/>
  <c r="AC7" i="11"/>
  <c r="D92" i="11"/>
  <c r="V249" i="11"/>
  <c r="AL249" i="11"/>
  <c r="T7" i="11"/>
  <c r="AB92" i="11"/>
  <c r="AT249" i="11"/>
  <c r="AB7" i="11"/>
  <c r="S92" i="11"/>
  <c r="AK249" i="11"/>
  <c r="S7" i="11"/>
  <c r="AA92" i="11"/>
  <c r="AS249" i="11"/>
  <c r="AA7" i="11"/>
  <c r="C89" i="11"/>
  <c r="F5" i="11"/>
  <c r="N5" i="11"/>
  <c r="V5" i="11"/>
  <c r="AD5" i="11"/>
  <c r="E235" i="11"/>
  <c r="D246" i="11"/>
  <c r="H5" i="11"/>
  <c r="P5" i="11"/>
  <c r="X5" i="11"/>
  <c r="AH84" i="11"/>
  <c r="F234" i="11"/>
  <c r="AH50" i="11"/>
  <c r="AH54" i="11"/>
  <c r="AI84" i="11"/>
  <c r="B235" i="11"/>
  <c r="AA89" i="10"/>
  <c r="AA91" i="10" s="1"/>
  <c r="AA92" i="10" s="1"/>
  <c r="M92" i="11" l="1"/>
  <c r="AE249" i="11"/>
  <c r="X249" i="11"/>
  <c r="F7" i="11"/>
  <c r="L92" i="11"/>
  <c r="L7" i="11"/>
  <c r="AB249" i="11"/>
  <c r="K92" i="11"/>
  <c r="K7" i="11"/>
  <c r="J7" i="11"/>
  <c r="I7" i="11"/>
  <c r="AA249" i="11"/>
  <c r="E92" i="11"/>
  <c r="G7" i="11"/>
  <c r="H7" i="11"/>
  <c r="B244" i="11"/>
  <c r="Y249" i="11"/>
  <c r="C244" i="11"/>
  <c r="Z249" i="11"/>
  <c r="E7" i="11"/>
  <c r="AI89" i="11"/>
  <c r="C91" i="11"/>
  <c r="AI91" i="11"/>
  <c r="B7" i="11"/>
  <c r="T249" i="11"/>
  <c r="H229" i="11"/>
  <c r="E270" i="11"/>
  <c r="G234" i="11"/>
  <c r="AH89" i="11"/>
  <c r="K6" i="11" l="1"/>
  <c r="G235" i="11"/>
  <c r="C92" i="11"/>
  <c r="AI92" i="11" s="1"/>
  <c r="U249" i="11"/>
  <c r="C7" i="11"/>
  <c r="A7" i="11" s="1"/>
  <c r="F270" i="11"/>
  <c r="H234" i="11"/>
  <c r="I229" i="11"/>
  <c r="H235" i="11"/>
  <c r="AH91" i="11"/>
  <c r="AH92" i="11" l="1"/>
  <c r="J229" i="11"/>
  <c r="G270" i="11"/>
  <c r="I234" i="11"/>
  <c r="H270" i="11" l="1"/>
  <c r="J234" i="11"/>
  <c r="K229" i="11"/>
  <c r="L229" i="11" l="1"/>
  <c r="K234" i="11"/>
  <c r="I270" i="11"/>
  <c r="M229" i="11" l="1"/>
  <c r="J270" i="11"/>
  <c r="L234" i="11"/>
  <c r="K110" i="11"/>
  <c r="M234" i="11" l="1"/>
  <c r="K270" i="11"/>
  <c r="L110" i="11"/>
  <c r="M110" i="11"/>
  <c r="N229" i="11"/>
  <c r="O229" i="11" l="1"/>
  <c r="L270" i="11"/>
  <c r="N234" i="11"/>
  <c r="M270" i="11" l="1"/>
  <c r="O234" i="11"/>
  <c r="P229" i="11"/>
  <c r="O110" i="11"/>
  <c r="AI110" i="11" l="1"/>
  <c r="AH110" i="11"/>
  <c r="N270" i="11"/>
  <c r="P234" i="11"/>
  <c r="O270" i="11" s="1"/>
  <c r="X50" i="10" l="1"/>
  <c r="X54" i="10"/>
  <c r="W50" i="10"/>
  <c r="W54" i="10"/>
  <c r="U54" i="10"/>
  <c r="S49" i="10"/>
  <c r="R49" i="10"/>
  <c r="Q49" i="10"/>
  <c r="P49" i="10" l="1"/>
  <c r="O49" i="10"/>
  <c r="N49" i="10"/>
  <c r="M49" i="10" l="1"/>
  <c r="M50" i="10"/>
  <c r="M54" i="10"/>
  <c r="M68" i="10"/>
  <c r="M72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B270" i="10"/>
  <c r="S24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D235" i="10"/>
  <c r="C235" i="10"/>
  <c r="E234" i="10"/>
  <c r="D270" i="10" s="1"/>
  <c r="D234" i="10"/>
  <c r="C270" i="10" s="1"/>
  <c r="B234" i="10"/>
  <c r="AF270" i="10" s="1"/>
  <c r="D233" i="10"/>
  <c r="E233" i="10" s="1"/>
  <c r="F233" i="10" s="1"/>
  <c r="G233" i="10" s="1"/>
  <c r="H233" i="10" s="1"/>
  <c r="I233" i="10" s="1"/>
  <c r="J233" i="10" s="1"/>
  <c r="K233" i="10" s="1"/>
  <c r="L233" i="10" s="1"/>
  <c r="M233" i="10" s="1"/>
  <c r="N233" i="10" s="1"/>
  <c r="O233" i="10" s="1"/>
  <c r="P233" i="10" s="1"/>
  <c r="B233" i="10"/>
  <c r="G232" i="10"/>
  <c r="H232" i="10" s="1"/>
  <c r="I232" i="10" s="1"/>
  <c r="F232" i="10"/>
  <c r="E232" i="10"/>
  <c r="D232" i="10"/>
  <c r="B232" i="10"/>
  <c r="E231" i="10"/>
  <c r="F231" i="10" s="1"/>
  <c r="G231" i="10" s="1"/>
  <c r="H231" i="10" s="1"/>
  <c r="D231" i="10"/>
  <c r="B231" i="10"/>
  <c r="E230" i="10"/>
  <c r="F230" i="10" s="1"/>
  <c r="G230" i="10" s="1"/>
  <c r="H230" i="10" s="1"/>
  <c r="I230" i="10" s="1"/>
  <c r="J230" i="10" s="1"/>
  <c r="K230" i="10" s="1"/>
  <c r="L230" i="10" s="1"/>
  <c r="M230" i="10" s="1"/>
  <c r="N230" i="10" s="1"/>
  <c r="O230" i="10" s="1"/>
  <c r="P230" i="10" s="1"/>
  <c r="D230" i="10"/>
  <c r="B230" i="10"/>
  <c r="E229" i="10"/>
  <c r="F229" i="10" s="1"/>
  <c r="D229" i="10"/>
  <c r="B229" i="10"/>
  <c r="B110" i="10" s="1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I120" i="10"/>
  <c r="AH120" i="10"/>
  <c r="AI119" i="10"/>
  <c r="AH119" i="10"/>
  <c r="AI118" i="10"/>
  <c r="AH118" i="10"/>
  <c r="AI117" i="10"/>
  <c r="AH117" i="10"/>
  <c r="AI116" i="10"/>
  <c r="AH116" i="10"/>
  <c r="AI115" i="10"/>
  <c r="AH115" i="10"/>
  <c r="AI114" i="10"/>
  <c r="AH114" i="10"/>
  <c r="AI113" i="10"/>
  <c r="AH113" i="10"/>
  <c r="AI112" i="10"/>
  <c r="AH112" i="10"/>
  <c r="AI111" i="10"/>
  <c r="AH111" i="10"/>
  <c r="AF110" i="10"/>
  <c r="AE110" i="10"/>
  <c r="AC110" i="10"/>
  <c r="AB110" i="10"/>
  <c r="Z110" i="10"/>
  <c r="Y110" i="10"/>
  <c r="X110" i="10"/>
  <c r="W110" i="10"/>
  <c r="V110" i="10"/>
  <c r="U110" i="10"/>
  <c r="T110" i="10"/>
  <c r="S110" i="10"/>
  <c r="R110" i="10"/>
  <c r="Q110" i="10"/>
  <c r="E110" i="10"/>
  <c r="D110" i="10"/>
  <c r="C110" i="10"/>
  <c r="AI109" i="10"/>
  <c r="AH109" i="10"/>
  <c r="AI108" i="10"/>
  <c r="AH108" i="10"/>
  <c r="AI107" i="10"/>
  <c r="AH107" i="10"/>
  <c r="AI106" i="10"/>
  <c r="AH106" i="10"/>
  <c r="AI105" i="10"/>
  <c r="AH105" i="10"/>
  <c r="AI104" i="10"/>
  <c r="AH104" i="10"/>
  <c r="AI103" i="10"/>
  <c r="AH103" i="10"/>
  <c r="AI102" i="10"/>
  <c r="AH102" i="10"/>
  <c r="AI101" i="10"/>
  <c r="AH101" i="10"/>
  <c r="AI99" i="10"/>
  <c r="AH99" i="10"/>
  <c r="AI98" i="10"/>
  <c r="AH98" i="10"/>
  <c r="AI97" i="10"/>
  <c r="AH97" i="10"/>
  <c r="AI96" i="10"/>
  <c r="AH96" i="10"/>
  <c r="AI95" i="10"/>
  <c r="AH95" i="10"/>
  <c r="AI94" i="10"/>
  <c r="AH94" i="10"/>
  <c r="AI93" i="10"/>
  <c r="AH93" i="10"/>
  <c r="AI90" i="10"/>
  <c r="AH90" i="10"/>
  <c r="AI88" i="10"/>
  <c r="AH88" i="10"/>
  <c r="AG88" i="10"/>
  <c r="AI87" i="10"/>
  <c r="AH87" i="10"/>
  <c r="AI86" i="10"/>
  <c r="AH86" i="10"/>
  <c r="AI85" i="10"/>
  <c r="AH85" i="10"/>
  <c r="AN84" i="10"/>
  <c r="AG84" i="10"/>
  <c r="AG91" i="10" s="1"/>
  <c r="AF84" i="10"/>
  <c r="AF100" i="10" s="1"/>
  <c r="AE84" i="10"/>
  <c r="AE100" i="10" s="1"/>
  <c r="AD84" i="10"/>
  <c r="AD100" i="10" s="1"/>
  <c r="AC84" i="10"/>
  <c r="AC100" i="10" s="1"/>
  <c r="AB84" i="10"/>
  <c r="AB100" i="10" s="1"/>
  <c r="Z84" i="10"/>
  <c r="Z100" i="10" s="1"/>
  <c r="Y84" i="10"/>
  <c r="Y100" i="10" s="1"/>
  <c r="X84" i="10"/>
  <c r="X100" i="10" s="1"/>
  <c r="W84" i="10"/>
  <c r="W100" i="10" s="1"/>
  <c r="V84" i="10"/>
  <c r="V100" i="10" s="1"/>
  <c r="U84" i="10"/>
  <c r="U100" i="10" s="1"/>
  <c r="T84" i="10"/>
  <c r="T100" i="10" s="1"/>
  <c r="S84" i="10"/>
  <c r="S100" i="10" s="1"/>
  <c r="R84" i="10"/>
  <c r="R100" i="10" s="1"/>
  <c r="Q84" i="10"/>
  <c r="Q100" i="10" s="1"/>
  <c r="P84" i="10"/>
  <c r="P100" i="10" s="1"/>
  <c r="O84" i="10"/>
  <c r="O100" i="10" s="1"/>
  <c r="N84" i="10"/>
  <c r="M5" i="10" s="1"/>
  <c r="M84" i="10"/>
  <c r="M100" i="10" s="1"/>
  <c r="L84" i="10"/>
  <c r="L100" i="10" s="1"/>
  <c r="K84" i="10"/>
  <c r="K100" i="10" s="1"/>
  <c r="J84" i="10"/>
  <c r="J100" i="10" s="1"/>
  <c r="I84" i="10"/>
  <c r="I100" i="10" s="1"/>
  <c r="H84" i="10"/>
  <c r="G5" i="10" s="1"/>
  <c r="G84" i="10"/>
  <c r="G100" i="10" s="1"/>
  <c r="F84" i="10"/>
  <c r="F100" i="10" s="1"/>
  <c r="E84" i="10"/>
  <c r="E100" i="10" s="1"/>
  <c r="D84" i="10"/>
  <c r="D100" i="10" s="1"/>
  <c r="C84" i="10"/>
  <c r="C100" i="10" s="1"/>
  <c r="B84" i="10"/>
  <c r="B100" i="10" s="1"/>
  <c r="AN83" i="10"/>
  <c r="AI83" i="10"/>
  <c r="AH83" i="10"/>
  <c r="AN82" i="10"/>
  <c r="AI82" i="10"/>
  <c r="AH82" i="10"/>
  <c r="AN81" i="10"/>
  <c r="AI81" i="10"/>
  <c r="AH81" i="10"/>
  <c r="AI80" i="10"/>
  <c r="AH80" i="10"/>
  <c r="AI79" i="10"/>
  <c r="AH79" i="10"/>
  <c r="AI78" i="10"/>
  <c r="AH78" i="10"/>
  <c r="AI77" i="10"/>
  <c r="AH77" i="10"/>
  <c r="AI76" i="10"/>
  <c r="AH76" i="10"/>
  <c r="AI75" i="10"/>
  <c r="AH75" i="10"/>
  <c r="AI74" i="10"/>
  <c r="AH74" i="10"/>
  <c r="AI73" i="10"/>
  <c r="AH73" i="10"/>
  <c r="AG72" i="10"/>
  <c r="AF72" i="10"/>
  <c r="AE72" i="10"/>
  <c r="AD72" i="10"/>
  <c r="AC72" i="10"/>
  <c r="AB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L72" i="10"/>
  <c r="B72" i="10"/>
  <c r="AI71" i="10"/>
  <c r="AH71" i="10"/>
  <c r="AI70" i="10"/>
  <c r="AH70" i="10"/>
  <c r="AI69" i="10"/>
  <c r="AH69" i="10"/>
  <c r="AG68" i="10"/>
  <c r="AG3" i="10" s="1"/>
  <c r="AG6" i="10" s="1"/>
  <c r="AF68" i="10"/>
  <c r="AE68" i="10"/>
  <c r="AD68" i="10"/>
  <c r="AC68" i="10"/>
  <c r="AB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L68" i="10"/>
  <c r="K68" i="10"/>
  <c r="J68" i="10"/>
  <c r="I68" i="10"/>
  <c r="H68" i="10"/>
  <c r="G68" i="10"/>
  <c r="F68" i="10"/>
  <c r="E68" i="10"/>
  <c r="D68" i="10"/>
  <c r="C68" i="10"/>
  <c r="B68" i="10"/>
  <c r="AI67" i="10"/>
  <c r="AH67" i="10"/>
  <c r="AG67" i="10"/>
  <c r="AI66" i="10"/>
  <c r="AH66" i="10"/>
  <c r="AI65" i="10"/>
  <c r="AH65" i="10"/>
  <c r="AI64" i="10"/>
  <c r="AH64" i="10"/>
  <c r="AI63" i="10"/>
  <c r="AH63" i="10"/>
  <c r="AI62" i="10"/>
  <c r="AH62" i="10"/>
  <c r="AI61" i="10"/>
  <c r="AH61" i="10"/>
  <c r="AI60" i="10"/>
  <c r="AH60" i="10"/>
  <c r="AI59" i="10"/>
  <c r="AH59" i="10"/>
  <c r="AI58" i="10"/>
  <c r="AH58" i="10"/>
  <c r="AI57" i="10"/>
  <c r="AH57" i="10"/>
  <c r="AI56" i="10"/>
  <c r="AH56" i="10"/>
  <c r="AI55" i="10"/>
  <c r="AH55" i="10"/>
  <c r="AG54" i="10"/>
  <c r="AD54" i="10"/>
  <c r="AB54" i="10"/>
  <c r="Z54" i="10"/>
  <c r="Y54" i="10"/>
  <c r="V54" i="10"/>
  <c r="T54" i="10"/>
  <c r="S54" i="10"/>
  <c r="R54" i="10"/>
  <c r="Q54" i="10"/>
  <c r="P54" i="10"/>
  <c r="O54" i="10"/>
  <c r="N54" i="10"/>
  <c r="L54" i="10"/>
  <c r="K54" i="10"/>
  <c r="J54" i="10"/>
  <c r="I54" i="10"/>
  <c r="H54" i="10"/>
  <c r="G54" i="10"/>
  <c r="F54" i="10"/>
  <c r="E54" i="10"/>
  <c r="D54" i="10"/>
  <c r="C54" i="10"/>
  <c r="B54" i="10"/>
  <c r="AI53" i="10"/>
  <c r="AH53" i="10"/>
  <c r="AI52" i="10"/>
  <c r="AH52" i="10"/>
  <c r="AI51" i="10"/>
  <c r="AH51" i="10"/>
  <c r="AG50" i="10"/>
  <c r="AG89" i="10" s="1"/>
  <c r="AD50" i="10"/>
  <c r="AB50" i="10"/>
  <c r="Z50" i="10"/>
  <c r="Y50" i="10"/>
  <c r="Y89" i="10" s="1"/>
  <c r="Y91" i="10" s="1"/>
  <c r="V50" i="10"/>
  <c r="U50" i="10"/>
  <c r="T50" i="10"/>
  <c r="S50" i="10"/>
  <c r="R50" i="10"/>
  <c r="Q50" i="10"/>
  <c r="P50" i="10"/>
  <c r="O50" i="10"/>
  <c r="N50" i="10"/>
  <c r="L50" i="10"/>
  <c r="L89" i="10" s="1"/>
  <c r="L91" i="10" s="1"/>
  <c r="K50" i="10"/>
  <c r="J50" i="10"/>
  <c r="I50" i="10"/>
  <c r="H50" i="10"/>
  <c r="G50" i="10"/>
  <c r="F50" i="10"/>
  <c r="E50" i="10"/>
  <c r="D50" i="10"/>
  <c r="C50" i="10"/>
  <c r="B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Z5" i="10"/>
  <c r="K5" i="10"/>
  <c r="J5" i="10"/>
  <c r="AG4" i="10"/>
  <c r="K4" i="10"/>
  <c r="E4" i="10"/>
  <c r="H4" i="10" s="1"/>
  <c r="B4" i="10"/>
  <c r="S246" i="10" s="1"/>
  <c r="AG2" i="10"/>
  <c r="V54" i="9"/>
  <c r="AA49" i="9"/>
  <c r="AE5" i="10" l="1"/>
  <c r="AF89" i="10"/>
  <c r="AF91" i="10" s="1"/>
  <c r="AF92" i="10" s="1"/>
  <c r="AE89" i="10"/>
  <c r="AE91" i="10" s="1"/>
  <c r="AW249" i="10" s="1"/>
  <c r="AC5" i="10"/>
  <c r="AD89" i="10"/>
  <c r="AD91" i="10" s="1"/>
  <c r="AD7" i="10" s="1"/>
  <c r="AC89" i="10"/>
  <c r="AC91" i="10" s="1"/>
  <c r="AU249" i="10" s="1"/>
  <c r="AB5" i="10"/>
  <c r="AA5" i="10"/>
  <c r="AB89" i="10"/>
  <c r="AB91" i="10" s="1"/>
  <c r="AB92" i="10" s="1"/>
  <c r="Y5" i="10"/>
  <c r="Z89" i="10"/>
  <c r="Z91" i="10" s="1"/>
  <c r="AR249" i="10" s="1"/>
  <c r="W5" i="10"/>
  <c r="X89" i="10"/>
  <c r="X91" i="10" s="1"/>
  <c r="X92" i="10" s="1"/>
  <c r="W89" i="10"/>
  <c r="W91" i="10" s="1"/>
  <c r="W92" i="10" s="1"/>
  <c r="U5" i="10"/>
  <c r="V89" i="10"/>
  <c r="V91" i="10" s="1"/>
  <c r="AN249" i="10" s="1"/>
  <c r="T5" i="10"/>
  <c r="U89" i="10"/>
  <c r="U91" i="10" s="1"/>
  <c r="AM249" i="10" s="1"/>
  <c r="S5" i="10"/>
  <c r="T89" i="10"/>
  <c r="T91" i="10" s="1"/>
  <c r="T92" i="10" s="1"/>
  <c r="R5" i="10"/>
  <c r="S89" i="10"/>
  <c r="S91" i="10" s="1"/>
  <c r="AK249" i="10" s="1"/>
  <c r="Q5" i="10"/>
  <c r="R89" i="10"/>
  <c r="R91" i="10" s="1"/>
  <c r="AJ249" i="10" s="1"/>
  <c r="Q89" i="10"/>
  <c r="Q91" i="10" s="1"/>
  <c r="Q7" i="10" s="1"/>
  <c r="P89" i="10"/>
  <c r="P91" i="10" s="1"/>
  <c r="P7" i="10" s="1"/>
  <c r="O5" i="10"/>
  <c r="E5" i="10"/>
  <c r="AI72" i="10"/>
  <c r="O89" i="10"/>
  <c r="O91" i="10" s="1"/>
  <c r="O7" i="10" s="1"/>
  <c r="N89" i="10"/>
  <c r="N91" i="10" s="1"/>
  <c r="AF249" i="10" s="1"/>
  <c r="N100" i="10"/>
  <c r="M89" i="10"/>
  <c r="M91" i="10" s="1"/>
  <c r="L5" i="10"/>
  <c r="K89" i="10"/>
  <c r="K91" i="10" s="1"/>
  <c r="K92" i="10" s="1"/>
  <c r="I5" i="10"/>
  <c r="J89" i="10"/>
  <c r="J91" i="10" s="1"/>
  <c r="J92" i="10" s="1"/>
  <c r="I89" i="10"/>
  <c r="I91" i="10" s="1"/>
  <c r="I7" i="10" s="1"/>
  <c r="H100" i="10"/>
  <c r="AI100" i="10" s="1"/>
  <c r="H89" i="10"/>
  <c r="H91" i="10" s="1"/>
  <c r="G89" i="10"/>
  <c r="G91" i="10" s="1"/>
  <c r="G7" i="10" s="1"/>
  <c r="AH54" i="10"/>
  <c r="F89" i="10"/>
  <c r="F91" i="10" s="1"/>
  <c r="F7" i="10" s="1"/>
  <c r="D5" i="10"/>
  <c r="C5" i="10"/>
  <c r="E89" i="10"/>
  <c r="E91" i="10" s="1"/>
  <c r="E92" i="10" s="1"/>
  <c r="AH68" i="10"/>
  <c r="D89" i="10"/>
  <c r="D91" i="10" s="1"/>
  <c r="D92" i="10" s="1"/>
  <c r="B5" i="10"/>
  <c r="C89" i="10"/>
  <c r="C91" i="10" s="1"/>
  <c r="C92" i="10" s="1"/>
  <c r="AF5" i="10"/>
  <c r="AH72" i="10"/>
  <c r="AI54" i="10"/>
  <c r="B89" i="10"/>
  <c r="B91" i="10" s="1"/>
  <c r="AI50" i="10"/>
  <c r="X7" i="10"/>
  <c r="Y7" i="10"/>
  <c r="Y92" i="10"/>
  <c r="AQ249" i="10"/>
  <c r="G229" i="10"/>
  <c r="H7" i="10"/>
  <c r="H92" i="10"/>
  <c r="Z249" i="10"/>
  <c r="L92" i="10"/>
  <c r="AD249" i="10"/>
  <c r="L7" i="10"/>
  <c r="AS249" i="10"/>
  <c r="AA7" i="10"/>
  <c r="J232" i="10"/>
  <c r="K232" i="10" s="1"/>
  <c r="L232" i="10" s="1"/>
  <c r="M232" i="10" s="1"/>
  <c r="N232" i="10" s="1"/>
  <c r="O232" i="10" s="1"/>
  <c r="P232" i="10" s="1"/>
  <c r="R7" i="10"/>
  <c r="R92" i="10"/>
  <c r="U92" i="10"/>
  <c r="U7" i="10"/>
  <c r="Z92" i="10"/>
  <c r="AV249" i="10"/>
  <c r="F5" i="10"/>
  <c r="N5" i="10"/>
  <c r="V5" i="10"/>
  <c r="AD5" i="10"/>
  <c r="E235" i="10"/>
  <c r="D246" i="10"/>
  <c r="H5" i="10"/>
  <c r="P5" i="10"/>
  <c r="X5" i="10"/>
  <c r="AH84" i="10"/>
  <c r="F234" i="10"/>
  <c r="F110" i="10" s="1"/>
  <c r="AI68" i="10"/>
  <c r="AH50" i="10"/>
  <c r="AI84" i="10"/>
  <c r="B235" i="10"/>
  <c r="T110" i="9"/>
  <c r="R50" i="9"/>
  <c r="R54" i="9"/>
  <c r="R68" i="9"/>
  <c r="R72" i="9"/>
  <c r="R84" i="9"/>
  <c r="R100" i="9" s="1"/>
  <c r="R110" i="9"/>
  <c r="Z7" i="10" l="1"/>
  <c r="AO249" i="10"/>
  <c r="V92" i="10"/>
  <c r="W7" i="10"/>
  <c r="AC92" i="10"/>
  <c r="AD92" i="10"/>
  <c r="V7" i="10"/>
  <c r="AL249" i="10"/>
  <c r="T7" i="10"/>
  <c r="AP249" i="10"/>
  <c r="S7" i="10"/>
  <c r="S92" i="10"/>
  <c r="AE92" i="10"/>
  <c r="AE7" i="10"/>
  <c r="AX249" i="10"/>
  <c r="AF7" i="10"/>
  <c r="AC7" i="10"/>
  <c r="AB7" i="10"/>
  <c r="AT249" i="10"/>
  <c r="Q92" i="10"/>
  <c r="AI249" i="10"/>
  <c r="AG249" i="10"/>
  <c r="O92" i="10"/>
  <c r="AH249" i="10"/>
  <c r="P92" i="10"/>
  <c r="AB249" i="10"/>
  <c r="AA249" i="10"/>
  <c r="I92" i="10"/>
  <c r="AH100" i="10"/>
  <c r="G92" i="10"/>
  <c r="Y249" i="10"/>
  <c r="F92" i="10"/>
  <c r="X249" i="10"/>
  <c r="E7" i="10"/>
  <c r="C244" i="10"/>
  <c r="K6" i="10" s="1"/>
  <c r="N92" i="10"/>
  <c r="N7" i="10"/>
  <c r="M7" i="10"/>
  <c r="M92" i="10"/>
  <c r="B244" i="10"/>
  <c r="AE249" i="10"/>
  <c r="K7" i="10"/>
  <c r="AC249" i="10"/>
  <c r="J7" i="10"/>
  <c r="W249" i="10"/>
  <c r="D7" i="10"/>
  <c r="V249" i="10"/>
  <c r="AH89" i="10"/>
  <c r="C7" i="10"/>
  <c r="U249" i="10"/>
  <c r="AI89" i="10"/>
  <c r="B7" i="10"/>
  <c r="B92" i="10"/>
  <c r="AI91" i="10"/>
  <c r="T249" i="10"/>
  <c r="AH91" i="10"/>
  <c r="E270" i="10"/>
  <c r="G234" i="10"/>
  <c r="F235" i="10"/>
  <c r="H229" i="10"/>
  <c r="G110" i="10"/>
  <c r="G235" i="10"/>
  <c r="R89" i="9"/>
  <c r="R91" i="9" s="1"/>
  <c r="R92" i="9" s="1"/>
  <c r="A7" i="10" l="1"/>
  <c r="I229" i="10"/>
  <c r="AI92" i="10"/>
  <c r="AH92" i="10"/>
  <c r="F270" i="10"/>
  <c r="H234" i="10"/>
  <c r="Q113" i="9"/>
  <c r="Q50" i="9"/>
  <c r="Q54" i="9"/>
  <c r="Q68" i="9"/>
  <c r="Q72" i="9"/>
  <c r="Q84" i="9"/>
  <c r="G270" i="10" l="1"/>
  <c r="I234" i="10"/>
  <c r="H235" i="10"/>
  <c r="H110" i="10"/>
  <c r="I110" i="10"/>
  <c r="J229" i="10"/>
  <c r="P113" i="9"/>
  <c r="O113" i="9"/>
  <c r="O50" i="9"/>
  <c r="P50" i="9"/>
  <c r="N113" i="9"/>
  <c r="J110" i="10" l="1"/>
  <c r="K229" i="10"/>
  <c r="H270" i="10"/>
  <c r="J234" i="10"/>
  <c r="M113" i="9"/>
  <c r="L113" i="9"/>
  <c r="I113" i="9"/>
  <c r="I49" i="9"/>
  <c r="H113" i="9"/>
  <c r="H49" i="9"/>
  <c r="G113" i="9"/>
  <c r="G49" i="9"/>
  <c r="F113" i="9"/>
  <c r="F49" i="9"/>
  <c r="E113" i="9"/>
  <c r="E49" i="9"/>
  <c r="C49" i="9"/>
  <c r="D49" i="9"/>
  <c r="K234" i="10" l="1"/>
  <c r="I270" i="10"/>
  <c r="K110" i="10"/>
  <c r="L229" i="10"/>
  <c r="B49" i="9"/>
  <c r="AF274" i="9"/>
  <c r="AE274" i="9"/>
  <c r="AD274" i="9"/>
  <c r="AC274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A274" i="9"/>
  <c r="AF273" i="9"/>
  <c r="AE273" i="9"/>
  <c r="AD273" i="9"/>
  <c r="AC273" i="9"/>
  <c r="AB273" i="9"/>
  <c r="AA273" i="9"/>
  <c r="Z273" i="9"/>
  <c r="Y273" i="9"/>
  <c r="X273" i="9"/>
  <c r="W273" i="9"/>
  <c r="V273" i="9"/>
  <c r="U273" i="9"/>
  <c r="T273" i="9"/>
  <c r="S273" i="9"/>
  <c r="R273" i="9"/>
  <c r="Q273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A273" i="9"/>
  <c r="AF272" i="9"/>
  <c r="AE272" i="9"/>
  <c r="AD272" i="9"/>
  <c r="AC272" i="9"/>
  <c r="AB272" i="9"/>
  <c r="AA272" i="9"/>
  <c r="Z272" i="9"/>
  <c r="Y272" i="9"/>
  <c r="X272" i="9"/>
  <c r="W272" i="9"/>
  <c r="V272" i="9"/>
  <c r="U272" i="9"/>
  <c r="T272" i="9"/>
  <c r="S272" i="9"/>
  <c r="R272" i="9"/>
  <c r="Q272" i="9"/>
  <c r="P272" i="9"/>
  <c r="O272" i="9"/>
  <c r="N272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A272" i="9"/>
  <c r="AF271" i="9"/>
  <c r="AE271" i="9"/>
  <c r="AD271" i="9"/>
  <c r="AC271" i="9"/>
  <c r="AB271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O271" i="9"/>
  <c r="N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A271" i="9"/>
  <c r="AE270" i="9"/>
  <c r="AD270" i="9"/>
  <c r="AC270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B270" i="9"/>
  <c r="S245" i="9"/>
  <c r="AG235" i="9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C235" i="9"/>
  <c r="D234" i="9"/>
  <c r="C270" i="9" s="1"/>
  <c r="B234" i="9"/>
  <c r="AF270" i="9" s="1"/>
  <c r="E233" i="9"/>
  <c r="F233" i="9" s="1"/>
  <c r="G233" i="9" s="1"/>
  <c r="H233" i="9" s="1"/>
  <c r="I233" i="9" s="1"/>
  <c r="J233" i="9" s="1"/>
  <c r="K233" i="9" s="1"/>
  <c r="L233" i="9" s="1"/>
  <c r="M233" i="9" s="1"/>
  <c r="N233" i="9" s="1"/>
  <c r="O233" i="9" s="1"/>
  <c r="P233" i="9" s="1"/>
  <c r="D233" i="9"/>
  <c r="B233" i="9"/>
  <c r="D232" i="9"/>
  <c r="E232" i="9" s="1"/>
  <c r="F232" i="9" s="1"/>
  <c r="G232" i="9" s="1"/>
  <c r="H232" i="9" s="1"/>
  <c r="I232" i="9" s="1"/>
  <c r="B232" i="9"/>
  <c r="F231" i="9"/>
  <c r="G231" i="9" s="1"/>
  <c r="H231" i="9" s="1"/>
  <c r="E231" i="9"/>
  <c r="D231" i="9"/>
  <c r="B231" i="9"/>
  <c r="D230" i="9"/>
  <c r="D235" i="9" s="1"/>
  <c r="B230" i="9"/>
  <c r="E229" i="9"/>
  <c r="F229" i="9" s="1"/>
  <c r="D229" i="9"/>
  <c r="B229" i="9"/>
  <c r="B110" i="9" s="1"/>
  <c r="AG227" i="9"/>
  <c r="AF227" i="9"/>
  <c r="AE227" i="9"/>
  <c r="AD227" i="9"/>
  <c r="AC227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AI120" i="9"/>
  <c r="AH120" i="9"/>
  <c r="AI119" i="9"/>
  <c r="AH119" i="9"/>
  <c r="AI118" i="9"/>
  <c r="AH118" i="9"/>
  <c r="AI117" i="9"/>
  <c r="AH117" i="9"/>
  <c r="AI116" i="9"/>
  <c r="AH116" i="9"/>
  <c r="AI115" i="9"/>
  <c r="AH115" i="9"/>
  <c r="AI114" i="9"/>
  <c r="AH114" i="9"/>
  <c r="AI113" i="9"/>
  <c r="AH113" i="9"/>
  <c r="AI112" i="9"/>
  <c r="AH112" i="9"/>
  <c r="AI111" i="9"/>
  <c r="AH111" i="9"/>
  <c r="AF110" i="9"/>
  <c r="AE110" i="9"/>
  <c r="AC110" i="9"/>
  <c r="AB110" i="9"/>
  <c r="AA110" i="9"/>
  <c r="Z110" i="9"/>
  <c r="Y110" i="9"/>
  <c r="X110" i="9"/>
  <c r="W110" i="9"/>
  <c r="V110" i="9"/>
  <c r="U110" i="9"/>
  <c r="S110" i="9"/>
  <c r="Q110" i="9"/>
  <c r="D110" i="9"/>
  <c r="C110" i="9"/>
  <c r="AI109" i="9"/>
  <c r="AH109" i="9"/>
  <c r="AI108" i="9"/>
  <c r="AH108" i="9"/>
  <c r="AI107" i="9"/>
  <c r="AH107" i="9"/>
  <c r="AI106" i="9"/>
  <c r="AH106" i="9"/>
  <c r="AI105" i="9"/>
  <c r="AH105" i="9"/>
  <c r="AI104" i="9"/>
  <c r="AH104" i="9"/>
  <c r="AI103" i="9"/>
  <c r="AH103" i="9"/>
  <c r="AI102" i="9"/>
  <c r="AH102" i="9"/>
  <c r="AI101" i="9"/>
  <c r="AH101" i="9"/>
  <c r="K100" i="9"/>
  <c r="J100" i="9"/>
  <c r="AI99" i="9"/>
  <c r="AH99" i="9"/>
  <c r="AI98" i="9"/>
  <c r="AH98" i="9"/>
  <c r="AI97" i="9"/>
  <c r="AH97" i="9"/>
  <c r="AI96" i="9"/>
  <c r="AH96" i="9"/>
  <c r="AI95" i="9"/>
  <c r="AH95" i="9"/>
  <c r="AI94" i="9"/>
  <c r="AH94" i="9"/>
  <c r="AI93" i="9"/>
  <c r="AH93" i="9"/>
  <c r="AI90" i="9"/>
  <c r="AH90" i="9"/>
  <c r="AI88" i="9"/>
  <c r="AH88" i="9"/>
  <c r="AG88" i="9"/>
  <c r="AI87" i="9"/>
  <c r="AH87" i="9"/>
  <c r="AI86" i="9"/>
  <c r="AH86" i="9"/>
  <c r="AI85" i="9"/>
  <c r="AH85" i="9"/>
  <c r="AN84" i="9"/>
  <c r="AG84" i="9"/>
  <c r="AF84" i="9"/>
  <c r="AE84" i="9"/>
  <c r="AD5" i="9" s="1"/>
  <c r="AD84" i="9"/>
  <c r="AD100" i="9" s="1"/>
  <c r="AC84" i="9"/>
  <c r="AC100" i="9" s="1"/>
  <c r="AB84" i="9"/>
  <c r="AA5" i="9" s="1"/>
  <c r="AA84" i="9"/>
  <c r="AA100" i="9" s="1"/>
  <c r="Z84" i="9"/>
  <c r="Z100" i="9" s="1"/>
  <c r="Y84" i="9"/>
  <c r="X84" i="9"/>
  <c r="W84" i="9"/>
  <c r="W100" i="9" s="1"/>
  <c r="V84" i="9"/>
  <c r="V100" i="9" s="1"/>
  <c r="U84" i="9"/>
  <c r="U100" i="9" s="1"/>
  <c r="T84" i="9"/>
  <c r="S5" i="9" s="1"/>
  <c r="S84" i="9"/>
  <c r="R5" i="9" s="1"/>
  <c r="Q89" i="9"/>
  <c r="Q91" i="9" s="1"/>
  <c r="P84" i="9"/>
  <c r="O84" i="9"/>
  <c r="O100" i="9" s="1"/>
  <c r="N84" i="9"/>
  <c r="N100" i="9" s="1"/>
  <c r="M84" i="9"/>
  <c r="M100" i="9" s="1"/>
  <c r="L84" i="9"/>
  <c r="K5" i="9" s="1"/>
  <c r="K84" i="9"/>
  <c r="J84" i="9"/>
  <c r="I84" i="9"/>
  <c r="H84" i="9"/>
  <c r="G84" i="9"/>
  <c r="G100" i="9" s="1"/>
  <c r="F84" i="9"/>
  <c r="F100" i="9" s="1"/>
  <c r="E84" i="9"/>
  <c r="E100" i="9" s="1"/>
  <c r="D84" i="9"/>
  <c r="C5" i="9" s="1"/>
  <c r="C84" i="9"/>
  <c r="B5" i="9" s="1"/>
  <c r="B84" i="9"/>
  <c r="AF5" i="9" s="1"/>
  <c r="AN83" i="9"/>
  <c r="AI83" i="9"/>
  <c r="AH83" i="9"/>
  <c r="AN82" i="9"/>
  <c r="AI82" i="9"/>
  <c r="AH82" i="9"/>
  <c r="AN81" i="9"/>
  <c r="AI81" i="9"/>
  <c r="AH81" i="9"/>
  <c r="AI80" i="9"/>
  <c r="AH80" i="9"/>
  <c r="AI79" i="9"/>
  <c r="AH79" i="9"/>
  <c r="AI78" i="9"/>
  <c r="AH78" i="9"/>
  <c r="AI77" i="9"/>
  <c r="AH77" i="9"/>
  <c r="AI76" i="9"/>
  <c r="AH76" i="9"/>
  <c r="AI75" i="9"/>
  <c r="AH75" i="9"/>
  <c r="AI74" i="9"/>
  <c r="AH74" i="9"/>
  <c r="AI73" i="9"/>
  <c r="AH73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P72" i="9"/>
  <c r="O72" i="9"/>
  <c r="N72" i="9"/>
  <c r="M72" i="9"/>
  <c r="L72" i="9"/>
  <c r="B72" i="9"/>
  <c r="AI71" i="9"/>
  <c r="AH71" i="9"/>
  <c r="AI70" i="9"/>
  <c r="AH70" i="9"/>
  <c r="AI69" i="9"/>
  <c r="AH69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I67" i="9"/>
  <c r="AH67" i="9"/>
  <c r="AG67" i="9"/>
  <c r="AG68" i="9" s="1"/>
  <c r="AI66" i="9"/>
  <c r="AH66" i="9"/>
  <c r="AI65" i="9"/>
  <c r="AH65" i="9"/>
  <c r="AI64" i="9"/>
  <c r="AH64" i="9"/>
  <c r="AI63" i="9"/>
  <c r="AH63" i="9"/>
  <c r="AI62" i="9"/>
  <c r="AH62" i="9"/>
  <c r="AI61" i="9"/>
  <c r="AH61" i="9"/>
  <c r="AI60" i="9"/>
  <c r="AH60" i="9"/>
  <c r="AI59" i="9"/>
  <c r="AH59" i="9"/>
  <c r="AI58" i="9"/>
  <c r="AH58" i="9"/>
  <c r="AI57" i="9"/>
  <c r="AH57" i="9"/>
  <c r="AI56" i="9"/>
  <c r="AH56" i="9"/>
  <c r="AI55" i="9"/>
  <c r="AH55" i="9"/>
  <c r="AG54" i="9"/>
  <c r="AF54" i="9"/>
  <c r="AE54" i="9"/>
  <c r="AD54" i="9"/>
  <c r="AC54" i="9"/>
  <c r="AB54" i="9"/>
  <c r="AA54" i="9"/>
  <c r="Z54" i="9"/>
  <c r="Y54" i="9"/>
  <c r="X54" i="9"/>
  <c r="W54" i="9"/>
  <c r="U54" i="9"/>
  <c r="T54" i="9"/>
  <c r="S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I53" i="9"/>
  <c r="AH53" i="9"/>
  <c r="AI52" i="9"/>
  <c r="AH52" i="9"/>
  <c r="AI51" i="9"/>
  <c r="AH51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N50" i="9"/>
  <c r="M50" i="9"/>
  <c r="L50" i="9"/>
  <c r="K50" i="9"/>
  <c r="K89" i="9" s="1"/>
  <c r="K91" i="9" s="1"/>
  <c r="J50" i="9"/>
  <c r="J89" i="9" s="1"/>
  <c r="J91" i="9" s="1"/>
  <c r="I50" i="9"/>
  <c r="H50" i="9"/>
  <c r="G50" i="9"/>
  <c r="F50" i="9"/>
  <c r="E50" i="9"/>
  <c r="D50" i="9"/>
  <c r="C50" i="9"/>
  <c r="B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Q5" i="9"/>
  <c r="J5" i="9"/>
  <c r="I5" i="9"/>
  <c r="AG4" i="9"/>
  <c r="K4" i="9"/>
  <c r="E4" i="9"/>
  <c r="H4" i="9" s="1"/>
  <c r="B4" i="9"/>
  <c r="S246" i="9" s="1"/>
  <c r="AG2" i="9"/>
  <c r="AF49" i="8"/>
  <c r="AE49" i="8"/>
  <c r="B4" i="8"/>
  <c r="B4" i="6"/>
  <c r="AD49" i="8"/>
  <c r="AC49" i="8"/>
  <c r="AB113" i="8"/>
  <c r="Z113" i="8"/>
  <c r="Y49" i="8"/>
  <c r="Z49" i="8"/>
  <c r="X113" i="8"/>
  <c r="X49" i="8"/>
  <c r="X50" i="8"/>
  <c r="W113" i="8"/>
  <c r="W49" i="8"/>
  <c r="V113" i="8"/>
  <c r="U49" i="8"/>
  <c r="V49" i="8"/>
  <c r="U50" i="8"/>
  <c r="V50" i="8"/>
  <c r="U54" i="8"/>
  <c r="V54" i="8"/>
  <c r="U68" i="8"/>
  <c r="V68" i="8"/>
  <c r="U72" i="8"/>
  <c r="V72" i="8"/>
  <c r="U84" i="8"/>
  <c r="U100" i="8" s="1"/>
  <c r="V84" i="8"/>
  <c r="V100" i="8" s="1"/>
  <c r="V110" i="8"/>
  <c r="U113" i="8"/>
  <c r="U110" i="8" s="1"/>
  <c r="T113" i="8"/>
  <c r="T49" i="8"/>
  <c r="S113" i="8"/>
  <c r="S49" i="8"/>
  <c r="R49" i="8"/>
  <c r="Q49" i="8"/>
  <c r="Z110" i="7"/>
  <c r="Z84" i="7"/>
  <c r="Z100" i="7" s="1"/>
  <c r="Z72" i="7"/>
  <c r="Z68" i="7"/>
  <c r="Z54" i="7"/>
  <c r="P49" i="8"/>
  <c r="M229" i="10" l="1"/>
  <c r="J270" i="10"/>
  <c r="L234" i="10"/>
  <c r="AE100" i="9"/>
  <c r="AC5" i="9"/>
  <c r="AD89" i="9"/>
  <c r="AD91" i="9" s="1"/>
  <c r="AD92" i="9" s="1"/>
  <c r="AC89" i="9"/>
  <c r="AC91" i="9" s="1"/>
  <c r="AC92" i="9" s="1"/>
  <c r="AB89" i="9"/>
  <c r="AB91" i="9" s="1"/>
  <c r="AB7" i="9" s="1"/>
  <c r="Z5" i="9"/>
  <c r="Z89" i="9"/>
  <c r="Z91" i="9" s="1"/>
  <c r="Y5" i="9"/>
  <c r="V5" i="9"/>
  <c r="U5" i="9"/>
  <c r="V89" i="9"/>
  <c r="V91" i="9" s="1"/>
  <c r="V7" i="9" s="1"/>
  <c r="U89" i="9"/>
  <c r="U91" i="9" s="1"/>
  <c r="AM249" i="9" s="1"/>
  <c r="T89" i="9"/>
  <c r="T91" i="9" s="1"/>
  <c r="T92" i="9" s="1"/>
  <c r="X89" i="9"/>
  <c r="X91" i="9" s="1"/>
  <c r="X92" i="9" s="1"/>
  <c r="AF89" i="9"/>
  <c r="AF91" i="9" s="1"/>
  <c r="AX249" i="9" s="1"/>
  <c r="Y89" i="9"/>
  <c r="Y91" i="9" s="1"/>
  <c r="Y92" i="9" s="1"/>
  <c r="S100" i="9"/>
  <c r="P89" i="9"/>
  <c r="P91" i="9" s="1"/>
  <c r="P7" i="9" s="1"/>
  <c r="N5" i="9"/>
  <c r="M5" i="9"/>
  <c r="N89" i="9"/>
  <c r="N91" i="9" s="1"/>
  <c r="N92" i="9" s="1"/>
  <c r="M89" i="9"/>
  <c r="M91" i="9" s="1"/>
  <c r="M92" i="9" s="1"/>
  <c r="AH72" i="9"/>
  <c r="L89" i="9"/>
  <c r="L91" i="9" s="1"/>
  <c r="L7" i="9" s="1"/>
  <c r="I89" i="9"/>
  <c r="I91" i="9" s="1"/>
  <c r="I92" i="9" s="1"/>
  <c r="H89" i="9"/>
  <c r="H91" i="9" s="1"/>
  <c r="H7" i="9" s="1"/>
  <c r="F5" i="9"/>
  <c r="E5" i="9"/>
  <c r="F89" i="9"/>
  <c r="F91" i="9" s="1"/>
  <c r="F7" i="9" s="1"/>
  <c r="E89" i="9"/>
  <c r="E91" i="9" s="1"/>
  <c r="E92" i="9" s="1"/>
  <c r="C100" i="9"/>
  <c r="C89" i="9"/>
  <c r="C91" i="9" s="1"/>
  <c r="C7" i="9" s="1"/>
  <c r="D89" i="9"/>
  <c r="D91" i="9" s="1"/>
  <c r="D7" i="9" s="1"/>
  <c r="AI68" i="9"/>
  <c r="B100" i="9"/>
  <c r="AI72" i="9"/>
  <c r="AH68" i="9"/>
  <c r="D246" i="9"/>
  <c r="X249" i="9"/>
  <c r="G89" i="9"/>
  <c r="G91" i="9" s="1"/>
  <c r="O89" i="9"/>
  <c r="O91" i="9" s="1"/>
  <c r="W89" i="9"/>
  <c r="W91" i="9" s="1"/>
  <c r="AE89" i="9"/>
  <c r="AE91" i="9" s="1"/>
  <c r="AF100" i="9"/>
  <c r="AE5" i="9"/>
  <c r="Q7" i="9"/>
  <c r="Q92" i="9"/>
  <c r="AI249" i="9"/>
  <c r="J232" i="9"/>
  <c r="K232" i="9" s="1"/>
  <c r="L232" i="9" s="1"/>
  <c r="M232" i="9" s="1"/>
  <c r="N232" i="9" s="1"/>
  <c r="O232" i="9" s="1"/>
  <c r="P232" i="9" s="1"/>
  <c r="AH54" i="9"/>
  <c r="P100" i="9"/>
  <c r="O5" i="9"/>
  <c r="J7" i="9"/>
  <c r="J92" i="9"/>
  <c r="AB249" i="9"/>
  <c r="Z7" i="9"/>
  <c r="Z92" i="9"/>
  <c r="AR249" i="9"/>
  <c r="AH84" i="9"/>
  <c r="AB92" i="9"/>
  <c r="AT249" i="9"/>
  <c r="Z249" i="9"/>
  <c r="H92" i="9"/>
  <c r="AG3" i="9"/>
  <c r="AG6" i="9" s="1"/>
  <c r="AG89" i="9"/>
  <c r="G5" i="9"/>
  <c r="H100" i="9"/>
  <c r="W5" i="9"/>
  <c r="X100" i="9"/>
  <c r="AI54" i="9"/>
  <c r="AG91" i="9"/>
  <c r="U92" i="9"/>
  <c r="G229" i="9"/>
  <c r="B89" i="9"/>
  <c r="R7" i="9"/>
  <c r="AJ249" i="9"/>
  <c r="K7" i="9"/>
  <c r="K92" i="9"/>
  <c r="AC249" i="9"/>
  <c r="S89" i="9"/>
  <c r="S91" i="9" s="1"/>
  <c r="AA89" i="9"/>
  <c r="AA91" i="9" s="1"/>
  <c r="AI84" i="9"/>
  <c r="E230" i="9"/>
  <c r="E234" i="9"/>
  <c r="H5" i="9"/>
  <c r="P5" i="9"/>
  <c r="X5" i="9"/>
  <c r="I100" i="9"/>
  <c r="Q100" i="9"/>
  <c r="Y100" i="9"/>
  <c r="AH50" i="9"/>
  <c r="D100" i="9"/>
  <c r="L100" i="9"/>
  <c r="T100" i="9"/>
  <c r="AB100" i="9"/>
  <c r="B235" i="9"/>
  <c r="AI50" i="9"/>
  <c r="D5" i="9"/>
  <c r="L5" i="9"/>
  <c r="T5" i="9"/>
  <c r="AB5" i="9"/>
  <c r="V89" i="8"/>
  <c r="V91" i="8" s="1"/>
  <c r="V92" i="8" s="1"/>
  <c r="U89" i="8"/>
  <c r="U91" i="8" s="1"/>
  <c r="U92" i="8" s="1"/>
  <c r="K270" i="10" l="1"/>
  <c r="M234" i="10"/>
  <c r="L110" i="10"/>
  <c r="N229" i="10"/>
  <c r="M110" i="10"/>
  <c r="AF7" i="9"/>
  <c r="AF92" i="9"/>
  <c r="AV249" i="9"/>
  <c r="AD7" i="9"/>
  <c r="AC7" i="9"/>
  <c r="AU249" i="9"/>
  <c r="AN249" i="9"/>
  <c r="Y7" i="9"/>
  <c r="U7" i="9"/>
  <c r="T7" i="9"/>
  <c r="V92" i="9"/>
  <c r="AP249" i="9"/>
  <c r="AQ249" i="9"/>
  <c r="X7" i="9"/>
  <c r="AL249" i="9"/>
  <c r="P92" i="9"/>
  <c r="AH249" i="9"/>
  <c r="F92" i="9"/>
  <c r="AF249" i="9"/>
  <c r="N7" i="9"/>
  <c r="AE249" i="9"/>
  <c r="M7" i="9"/>
  <c r="AD249" i="9"/>
  <c r="L92" i="9"/>
  <c r="AA249" i="9"/>
  <c r="I7" i="9"/>
  <c r="AH100" i="9"/>
  <c r="W249" i="9"/>
  <c r="E7" i="9"/>
  <c r="V249" i="9"/>
  <c r="D92" i="9"/>
  <c r="U249" i="9"/>
  <c r="C92" i="9"/>
  <c r="D270" i="9"/>
  <c r="F234" i="9"/>
  <c r="E110" i="9"/>
  <c r="H229" i="9"/>
  <c r="AA7" i="9"/>
  <c r="AA92" i="9"/>
  <c r="AS249" i="9"/>
  <c r="AW249" i="9"/>
  <c r="AE7" i="9"/>
  <c r="AE92" i="9"/>
  <c r="AI100" i="9"/>
  <c r="AG249" i="9"/>
  <c r="O7" i="9"/>
  <c r="O92" i="9"/>
  <c r="F230" i="9"/>
  <c r="E235" i="9"/>
  <c r="S7" i="9"/>
  <c r="S92" i="9"/>
  <c r="AK249" i="9"/>
  <c r="AO249" i="9"/>
  <c r="W7" i="9"/>
  <c r="W92" i="9"/>
  <c r="AI89" i="9"/>
  <c r="AH89" i="9"/>
  <c r="B91" i="9"/>
  <c r="Y249" i="9"/>
  <c r="C244" i="9"/>
  <c r="B244" i="9"/>
  <c r="G7" i="9"/>
  <c r="G92" i="9"/>
  <c r="O229" i="10" l="1"/>
  <c r="L270" i="10"/>
  <c r="N234" i="10"/>
  <c r="K6" i="9"/>
  <c r="I229" i="9"/>
  <c r="B7" i="9"/>
  <c r="A7" i="9" s="1"/>
  <c r="B92" i="9"/>
  <c r="AI91" i="9"/>
  <c r="T249" i="9"/>
  <c r="AH91" i="9"/>
  <c r="E270" i="9"/>
  <c r="G234" i="9"/>
  <c r="F110" i="9"/>
  <c r="G230" i="9"/>
  <c r="F235" i="9"/>
  <c r="M270" i="10" l="1"/>
  <c r="O234" i="10"/>
  <c r="N110" i="10"/>
  <c r="P229" i="10"/>
  <c r="O110" i="10"/>
  <c r="AI92" i="9"/>
  <c r="AH92" i="9"/>
  <c r="H230" i="9"/>
  <c r="G235" i="9"/>
  <c r="F270" i="9"/>
  <c r="H234" i="9"/>
  <c r="G110" i="9"/>
  <c r="J229" i="9"/>
  <c r="AI110" i="10" l="1"/>
  <c r="AH110" i="10"/>
  <c r="N270" i="10"/>
  <c r="P234" i="10"/>
  <c r="O270" i="10" s="1"/>
  <c r="I230" i="9"/>
  <c r="H235" i="9"/>
  <c r="K229" i="9"/>
  <c r="G270" i="9"/>
  <c r="I234" i="9"/>
  <c r="H110" i="9"/>
  <c r="H270" i="9" l="1"/>
  <c r="J234" i="9"/>
  <c r="I110" i="9"/>
  <c r="L229" i="9"/>
  <c r="J230" i="9"/>
  <c r="K230" i="9" l="1"/>
  <c r="K234" i="9"/>
  <c r="I270" i="9"/>
  <c r="J110" i="9"/>
  <c r="M229" i="9"/>
  <c r="N229" i="9" l="1"/>
  <c r="L234" i="9"/>
  <c r="J270" i="9"/>
  <c r="K110" i="9"/>
  <c r="L230" i="9"/>
  <c r="M230" i="9" l="1"/>
  <c r="K270" i="9"/>
  <c r="M234" i="9"/>
  <c r="L110" i="9"/>
  <c r="O229" i="9"/>
  <c r="P229" i="9" l="1"/>
  <c r="L270" i="9"/>
  <c r="N234" i="9"/>
  <c r="M110" i="9"/>
  <c r="N230" i="9"/>
  <c r="O230" i="9" l="1"/>
  <c r="M270" i="9"/>
  <c r="O234" i="9"/>
  <c r="N110" i="9"/>
  <c r="N270" i="9" l="1"/>
  <c r="P234" i="9"/>
  <c r="O270" i="9" s="1"/>
  <c r="O110" i="9"/>
  <c r="P230" i="9"/>
  <c r="AI110" i="9" l="1"/>
  <c r="AH110" i="9"/>
  <c r="O49" i="8"/>
  <c r="M49" i="8"/>
  <c r="N49" i="8"/>
  <c r="C113" i="8" l="1"/>
  <c r="L113" i="8"/>
  <c r="L49" i="8"/>
  <c r="K113" i="8"/>
  <c r="K49" i="8"/>
  <c r="J113" i="8"/>
  <c r="J49" i="8"/>
  <c r="I113" i="8"/>
  <c r="I49" i="8"/>
  <c r="H113" i="8"/>
  <c r="H49" i="8"/>
  <c r="G113" i="8"/>
  <c r="G49" i="8"/>
  <c r="F113" i="8"/>
  <c r="F49" i="8"/>
  <c r="E113" i="8" l="1"/>
  <c r="D49" i="8"/>
  <c r="E49" i="8"/>
  <c r="D113" i="8"/>
  <c r="B72" i="8"/>
  <c r="C72" i="8"/>
  <c r="D72" i="8"/>
  <c r="E72" i="8"/>
  <c r="F72" i="8"/>
  <c r="G72" i="8"/>
  <c r="H72" i="8"/>
  <c r="I72" i="8"/>
  <c r="J72" i="8"/>
  <c r="K72" i="8"/>
  <c r="L72" i="8"/>
  <c r="AF274" i="8"/>
  <c r="AE274" i="8"/>
  <c r="AD274" i="8"/>
  <c r="AC274" i="8"/>
  <c r="AB274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O274" i="8"/>
  <c r="N274" i="8"/>
  <c r="M274" i="8"/>
  <c r="L274" i="8"/>
  <c r="K274" i="8"/>
  <c r="J274" i="8"/>
  <c r="I274" i="8"/>
  <c r="H274" i="8"/>
  <c r="G274" i="8"/>
  <c r="F274" i="8"/>
  <c r="E274" i="8"/>
  <c r="D274" i="8"/>
  <c r="C274" i="8"/>
  <c r="B274" i="8"/>
  <c r="A274" i="8"/>
  <c r="AF273" i="8"/>
  <c r="AE273" i="8"/>
  <c r="AD273" i="8"/>
  <c r="AC273" i="8"/>
  <c r="AB273" i="8"/>
  <c r="AA273" i="8"/>
  <c r="Z273" i="8"/>
  <c r="Y273" i="8"/>
  <c r="X273" i="8"/>
  <c r="W273" i="8"/>
  <c r="V273" i="8"/>
  <c r="U273" i="8"/>
  <c r="T273" i="8"/>
  <c r="S273" i="8"/>
  <c r="R273" i="8"/>
  <c r="Q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C273" i="8"/>
  <c r="B273" i="8"/>
  <c r="A273" i="8"/>
  <c r="AF272" i="8"/>
  <c r="AE272" i="8"/>
  <c r="AD272" i="8"/>
  <c r="AC272" i="8"/>
  <c r="AB272" i="8"/>
  <c r="AA272" i="8"/>
  <c r="Z272" i="8"/>
  <c r="Y272" i="8"/>
  <c r="X272" i="8"/>
  <c r="W272" i="8"/>
  <c r="V272" i="8"/>
  <c r="U272" i="8"/>
  <c r="T272" i="8"/>
  <c r="S272" i="8"/>
  <c r="R272" i="8"/>
  <c r="Q272" i="8"/>
  <c r="P272" i="8"/>
  <c r="O272" i="8"/>
  <c r="N272" i="8"/>
  <c r="M272" i="8"/>
  <c r="L272" i="8"/>
  <c r="K272" i="8"/>
  <c r="J272" i="8"/>
  <c r="I272" i="8"/>
  <c r="H272" i="8"/>
  <c r="G272" i="8"/>
  <c r="F272" i="8"/>
  <c r="E272" i="8"/>
  <c r="D272" i="8"/>
  <c r="C272" i="8"/>
  <c r="B272" i="8"/>
  <c r="A272" i="8"/>
  <c r="AF271" i="8"/>
  <c r="AE271" i="8"/>
  <c r="AD271" i="8"/>
  <c r="AC271" i="8"/>
  <c r="AB271" i="8"/>
  <c r="AA271" i="8"/>
  <c r="Z271" i="8"/>
  <c r="Y271" i="8"/>
  <c r="X271" i="8"/>
  <c r="W271" i="8"/>
  <c r="V271" i="8"/>
  <c r="U271" i="8"/>
  <c r="T271" i="8"/>
  <c r="S271" i="8"/>
  <c r="R271" i="8"/>
  <c r="Q271" i="8"/>
  <c r="P271" i="8"/>
  <c r="O271" i="8"/>
  <c r="N271" i="8"/>
  <c r="M271" i="8"/>
  <c r="L271" i="8"/>
  <c r="K271" i="8"/>
  <c r="J271" i="8"/>
  <c r="I271" i="8"/>
  <c r="H271" i="8"/>
  <c r="G271" i="8"/>
  <c r="F271" i="8"/>
  <c r="E271" i="8"/>
  <c r="D271" i="8"/>
  <c r="C271" i="8"/>
  <c r="B271" i="8"/>
  <c r="A271" i="8"/>
  <c r="AE270" i="8"/>
  <c r="AD270" i="8"/>
  <c r="AC270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C270" i="8"/>
  <c r="B270" i="8"/>
  <c r="S245" i="8"/>
  <c r="AG235" i="8"/>
  <c r="AF235" i="8"/>
  <c r="AE235" i="8"/>
  <c r="AD235" i="8"/>
  <c r="AC235" i="8"/>
  <c r="AB235" i="8"/>
  <c r="AA235" i="8"/>
  <c r="Z235" i="8"/>
  <c r="Y235" i="8"/>
  <c r="X235" i="8"/>
  <c r="W235" i="8"/>
  <c r="V235" i="8"/>
  <c r="U235" i="8"/>
  <c r="T235" i="8"/>
  <c r="S235" i="8"/>
  <c r="R235" i="8"/>
  <c r="Q235" i="8"/>
  <c r="C235" i="8"/>
  <c r="D234" i="8"/>
  <c r="E234" i="8" s="1"/>
  <c r="B234" i="8"/>
  <c r="AF270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B233" i="8"/>
  <c r="G232" i="8"/>
  <c r="H232" i="8" s="1"/>
  <c r="I232" i="8" s="1"/>
  <c r="F232" i="8"/>
  <c r="E232" i="8"/>
  <c r="D232" i="8"/>
  <c r="B232" i="8"/>
  <c r="E231" i="8"/>
  <c r="F231" i="8" s="1"/>
  <c r="G231" i="8" s="1"/>
  <c r="H231" i="8" s="1"/>
  <c r="D231" i="8"/>
  <c r="B231" i="8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B230" i="8"/>
  <c r="D229" i="8"/>
  <c r="D235" i="8" s="1"/>
  <c r="B229" i="8"/>
  <c r="B235" i="8" s="1"/>
  <c r="AG227" i="8"/>
  <c r="AF227" i="8"/>
  <c r="AE227" i="8"/>
  <c r="AD227" i="8"/>
  <c r="AC227" i="8"/>
  <c r="AB227" i="8"/>
  <c r="AA227" i="8"/>
  <c r="Z227" i="8"/>
  <c r="Y227" i="8"/>
  <c r="X227" i="8"/>
  <c r="W227" i="8"/>
  <c r="V227" i="8"/>
  <c r="U227" i="8"/>
  <c r="T227" i="8"/>
  <c r="S227" i="8"/>
  <c r="R227" i="8"/>
  <c r="Q227" i="8"/>
  <c r="P227" i="8"/>
  <c r="O227" i="8"/>
  <c r="N227" i="8"/>
  <c r="M227" i="8"/>
  <c r="L227" i="8"/>
  <c r="K227" i="8"/>
  <c r="J227" i="8"/>
  <c r="I227" i="8"/>
  <c r="H227" i="8"/>
  <c r="G227" i="8"/>
  <c r="F227" i="8"/>
  <c r="E227" i="8"/>
  <c r="D227" i="8"/>
  <c r="C227" i="8"/>
  <c r="B227" i="8"/>
  <c r="AI120" i="8"/>
  <c r="AH120" i="8"/>
  <c r="AI119" i="8"/>
  <c r="AH119" i="8"/>
  <c r="AI118" i="8"/>
  <c r="AH118" i="8"/>
  <c r="AI117" i="8"/>
  <c r="AH117" i="8"/>
  <c r="AI116" i="8"/>
  <c r="AH116" i="8"/>
  <c r="AI115" i="8"/>
  <c r="AH115" i="8"/>
  <c r="AI114" i="8"/>
  <c r="AH114" i="8"/>
  <c r="AI113" i="8"/>
  <c r="AH113" i="8"/>
  <c r="AI112" i="8"/>
  <c r="AH112" i="8"/>
  <c r="AI111" i="8"/>
  <c r="AH111" i="8"/>
  <c r="AF110" i="8"/>
  <c r="AE110" i="8"/>
  <c r="AC110" i="8"/>
  <c r="AB110" i="8"/>
  <c r="Z110" i="8"/>
  <c r="Y110" i="8"/>
  <c r="X110" i="8"/>
  <c r="W110" i="8"/>
  <c r="T110" i="8"/>
  <c r="S110" i="8"/>
  <c r="R110" i="8"/>
  <c r="Q110" i="8"/>
  <c r="C110" i="8"/>
  <c r="B110" i="8"/>
  <c r="AI109" i="8"/>
  <c r="AH109" i="8"/>
  <c r="AI108" i="8"/>
  <c r="AH108" i="8"/>
  <c r="AI107" i="8"/>
  <c r="AH107" i="8"/>
  <c r="AI106" i="8"/>
  <c r="AH106" i="8"/>
  <c r="AI105" i="8"/>
  <c r="AH105" i="8"/>
  <c r="AI104" i="8"/>
  <c r="AH104" i="8"/>
  <c r="AI103" i="8"/>
  <c r="AH103" i="8"/>
  <c r="AI102" i="8"/>
  <c r="AH102" i="8"/>
  <c r="AI101" i="8"/>
  <c r="AH101" i="8"/>
  <c r="Y100" i="8"/>
  <c r="AI99" i="8"/>
  <c r="AH99" i="8"/>
  <c r="AI98" i="8"/>
  <c r="AH98" i="8"/>
  <c r="AI97" i="8"/>
  <c r="AH97" i="8"/>
  <c r="AI96" i="8"/>
  <c r="AH96" i="8"/>
  <c r="AI95" i="8"/>
  <c r="AH95" i="8"/>
  <c r="AI94" i="8"/>
  <c r="AH94" i="8"/>
  <c r="AI93" i="8"/>
  <c r="AH93" i="8"/>
  <c r="AI90" i="8"/>
  <c r="AH90" i="8"/>
  <c r="AI88" i="8"/>
  <c r="AH88" i="8"/>
  <c r="AG88" i="8"/>
  <c r="AG91" i="8" s="1"/>
  <c r="AI87" i="8"/>
  <c r="AH87" i="8"/>
  <c r="AI86" i="8"/>
  <c r="AH86" i="8"/>
  <c r="AI85" i="8"/>
  <c r="AH85" i="8"/>
  <c r="AN84" i="8"/>
  <c r="AG84" i="8"/>
  <c r="AF84" i="8"/>
  <c r="AF100" i="8" s="1"/>
  <c r="AE84" i="8"/>
  <c r="AE100" i="8" s="1"/>
  <c r="AD84" i="8"/>
  <c r="AD100" i="8" s="1"/>
  <c r="AC84" i="8"/>
  <c r="AC100" i="8" s="1"/>
  <c r="AB84" i="8"/>
  <c r="AB100" i="8" s="1"/>
  <c r="Z84" i="8"/>
  <c r="Z100" i="8" s="1"/>
  <c r="Y84" i="8"/>
  <c r="X5" i="8" s="1"/>
  <c r="X84" i="8"/>
  <c r="X100" i="8" s="1"/>
  <c r="W84" i="8"/>
  <c r="W100" i="8" s="1"/>
  <c r="T84" i="8"/>
  <c r="T100" i="8" s="1"/>
  <c r="S84" i="8"/>
  <c r="S100" i="8" s="1"/>
  <c r="R84" i="8"/>
  <c r="R100" i="8" s="1"/>
  <c r="Q84" i="8"/>
  <c r="P5" i="8" s="1"/>
  <c r="P84" i="8"/>
  <c r="P100" i="8" s="1"/>
  <c r="O84" i="8"/>
  <c r="O100" i="8" s="1"/>
  <c r="N84" i="8"/>
  <c r="N100" i="8" s="1"/>
  <c r="M84" i="8"/>
  <c r="M100" i="8" s="1"/>
  <c r="L84" i="8"/>
  <c r="L100" i="8" s="1"/>
  <c r="K84" i="8"/>
  <c r="K100" i="8" s="1"/>
  <c r="J84" i="8"/>
  <c r="J100" i="8" s="1"/>
  <c r="I84" i="8"/>
  <c r="H5" i="8" s="1"/>
  <c r="H84" i="8"/>
  <c r="H100" i="8" s="1"/>
  <c r="G84" i="8"/>
  <c r="G100" i="8" s="1"/>
  <c r="F84" i="8"/>
  <c r="F100" i="8" s="1"/>
  <c r="E84" i="8"/>
  <c r="E100" i="8" s="1"/>
  <c r="D84" i="8"/>
  <c r="D100" i="8" s="1"/>
  <c r="C84" i="8"/>
  <c r="C100" i="8" s="1"/>
  <c r="B84" i="8"/>
  <c r="B100" i="8" s="1"/>
  <c r="AN83" i="8"/>
  <c r="AI83" i="8"/>
  <c r="AH83" i="8"/>
  <c r="AN82" i="8"/>
  <c r="AI82" i="8"/>
  <c r="AH82" i="8"/>
  <c r="AN81" i="8"/>
  <c r="AI81" i="8"/>
  <c r="AH81" i="8"/>
  <c r="AI80" i="8"/>
  <c r="AH80" i="8"/>
  <c r="AI79" i="8"/>
  <c r="AH79" i="8"/>
  <c r="AI78" i="8"/>
  <c r="AH78" i="8"/>
  <c r="AI77" i="8"/>
  <c r="AH77" i="8"/>
  <c r="AI76" i="8"/>
  <c r="AH76" i="8"/>
  <c r="AI75" i="8"/>
  <c r="AH75" i="8"/>
  <c r="AI74" i="8"/>
  <c r="AH74" i="8"/>
  <c r="AI73" i="8"/>
  <c r="AH73" i="8"/>
  <c r="AG72" i="8"/>
  <c r="AF72" i="8"/>
  <c r="AE72" i="8"/>
  <c r="AD72" i="8"/>
  <c r="AC72" i="8"/>
  <c r="AB72" i="8"/>
  <c r="Z72" i="8"/>
  <c r="Y72" i="8"/>
  <c r="X72" i="8"/>
  <c r="W72" i="8"/>
  <c r="T72" i="8"/>
  <c r="S72" i="8"/>
  <c r="R72" i="8"/>
  <c r="Q72" i="8"/>
  <c r="P72" i="8"/>
  <c r="O72" i="8"/>
  <c r="N72" i="8"/>
  <c r="M72" i="8"/>
  <c r="AI71" i="8"/>
  <c r="AH71" i="8"/>
  <c r="AI70" i="8"/>
  <c r="AH70" i="8"/>
  <c r="AI69" i="8"/>
  <c r="AH69" i="8"/>
  <c r="AF68" i="8"/>
  <c r="AE68" i="8"/>
  <c r="AD68" i="8"/>
  <c r="AC68" i="8"/>
  <c r="AB68" i="8"/>
  <c r="Z68" i="8"/>
  <c r="Y68" i="8"/>
  <c r="X68" i="8"/>
  <c r="W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AI67" i="8"/>
  <c r="AH67" i="8"/>
  <c r="AG67" i="8"/>
  <c r="AG68" i="8" s="1"/>
  <c r="AG3" i="8" s="1"/>
  <c r="AI66" i="8"/>
  <c r="AH66" i="8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I56" i="8"/>
  <c r="AH56" i="8"/>
  <c r="AI55" i="8"/>
  <c r="AH55" i="8"/>
  <c r="AG54" i="8"/>
  <c r="AF54" i="8"/>
  <c r="AE54" i="8"/>
  <c r="AD54" i="8"/>
  <c r="AC54" i="8"/>
  <c r="AB54" i="8"/>
  <c r="Z54" i="8"/>
  <c r="Y54" i="8"/>
  <c r="X54" i="8"/>
  <c r="W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I53" i="8"/>
  <c r="AH53" i="8"/>
  <c r="AI52" i="8"/>
  <c r="AH52" i="8"/>
  <c r="AI51" i="8"/>
  <c r="AH51" i="8"/>
  <c r="AG50" i="8"/>
  <c r="AF50" i="8"/>
  <c r="AE50" i="8"/>
  <c r="AE89" i="8" s="1"/>
  <c r="AE91" i="8" s="1"/>
  <c r="AD50" i="8"/>
  <c r="AC50" i="8"/>
  <c r="AB50" i="8"/>
  <c r="Z50" i="8"/>
  <c r="Y50" i="8"/>
  <c r="W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H89" i="8" s="1"/>
  <c r="H91" i="8" s="1"/>
  <c r="G50" i="8"/>
  <c r="F50" i="8"/>
  <c r="E50" i="8"/>
  <c r="D50" i="8"/>
  <c r="C50" i="8"/>
  <c r="B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Z5" i="8"/>
  <c r="U5" i="8"/>
  <c r="T5" i="8"/>
  <c r="S5" i="8"/>
  <c r="N5" i="8"/>
  <c r="K5" i="8"/>
  <c r="AG4" i="8"/>
  <c r="K4" i="8"/>
  <c r="E4" i="8"/>
  <c r="H4" i="8" s="1"/>
  <c r="S246" i="8"/>
  <c r="AB113" i="7"/>
  <c r="S50" i="7"/>
  <c r="T50" i="7"/>
  <c r="U50" i="7"/>
  <c r="V50" i="7"/>
  <c r="S54" i="7"/>
  <c r="T54" i="7"/>
  <c r="U54" i="7"/>
  <c r="V54" i="7"/>
  <c r="S68" i="7"/>
  <c r="T68" i="7"/>
  <c r="U68" i="7"/>
  <c r="V68" i="7"/>
  <c r="S72" i="7"/>
  <c r="T72" i="7"/>
  <c r="U72" i="7"/>
  <c r="V72" i="7"/>
  <c r="S84" i="7"/>
  <c r="S100" i="7" s="1"/>
  <c r="T84" i="7"/>
  <c r="U84" i="7"/>
  <c r="T5" i="7" s="1"/>
  <c r="V84" i="7"/>
  <c r="V100" i="7" s="1"/>
  <c r="S110" i="7"/>
  <c r="T110" i="7"/>
  <c r="U110" i="7"/>
  <c r="V110" i="7"/>
  <c r="L50" i="7"/>
  <c r="L54" i="7"/>
  <c r="L68" i="7"/>
  <c r="L84" i="7"/>
  <c r="K5" i="7" s="1"/>
  <c r="D113" i="7"/>
  <c r="D50" i="7"/>
  <c r="C50" i="7"/>
  <c r="C54" i="7"/>
  <c r="B113" i="7"/>
  <c r="B84" i="7"/>
  <c r="AF5" i="7" s="1"/>
  <c r="B68" i="7"/>
  <c r="B54" i="7"/>
  <c r="B50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A274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A273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A272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A271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B270" i="7"/>
  <c r="S245" i="7"/>
  <c r="AG235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C235" i="7"/>
  <c r="D234" i="7"/>
  <c r="C270" i="7" s="1"/>
  <c r="B234" i="7"/>
  <c r="AF270" i="7" s="1"/>
  <c r="D233" i="7"/>
  <c r="E233" i="7" s="1"/>
  <c r="F233" i="7" s="1"/>
  <c r="G233" i="7" s="1"/>
  <c r="H233" i="7" s="1"/>
  <c r="I233" i="7" s="1"/>
  <c r="J233" i="7" s="1"/>
  <c r="K233" i="7" s="1"/>
  <c r="L233" i="7" s="1"/>
  <c r="M233" i="7" s="1"/>
  <c r="N233" i="7" s="1"/>
  <c r="O233" i="7" s="1"/>
  <c r="P233" i="7" s="1"/>
  <c r="B233" i="7"/>
  <c r="D232" i="7"/>
  <c r="E232" i="7" s="1"/>
  <c r="F232" i="7" s="1"/>
  <c r="G232" i="7" s="1"/>
  <c r="H232" i="7" s="1"/>
  <c r="I232" i="7" s="1"/>
  <c r="B232" i="7"/>
  <c r="D231" i="7"/>
  <c r="E231" i="7" s="1"/>
  <c r="F231" i="7" s="1"/>
  <c r="G231" i="7" s="1"/>
  <c r="H231" i="7" s="1"/>
  <c r="B231" i="7"/>
  <c r="D230" i="7"/>
  <c r="B230" i="7"/>
  <c r="D229" i="7"/>
  <c r="E229" i="7" s="1"/>
  <c r="F229" i="7" s="1"/>
  <c r="B229" i="7"/>
  <c r="B110" i="7" s="1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B227" i="7"/>
  <c r="AI120" i="7"/>
  <c r="AH120" i="7"/>
  <c r="AI119" i="7"/>
  <c r="AH119" i="7"/>
  <c r="AI118" i="7"/>
  <c r="AH118" i="7"/>
  <c r="AI117" i="7"/>
  <c r="AH117" i="7"/>
  <c r="AI116" i="7"/>
  <c r="AH116" i="7"/>
  <c r="AI115" i="7"/>
  <c r="AH115" i="7"/>
  <c r="AI114" i="7"/>
  <c r="AH114" i="7"/>
  <c r="AI113" i="7"/>
  <c r="AH113" i="7"/>
  <c r="AI112" i="7"/>
  <c r="AH112" i="7"/>
  <c r="AF110" i="7"/>
  <c r="AE110" i="7"/>
  <c r="AC110" i="7"/>
  <c r="AB110" i="7"/>
  <c r="AA110" i="7"/>
  <c r="Y110" i="7"/>
  <c r="X110" i="7"/>
  <c r="W110" i="7"/>
  <c r="R110" i="7"/>
  <c r="Q110" i="7"/>
  <c r="D110" i="7"/>
  <c r="AI109" i="7"/>
  <c r="AH109" i="7"/>
  <c r="AI108" i="7"/>
  <c r="AH108" i="7"/>
  <c r="AI107" i="7"/>
  <c r="AH107" i="7"/>
  <c r="AI106" i="7"/>
  <c r="AH106" i="7"/>
  <c r="AI105" i="7"/>
  <c r="AH105" i="7"/>
  <c r="AI104" i="7"/>
  <c r="AH104" i="7"/>
  <c r="AI103" i="7"/>
  <c r="AH103" i="7"/>
  <c r="AI102" i="7"/>
  <c r="AH102" i="7"/>
  <c r="AI101" i="7"/>
  <c r="AH101" i="7"/>
  <c r="AI99" i="7"/>
  <c r="AH99" i="7"/>
  <c r="AI98" i="7"/>
  <c r="AH98" i="7"/>
  <c r="AI97" i="7"/>
  <c r="AH97" i="7"/>
  <c r="AI96" i="7"/>
  <c r="AH96" i="7"/>
  <c r="AI95" i="7"/>
  <c r="AH95" i="7"/>
  <c r="AI94" i="7"/>
  <c r="AH94" i="7"/>
  <c r="AI93" i="7"/>
  <c r="AH93" i="7"/>
  <c r="AI90" i="7"/>
  <c r="AH90" i="7"/>
  <c r="AI88" i="7"/>
  <c r="AH88" i="7"/>
  <c r="AG88" i="7"/>
  <c r="AI87" i="7"/>
  <c r="AH87" i="7"/>
  <c r="AI86" i="7"/>
  <c r="AH86" i="7"/>
  <c r="AI85" i="7"/>
  <c r="AH85" i="7"/>
  <c r="AN84" i="7"/>
  <c r="AG84" i="7"/>
  <c r="AF84" i="7"/>
  <c r="AF100" i="7" s="1"/>
  <c r="AE84" i="7"/>
  <c r="AE100" i="7" s="1"/>
  <c r="AD84" i="7"/>
  <c r="AD100" i="7" s="1"/>
  <c r="AC84" i="7"/>
  <c r="AC100" i="7" s="1"/>
  <c r="AB84" i="7"/>
  <c r="AB100" i="7" s="1"/>
  <c r="AA84" i="7"/>
  <c r="AA100" i="7" s="1"/>
  <c r="Y84" i="7"/>
  <c r="Y100" i="7" s="1"/>
  <c r="X84" i="7"/>
  <c r="X100" i="7" s="1"/>
  <c r="W84" i="7"/>
  <c r="V5" i="7" s="1"/>
  <c r="R84" i="7"/>
  <c r="R100" i="7" s="1"/>
  <c r="Q84" i="7"/>
  <c r="Q100" i="7" s="1"/>
  <c r="P84" i="7"/>
  <c r="P100" i="7" s="1"/>
  <c r="O84" i="7"/>
  <c r="O100" i="7" s="1"/>
  <c r="N84" i="7"/>
  <c r="N100" i="7" s="1"/>
  <c r="M84" i="7"/>
  <c r="M100" i="7" s="1"/>
  <c r="K84" i="7"/>
  <c r="K100" i="7" s="1"/>
  <c r="J84" i="7"/>
  <c r="J100" i="7" s="1"/>
  <c r="I84" i="7"/>
  <c r="I100" i="7" s="1"/>
  <c r="H84" i="7"/>
  <c r="H100" i="7" s="1"/>
  <c r="G84" i="7"/>
  <c r="G100" i="7" s="1"/>
  <c r="F84" i="7"/>
  <c r="F100" i="7" s="1"/>
  <c r="E84" i="7"/>
  <c r="E100" i="7" s="1"/>
  <c r="D84" i="7"/>
  <c r="D100" i="7" s="1"/>
  <c r="C84" i="7"/>
  <c r="C100" i="7" s="1"/>
  <c r="AI83" i="7"/>
  <c r="AH83" i="7"/>
  <c r="AN82" i="7"/>
  <c r="AN83" i="7" s="1"/>
  <c r="AI82" i="7"/>
  <c r="AH82" i="7"/>
  <c r="AN81" i="7"/>
  <c r="AI81" i="7"/>
  <c r="AH81" i="7"/>
  <c r="AI80" i="7"/>
  <c r="AH80" i="7"/>
  <c r="AI79" i="7"/>
  <c r="AH79" i="7"/>
  <c r="AI78" i="7"/>
  <c r="AH78" i="7"/>
  <c r="AI77" i="7"/>
  <c r="AH77" i="7"/>
  <c r="AI76" i="7"/>
  <c r="AH76" i="7"/>
  <c r="AI75" i="7"/>
  <c r="AH75" i="7"/>
  <c r="AI74" i="7"/>
  <c r="AH74" i="7"/>
  <c r="AI73" i="7"/>
  <c r="AH73" i="7"/>
  <c r="AG72" i="7"/>
  <c r="AF72" i="7"/>
  <c r="AE72" i="7"/>
  <c r="AD72" i="7"/>
  <c r="AC72" i="7"/>
  <c r="AB72" i="7"/>
  <c r="AA72" i="7"/>
  <c r="Y72" i="7"/>
  <c r="X72" i="7"/>
  <c r="W72" i="7"/>
  <c r="R72" i="7"/>
  <c r="Q72" i="7"/>
  <c r="P72" i="7"/>
  <c r="O72" i="7"/>
  <c r="N72" i="7"/>
  <c r="M72" i="7"/>
  <c r="AI71" i="7"/>
  <c r="AH71" i="7"/>
  <c r="AI70" i="7"/>
  <c r="AH70" i="7"/>
  <c r="AI69" i="7"/>
  <c r="AH69" i="7"/>
  <c r="AF68" i="7"/>
  <c r="AE68" i="7"/>
  <c r="AD68" i="7"/>
  <c r="AC68" i="7"/>
  <c r="AB68" i="7"/>
  <c r="AA68" i="7"/>
  <c r="Y68" i="7"/>
  <c r="X68" i="7"/>
  <c r="W68" i="7"/>
  <c r="R68" i="7"/>
  <c r="Q68" i="7"/>
  <c r="P68" i="7"/>
  <c r="O68" i="7"/>
  <c r="N68" i="7"/>
  <c r="M68" i="7"/>
  <c r="K68" i="7"/>
  <c r="J68" i="7"/>
  <c r="I68" i="7"/>
  <c r="H68" i="7"/>
  <c r="G68" i="7"/>
  <c r="F68" i="7"/>
  <c r="E68" i="7"/>
  <c r="D68" i="7"/>
  <c r="C68" i="7"/>
  <c r="AI67" i="7"/>
  <c r="AH67" i="7"/>
  <c r="AG67" i="7"/>
  <c r="AG68" i="7" s="1"/>
  <c r="AG3" i="7" s="1"/>
  <c r="AI66" i="7"/>
  <c r="AH66" i="7"/>
  <c r="AI65" i="7"/>
  <c r="AH65" i="7"/>
  <c r="AI64" i="7"/>
  <c r="AH64" i="7"/>
  <c r="AI63" i="7"/>
  <c r="AH63" i="7"/>
  <c r="AI62" i="7"/>
  <c r="AH62" i="7"/>
  <c r="AI61" i="7"/>
  <c r="AH61" i="7"/>
  <c r="AI60" i="7"/>
  <c r="AH60" i="7"/>
  <c r="AI59" i="7"/>
  <c r="AH59" i="7"/>
  <c r="AI58" i="7"/>
  <c r="AH58" i="7"/>
  <c r="AI57" i="7"/>
  <c r="AH57" i="7"/>
  <c r="AI56" i="7"/>
  <c r="AH56" i="7"/>
  <c r="AI55" i="7"/>
  <c r="AH55" i="7"/>
  <c r="AG54" i="7"/>
  <c r="AF54" i="7"/>
  <c r="AE54" i="7"/>
  <c r="AD54" i="7"/>
  <c r="AC54" i="7"/>
  <c r="AB54" i="7"/>
  <c r="AA54" i="7"/>
  <c r="Y54" i="7"/>
  <c r="X54" i="7"/>
  <c r="W54" i="7"/>
  <c r="R54" i="7"/>
  <c r="Q54" i="7"/>
  <c r="P54" i="7"/>
  <c r="O54" i="7"/>
  <c r="N54" i="7"/>
  <c r="M54" i="7"/>
  <c r="K54" i="7"/>
  <c r="J54" i="7"/>
  <c r="I54" i="7"/>
  <c r="H54" i="7"/>
  <c r="G54" i="7"/>
  <c r="F54" i="7"/>
  <c r="E54" i="7"/>
  <c r="D54" i="7"/>
  <c r="AI53" i="7"/>
  <c r="AH53" i="7"/>
  <c r="AI52" i="7"/>
  <c r="AH52" i="7"/>
  <c r="AI51" i="7"/>
  <c r="AH51" i="7"/>
  <c r="AG50" i="7"/>
  <c r="AF50" i="7"/>
  <c r="AE50" i="7"/>
  <c r="AD50" i="7"/>
  <c r="AC50" i="7"/>
  <c r="AB50" i="7"/>
  <c r="AA50" i="7"/>
  <c r="Y50" i="7"/>
  <c r="X50" i="7"/>
  <c r="W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Z5" i="7"/>
  <c r="S5" i="7"/>
  <c r="J5" i="7"/>
  <c r="AG4" i="7"/>
  <c r="K4" i="7"/>
  <c r="E4" i="7"/>
  <c r="H4" i="7" s="1"/>
  <c r="B4" i="7"/>
  <c r="S246" i="7" s="1"/>
  <c r="AG2" i="7"/>
  <c r="AG6" i="7" s="1"/>
  <c r="AF274" i="6"/>
  <c r="AE274" i="6"/>
  <c r="AD274" i="6"/>
  <c r="AC274" i="6"/>
  <c r="AB274" i="6"/>
  <c r="AA274" i="6"/>
  <c r="Z274" i="6"/>
  <c r="Y274" i="6"/>
  <c r="X274" i="6"/>
  <c r="W274" i="6"/>
  <c r="V274" i="6"/>
  <c r="U274" i="6"/>
  <c r="T274" i="6"/>
  <c r="S274" i="6"/>
  <c r="R274" i="6"/>
  <c r="Q274" i="6"/>
  <c r="P274" i="6"/>
  <c r="O274" i="6"/>
  <c r="N274" i="6"/>
  <c r="M274" i="6"/>
  <c r="L274" i="6"/>
  <c r="K274" i="6"/>
  <c r="J274" i="6"/>
  <c r="I274" i="6"/>
  <c r="H274" i="6"/>
  <c r="G274" i="6"/>
  <c r="F274" i="6"/>
  <c r="E274" i="6"/>
  <c r="D274" i="6"/>
  <c r="C274" i="6"/>
  <c r="B274" i="6"/>
  <c r="A274" i="6"/>
  <c r="AF273" i="6"/>
  <c r="AE273" i="6"/>
  <c r="AD273" i="6"/>
  <c r="AC273" i="6"/>
  <c r="AB273" i="6"/>
  <c r="AA273" i="6"/>
  <c r="Z273" i="6"/>
  <c r="Y273" i="6"/>
  <c r="X273" i="6"/>
  <c r="W273" i="6"/>
  <c r="V273" i="6"/>
  <c r="U273" i="6"/>
  <c r="T273" i="6"/>
  <c r="S273" i="6"/>
  <c r="R273" i="6"/>
  <c r="Q273" i="6"/>
  <c r="P273" i="6"/>
  <c r="O273" i="6"/>
  <c r="N273" i="6"/>
  <c r="M273" i="6"/>
  <c r="L273" i="6"/>
  <c r="K273" i="6"/>
  <c r="J273" i="6"/>
  <c r="I273" i="6"/>
  <c r="H273" i="6"/>
  <c r="G273" i="6"/>
  <c r="F273" i="6"/>
  <c r="E273" i="6"/>
  <c r="D273" i="6"/>
  <c r="C273" i="6"/>
  <c r="B273" i="6"/>
  <c r="A273" i="6"/>
  <c r="AF272" i="6"/>
  <c r="AE272" i="6"/>
  <c r="AD272" i="6"/>
  <c r="AC272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O272" i="6"/>
  <c r="N272" i="6"/>
  <c r="M272" i="6"/>
  <c r="L272" i="6"/>
  <c r="K272" i="6"/>
  <c r="J272" i="6"/>
  <c r="I272" i="6"/>
  <c r="H272" i="6"/>
  <c r="G272" i="6"/>
  <c r="F272" i="6"/>
  <c r="E272" i="6"/>
  <c r="D272" i="6"/>
  <c r="C272" i="6"/>
  <c r="B272" i="6"/>
  <c r="A272" i="6"/>
  <c r="AF271" i="6"/>
  <c r="AE271" i="6"/>
  <c r="AD271" i="6"/>
  <c r="AC271" i="6"/>
  <c r="AB271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I271" i="6"/>
  <c r="H271" i="6"/>
  <c r="G271" i="6"/>
  <c r="F271" i="6"/>
  <c r="E271" i="6"/>
  <c r="D271" i="6"/>
  <c r="C271" i="6"/>
  <c r="B271" i="6"/>
  <c r="A271" i="6"/>
  <c r="AE270" i="6"/>
  <c r="AD270" i="6"/>
  <c r="AC270" i="6"/>
  <c r="AB270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C270" i="6"/>
  <c r="B270" i="6"/>
  <c r="S245" i="6"/>
  <c r="AG235" i="6"/>
  <c r="AF235" i="6"/>
  <c r="AE235" i="6"/>
  <c r="AD235" i="6"/>
  <c r="AC235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C235" i="6"/>
  <c r="E234" i="6"/>
  <c r="F234" i="6" s="1"/>
  <c r="D234" i="6"/>
  <c r="B234" i="6"/>
  <c r="AF270" i="6" s="1"/>
  <c r="D233" i="6"/>
  <c r="E233" i="6" s="1"/>
  <c r="F233" i="6" s="1"/>
  <c r="G233" i="6" s="1"/>
  <c r="H233" i="6" s="1"/>
  <c r="I233" i="6" s="1"/>
  <c r="J233" i="6" s="1"/>
  <c r="K233" i="6" s="1"/>
  <c r="L233" i="6" s="1"/>
  <c r="M233" i="6" s="1"/>
  <c r="N233" i="6" s="1"/>
  <c r="O233" i="6" s="1"/>
  <c r="P233" i="6" s="1"/>
  <c r="B233" i="6"/>
  <c r="D232" i="6"/>
  <c r="E232" i="6" s="1"/>
  <c r="F232" i="6" s="1"/>
  <c r="G232" i="6" s="1"/>
  <c r="H232" i="6" s="1"/>
  <c r="I232" i="6" s="1"/>
  <c r="B232" i="6"/>
  <c r="E231" i="6"/>
  <c r="F231" i="6" s="1"/>
  <c r="G231" i="6" s="1"/>
  <c r="H231" i="6" s="1"/>
  <c r="D231" i="6"/>
  <c r="B231" i="6"/>
  <c r="E230" i="6"/>
  <c r="F230" i="6" s="1"/>
  <c r="G230" i="6" s="1"/>
  <c r="H230" i="6" s="1"/>
  <c r="I230" i="6" s="1"/>
  <c r="J230" i="6" s="1"/>
  <c r="K230" i="6" s="1"/>
  <c r="L230" i="6" s="1"/>
  <c r="M230" i="6" s="1"/>
  <c r="N230" i="6" s="1"/>
  <c r="O230" i="6" s="1"/>
  <c r="P230" i="6" s="1"/>
  <c r="D230" i="6"/>
  <c r="B230" i="6"/>
  <c r="D229" i="6"/>
  <c r="D235" i="6" s="1"/>
  <c r="B229" i="6"/>
  <c r="B110" i="6" s="1"/>
  <c r="AG227" i="6"/>
  <c r="AF227" i="6"/>
  <c r="AE227" i="6"/>
  <c r="AD227" i="6"/>
  <c r="AC227" i="6"/>
  <c r="AB227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C227" i="6"/>
  <c r="B227" i="6"/>
  <c r="AI120" i="6"/>
  <c r="AH120" i="6"/>
  <c r="AI119" i="6"/>
  <c r="AH119" i="6"/>
  <c r="AI118" i="6"/>
  <c r="AH118" i="6"/>
  <c r="AI117" i="6"/>
  <c r="AH117" i="6"/>
  <c r="AI116" i="6"/>
  <c r="AH116" i="6"/>
  <c r="AI115" i="6"/>
  <c r="AH115" i="6"/>
  <c r="AI114" i="6"/>
  <c r="AH114" i="6"/>
  <c r="AI113" i="6"/>
  <c r="AH113" i="6"/>
  <c r="AI112" i="6"/>
  <c r="AH112" i="6"/>
  <c r="AI111" i="6"/>
  <c r="AH111" i="6"/>
  <c r="AF110" i="6"/>
  <c r="AE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C110" i="6"/>
  <c r="AI109" i="6"/>
  <c r="AH109" i="6"/>
  <c r="AI108" i="6"/>
  <c r="AH108" i="6"/>
  <c r="AI107" i="6"/>
  <c r="AH107" i="6"/>
  <c r="AI106" i="6"/>
  <c r="AH106" i="6"/>
  <c r="AI105" i="6"/>
  <c r="AH105" i="6"/>
  <c r="AI104" i="6"/>
  <c r="AH104" i="6"/>
  <c r="AI103" i="6"/>
  <c r="AH103" i="6"/>
  <c r="AI102" i="6"/>
  <c r="AH102" i="6"/>
  <c r="AI101" i="6"/>
  <c r="AH101" i="6"/>
  <c r="AF100" i="6"/>
  <c r="X100" i="6"/>
  <c r="P100" i="6"/>
  <c r="H100" i="6"/>
  <c r="AI99" i="6"/>
  <c r="AH99" i="6"/>
  <c r="AI98" i="6"/>
  <c r="AH98" i="6"/>
  <c r="AI97" i="6"/>
  <c r="AH97" i="6"/>
  <c r="AI96" i="6"/>
  <c r="AH96" i="6"/>
  <c r="AI95" i="6"/>
  <c r="AH95" i="6"/>
  <c r="AI94" i="6"/>
  <c r="AH94" i="6"/>
  <c r="AI93" i="6"/>
  <c r="AH93" i="6"/>
  <c r="AI90" i="6"/>
  <c r="AH90" i="6"/>
  <c r="AD89" i="6"/>
  <c r="AD91" i="6" s="1"/>
  <c r="AC89" i="6"/>
  <c r="AC91" i="6" s="1"/>
  <c r="V89" i="6"/>
  <c r="V91" i="6" s="1"/>
  <c r="U89" i="6"/>
  <c r="U91" i="6" s="1"/>
  <c r="N89" i="6"/>
  <c r="N91" i="6" s="1"/>
  <c r="M89" i="6"/>
  <c r="M91" i="6" s="1"/>
  <c r="F89" i="6"/>
  <c r="F91" i="6" s="1"/>
  <c r="E89" i="6"/>
  <c r="E91" i="6" s="1"/>
  <c r="AI88" i="6"/>
  <c r="AH88" i="6"/>
  <c r="AG88" i="6"/>
  <c r="AI87" i="6"/>
  <c r="AH87" i="6"/>
  <c r="AI86" i="6"/>
  <c r="AH86" i="6"/>
  <c r="AI85" i="6"/>
  <c r="AH85" i="6"/>
  <c r="AN84" i="6"/>
  <c r="AG84" i="6"/>
  <c r="AF84" i="6"/>
  <c r="AE84" i="6"/>
  <c r="AE100" i="6" s="1"/>
  <c r="AD84" i="6"/>
  <c r="AD100" i="6" s="1"/>
  <c r="AC84" i="6"/>
  <c r="AC100" i="6" s="1"/>
  <c r="AB84" i="6"/>
  <c r="AB100" i="6" s="1"/>
  <c r="AA84" i="6"/>
  <c r="AA100" i="6" s="1"/>
  <c r="Z84" i="6"/>
  <c r="Z100" i="6" s="1"/>
  <c r="Y84" i="6"/>
  <c r="Y100" i="6" s="1"/>
  <c r="X84" i="6"/>
  <c r="W84" i="6"/>
  <c r="W100" i="6" s="1"/>
  <c r="V84" i="6"/>
  <c r="V100" i="6" s="1"/>
  <c r="U84" i="6"/>
  <c r="U100" i="6" s="1"/>
  <c r="T84" i="6"/>
  <c r="T100" i="6" s="1"/>
  <c r="S84" i="6"/>
  <c r="S100" i="6" s="1"/>
  <c r="R84" i="6"/>
  <c r="R100" i="6" s="1"/>
  <c r="Q84" i="6"/>
  <c r="P5" i="6" s="1"/>
  <c r="P84" i="6"/>
  <c r="O84" i="6"/>
  <c r="O100" i="6" s="1"/>
  <c r="N84" i="6"/>
  <c r="N100" i="6" s="1"/>
  <c r="M84" i="6"/>
  <c r="M100" i="6" s="1"/>
  <c r="L84" i="6"/>
  <c r="L100" i="6" s="1"/>
  <c r="K84" i="6"/>
  <c r="K100" i="6" s="1"/>
  <c r="J84" i="6"/>
  <c r="J100" i="6" s="1"/>
  <c r="I84" i="6"/>
  <c r="H5" i="6" s="1"/>
  <c r="H84" i="6"/>
  <c r="G84" i="6"/>
  <c r="G100" i="6" s="1"/>
  <c r="F84" i="6"/>
  <c r="F100" i="6" s="1"/>
  <c r="E84" i="6"/>
  <c r="E100" i="6" s="1"/>
  <c r="D84" i="6"/>
  <c r="D100" i="6" s="1"/>
  <c r="C84" i="6"/>
  <c r="C100" i="6" s="1"/>
  <c r="B84" i="6"/>
  <c r="AH84" i="6" s="1"/>
  <c r="AN83" i="6"/>
  <c r="AI83" i="6"/>
  <c r="AH83" i="6"/>
  <c r="AN82" i="6"/>
  <c r="AI82" i="6"/>
  <c r="AH82" i="6"/>
  <c r="AN81" i="6"/>
  <c r="AI81" i="6"/>
  <c r="AH81" i="6"/>
  <c r="AI80" i="6"/>
  <c r="AH80" i="6"/>
  <c r="AI79" i="6"/>
  <c r="AH79" i="6"/>
  <c r="AI78" i="6"/>
  <c r="AH78" i="6"/>
  <c r="AI77" i="6"/>
  <c r="AH77" i="6"/>
  <c r="AI76" i="6"/>
  <c r="AH76" i="6"/>
  <c r="AI75" i="6"/>
  <c r="AH75" i="6"/>
  <c r="AI74" i="6"/>
  <c r="AH74" i="6"/>
  <c r="AI73" i="6"/>
  <c r="AH73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B72" i="6"/>
  <c r="AH72" i="6" s="1"/>
  <c r="AI71" i="6"/>
  <c r="AH71" i="6"/>
  <c r="AI70" i="6"/>
  <c r="AH70" i="6"/>
  <c r="AI69" i="6"/>
  <c r="AH69" i="6"/>
  <c r="AI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H68" i="6" s="1"/>
  <c r="AI67" i="6"/>
  <c r="AH67" i="6"/>
  <c r="AG67" i="6"/>
  <c r="AG68" i="6" s="1"/>
  <c r="AG3" i="6" s="1"/>
  <c r="AI66" i="6"/>
  <c r="AH66" i="6"/>
  <c r="AI65" i="6"/>
  <c r="AH65" i="6"/>
  <c r="AI64" i="6"/>
  <c r="AH64" i="6"/>
  <c r="AI63" i="6"/>
  <c r="AH63" i="6"/>
  <c r="AI62" i="6"/>
  <c r="AH62" i="6"/>
  <c r="AI61" i="6"/>
  <c r="AH61" i="6"/>
  <c r="AI60" i="6"/>
  <c r="AH60" i="6"/>
  <c r="AI59" i="6"/>
  <c r="AH59" i="6"/>
  <c r="AI58" i="6"/>
  <c r="AH58" i="6"/>
  <c r="AI57" i="6"/>
  <c r="AH57" i="6"/>
  <c r="AI56" i="6"/>
  <c r="AH56" i="6"/>
  <c r="AI55" i="6"/>
  <c r="AH55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I54" i="6" s="1"/>
  <c r="AI53" i="6"/>
  <c r="AH53" i="6"/>
  <c r="AI52" i="6"/>
  <c r="AH52" i="6"/>
  <c r="AI51" i="6"/>
  <c r="AH51" i="6"/>
  <c r="AG50" i="6"/>
  <c r="AF50" i="6"/>
  <c r="AF89" i="6" s="1"/>
  <c r="AF91" i="6" s="1"/>
  <c r="AE50" i="6"/>
  <c r="AE89" i="6" s="1"/>
  <c r="AE91" i="6" s="1"/>
  <c r="AD50" i="6"/>
  <c r="AC50" i="6"/>
  <c r="AB50" i="6"/>
  <c r="AB89" i="6" s="1"/>
  <c r="AB91" i="6" s="1"/>
  <c r="AA50" i="6"/>
  <c r="AA89" i="6" s="1"/>
  <c r="AA91" i="6" s="1"/>
  <c r="Z50" i="6"/>
  <c r="Z89" i="6" s="1"/>
  <c r="Z91" i="6" s="1"/>
  <c r="Y50" i="6"/>
  <c r="Y89" i="6" s="1"/>
  <c r="Y91" i="6" s="1"/>
  <c r="X50" i="6"/>
  <c r="X89" i="6" s="1"/>
  <c r="X91" i="6" s="1"/>
  <c r="W50" i="6"/>
  <c r="W89" i="6" s="1"/>
  <c r="W91" i="6" s="1"/>
  <c r="V50" i="6"/>
  <c r="U50" i="6"/>
  <c r="T50" i="6"/>
  <c r="T89" i="6" s="1"/>
  <c r="T91" i="6" s="1"/>
  <c r="S50" i="6"/>
  <c r="S89" i="6" s="1"/>
  <c r="S91" i="6" s="1"/>
  <c r="R50" i="6"/>
  <c r="R89" i="6" s="1"/>
  <c r="R91" i="6" s="1"/>
  <c r="Q50" i="6"/>
  <c r="Q89" i="6" s="1"/>
  <c r="Q91" i="6" s="1"/>
  <c r="P50" i="6"/>
  <c r="P89" i="6" s="1"/>
  <c r="P91" i="6" s="1"/>
  <c r="O50" i="6"/>
  <c r="O89" i="6" s="1"/>
  <c r="O91" i="6" s="1"/>
  <c r="N50" i="6"/>
  <c r="M50" i="6"/>
  <c r="L50" i="6"/>
  <c r="L89" i="6" s="1"/>
  <c r="L91" i="6" s="1"/>
  <c r="K50" i="6"/>
  <c r="K89" i="6" s="1"/>
  <c r="K91" i="6" s="1"/>
  <c r="J50" i="6"/>
  <c r="J89" i="6" s="1"/>
  <c r="J91" i="6" s="1"/>
  <c r="I50" i="6"/>
  <c r="I89" i="6" s="1"/>
  <c r="I91" i="6" s="1"/>
  <c r="H50" i="6"/>
  <c r="H89" i="6" s="1"/>
  <c r="H91" i="6" s="1"/>
  <c r="G50" i="6"/>
  <c r="G89" i="6" s="1"/>
  <c r="G91" i="6" s="1"/>
  <c r="F50" i="6"/>
  <c r="E50" i="6"/>
  <c r="D50" i="6"/>
  <c r="D89" i="6" s="1"/>
  <c r="D91" i="6" s="1"/>
  <c r="C50" i="6"/>
  <c r="C89" i="6" s="1"/>
  <c r="C91" i="6" s="1"/>
  <c r="B50" i="6"/>
  <c r="B89" i="6" s="1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F5" i="6"/>
  <c r="AE5" i="6"/>
  <c r="AD5" i="6"/>
  <c r="AC5" i="6"/>
  <c r="AB5" i="6"/>
  <c r="AA5" i="6"/>
  <c r="Z5" i="6"/>
  <c r="W5" i="6"/>
  <c r="V5" i="6"/>
  <c r="U5" i="6"/>
  <c r="T5" i="6"/>
  <c r="S5" i="6"/>
  <c r="R5" i="6"/>
  <c r="O5" i="6"/>
  <c r="N5" i="6"/>
  <c r="M5" i="6"/>
  <c r="L5" i="6"/>
  <c r="K5" i="6"/>
  <c r="J5" i="6"/>
  <c r="G5" i="6"/>
  <c r="F5" i="6"/>
  <c r="E5" i="6"/>
  <c r="D5" i="6"/>
  <c r="C5" i="6"/>
  <c r="B5" i="6"/>
  <c r="AG4" i="6"/>
  <c r="K4" i="6"/>
  <c r="E4" i="6"/>
  <c r="H4" i="6" s="1"/>
  <c r="D246" i="6"/>
  <c r="AE5" i="8" l="1"/>
  <c r="AF89" i="8"/>
  <c r="AF91" i="8" s="1"/>
  <c r="AF92" i="8" s="1"/>
  <c r="AD5" i="8"/>
  <c r="AD89" i="8"/>
  <c r="AD91" i="8" s="1"/>
  <c r="AV249" i="8" s="1"/>
  <c r="AC5" i="8"/>
  <c r="AB5" i="8"/>
  <c r="AC89" i="8"/>
  <c r="AC91" i="8" s="1"/>
  <c r="AC92" i="8" s="1"/>
  <c r="AA5" i="8"/>
  <c r="AB89" i="8"/>
  <c r="AB91" i="8" s="1"/>
  <c r="AB92" i="8" s="1"/>
  <c r="Z89" i="8"/>
  <c r="Z91" i="8" s="1"/>
  <c r="Z7" i="8" s="1"/>
  <c r="Y89" i="8"/>
  <c r="Y91" i="8" s="1"/>
  <c r="Y92" i="8" s="1"/>
  <c r="W5" i="8"/>
  <c r="X89" i="8"/>
  <c r="X91" i="8" s="1"/>
  <c r="X7" i="8" s="1"/>
  <c r="V5" i="8"/>
  <c r="W89" i="8"/>
  <c r="W91" i="8" s="1"/>
  <c r="W92" i="8" s="1"/>
  <c r="T89" i="8"/>
  <c r="T91" i="8" s="1"/>
  <c r="T92" i="8" s="1"/>
  <c r="R5" i="8"/>
  <c r="S89" i="8"/>
  <c r="S91" i="8" s="1"/>
  <c r="S7" i="8" s="1"/>
  <c r="R89" i="8"/>
  <c r="R91" i="8" s="1"/>
  <c r="R7" i="8" s="1"/>
  <c r="Q100" i="8"/>
  <c r="Q89" i="8"/>
  <c r="Q91" i="8" s="1"/>
  <c r="AI249" i="8" s="1"/>
  <c r="AG89" i="7"/>
  <c r="T89" i="7"/>
  <c r="T91" i="7" s="1"/>
  <c r="T92" i="7" s="1"/>
  <c r="W100" i="7"/>
  <c r="O89" i="8"/>
  <c r="O91" i="8" s="1"/>
  <c r="O7" i="8" s="1"/>
  <c r="O5" i="8"/>
  <c r="P89" i="8"/>
  <c r="P91" i="8" s="1"/>
  <c r="P7" i="8" s="1"/>
  <c r="M5" i="8"/>
  <c r="N89" i="8"/>
  <c r="N91" i="8" s="1"/>
  <c r="N7" i="8" s="1"/>
  <c r="L5" i="8"/>
  <c r="M89" i="8"/>
  <c r="M91" i="8" s="1"/>
  <c r="M92" i="8" s="1"/>
  <c r="AD5" i="7"/>
  <c r="B89" i="8"/>
  <c r="AF5" i="8"/>
  <c r="B5" i="8"/>
  <c r="C89" i="8"/>
  <c r="C91" i="8" s="1"/>
  <c r="L89" i="8"/>
  <c r="L91" i="8" s="1"/>
  <c r="K89" i="8"/>
  <c r="K91" i="8" s="1"/>
  <c r="J5" i="8"/>
  <c r="J89" i="8"/>
  <c r="J91" i="8" s="1"/>
  <c r="J7" i="8" s="1"/>
  <c r="I100" i="8"/>
  <c r="G5" i="8"/>
  <c r="F5" i="8"/>
  <c r="G89" i="8"/>
  <c r="G91" i="8" s="1"/>
  <c r="G92" i="8" s="1"/>
  <c r="E5" i="8"/>
  <c r="F89" i="8"/>
  <c r="F91" i="8" s="1"/>
  <c r="F92" i="8" s="1"/>
  <c r="D5" i="8"/>
  <c r="E89" i="8"/>
  <c r="E91" i="8" s="1"/>
  <c r="W249" i="8" s="1"/>
  <c r="AH72" i="8"/>
  <c r="C5" i="8"/>
  <c r="I89" i="8"/>
  <c r="I91" i="8" s="1"/>
  <c r="I92" i="8" s="1"/>
  <c r="AH68" i="8"/>
  <c r="AI68" i="8"/>
  <c r="AH54" i="8"/>
  <c r="AI54" i="8"/>
  <c r="D89" i="8"/>
  <c r="D91" i="8" s="1"/>
  <c r="D92" i="8" s="1"/>
  <c r="AW249" i="8"/>
  <c r="AE7" i="8"/>
  <c r="AE92" i="8"/>
  <c r="D270" i="8"/>
  <c r="F234" i="8"/>
  <c r="AM249" i="8"/>
  <c r="U7" i="8"/>
  <c r="Q7" i="8"/>
  <c r="Y7" i="8"/>
  <c r="AG89" i="8"/>
  <c r="B91" i="8"/>
  <c r="J92" i="8"/>
  <c r="H92" i="8"/>
  <c r="H7" i="8"/>
  <c r="Z249" i="8"/>
  <c r="C7" i="8"/>
  <c r="C92" i="8"/>
  <c r="U249" i="8"/>
  <c r="K7" i="8"/>
  <c r="K92" i="8"/>
  <c r="AC249" i="8"/>
  <c r="AA7" i="8"/>
  <c r="AS249" i="8"/>
  <c r="J232" i="8"/>
  <c r="K232" i="8" s="1"/>
  <c r="L232" i="8" s="1"/>
  <c r="M232" i="8" s="1"/>
  <c r="N232" i="8" s="1"/>
  <c r="O232" i="8" s="1"/>
  <c r="P232" i="8" s="1"/>
  <c r="AH100" i="8"/>
  <c r="AI100" i="8"/>
  <c r="L92" i="8"/>
  <c r="AD249" i="8"/>
  <c r="L7" i="8"/>
  <c r="AL249" i="8"/>
  <c r="T7" i="8"/>
  <c r="AN249" i="8"/>
  <c r="V7" i="8"/>
  <c r="AI72" i="8"/>
  <c r="D110" i="8"/>
  <c r="D246" i="8"/>
  <c r="AH84" i="8"/>
  <c r="I5" i="8"/>
  <c r="Q5" i="8"/>
  <c r="Y5" i="8"/>
  <c r="AH50" i="8"/>
  <c r="AI84" i="8"/>
  <c r="E229" i="8"/>
  <c r="AI50" i="8"/>
  <c r="AG2" i="8"/>
  <c r="AG6" i="8" s="1"/>
  <c r="AC89" i="7"/>
  <c r="AC91" i="7" s="1"/>
  <c r="AC92" i="7" s="1"/>
  <c r="AA5" i="7"/>
  <c r="AB89" i="7"/>
  <c r="AB91" i="7" s="1"/>
  <c r="AB92" i="7" s="1"/>
  <c r="Y89" i="7"/>
  <c r="Y91" i="7" s="1"/>
  <c r="R5" i="7"/>
  <c r="S89" i="7"/>
  <c r="S91" i="7" s="1"/>
  <c r="S92" i="7" s="1"/>
  <c r="T100" i="7"/>
  <c r="U89" i="7"/>
  <c r="U91" i="7" s="1"/>
  <c r="U92" i="7" s="1"/>
  <c r="U100" i="7"/>
  <c r="V89" i="7"/>
  <c r="V91" i="7" s="1"/>
  <c r="V92" i="7" s="1"/>
  <c r="AH72" i="7"/>
  <c r="Q5" i="7"/>
  <c r="Q89" i="7"/>
  <c r="Q91" i="7" s="1"/>
  <c r="AI249" i="7" s="1"/>
  <c r="N5" i="7"/>
  <c r="M89" i="7"/>
  <c r="M91" i="7" s="1"/>
  <c r="AE249" i="7" s="1"/>
  <c r="L89" i="7"/>
  <c r="L91" i="7" s="1"/>
  <c r="L92" i="7" s="1"/>
  <c r="L100" i="7"/>
  <c r="I89" i="7"/>
  <c r="I91" i="7" s="1"/>
  <c r="F5" i="7"/>
  <c r="E5" i="7"/>
  <c r="D5" i="7"/>
  <c r="E89" i="7"/>
  <c r="E91" i="7" s="1"/>
  <c r="E92" i="7" s="1"/>
  <c r="B5" i="7"/>
  <c r="C5" i="7"/>
  <c r="D89" i="7"/>
  <c r="D91" i="7" s="1"/>
  <c r="V249" i="7" s="1"/>
  <c r="AB5" i="7"/>
  <c r="J89" i="7"/>
  <c r="J91" i="7" s="1"/>
  <c r="J92" i="7" s="1"/>
  <c r="R89" i="7"/>
  <c r="R91" i="7" s="1"/>
  <c r="R92" i="7" s="1"/>
  <c r="I5" i="7"/>
  <c r="AC5" i="7"/>
  <c r="C89" i="7"/>
  <c r="C91" i="7" s="1"/>
  <c r="C7" i="7" s="1"/>
  <c r="K89" i="7"/>
  <c r="K91" i="7" s="1"/>
  <c r="K7" i="7" s="1"/>
  <c r="AA89" i="7"/>
  <c r="AA91" i="7" s="1"/>
  <c r="AA7" i="7" s="1"/>
  <c r="D235" i="7"/>
  <c r="AI54" i="7"/>
  <c r="AG91" i="7"/>
  <c r="AH68" i="7"/>
  <c r="U5" i="7"/>
  <c r="L5" i="7"/>
  <c r="F89" i="7"/>
  <c r="F91" i="7" s="1"/>
  <c r="X249" i="7" s="1"/>
  <c r="N89" i="7"/>
  <c r="N91" i="7" s="1"/>
  <c r="N92" i="7" s="1"/>
  <c r="AD89" i="7"/>
  <c r="AD91" i="7" s="1"/>
  <c r="AV249" i="7" s="1"/>
  <c r="M5" i="7"/>
  <c r="Y5" i="7"/>
  <c r="G89" i="7"/>
  <c r="G91" i="7" s="1"/>
  <c r="G92" i="7" s="1"/>
  <c r="O89" i="7"/>
  <c r="O91" i="7" s="1"/>
  <c r="AG249" i="7" s="1"/>
  <c r="W89" i="7"/>
  <c r="W91" i="7" s="1"/>
  <c r="W92" i="7" s="1"/>
  <c r="AE89" i="7"/>
  <c r="AE91" i="7" s="1"/>
  <c r="AW249" i="7" s="1"/>
  <c r="B100" i="7"/>
  <c r="H89" i="7"/>
  <c r="H91" i="7" s="1"/>
  <c r="H92" i="7" s="1"/>
  <c r="P89" i="7"/>
  <c r="P91" i="7" s="1"/>
  <c r="P7" i="7" s="1"/>
  <c r="X89" i="7"/>
  <c r="X91" i="7" s="1"/>
  <c r="X7" i="7" s="1"/>
  <c r="AF89" i="7"/>
  <c r="AF91" i="7" s="1"/>
  <c r="AF92" i="7" s="1"/>
  <c r="B89" i="7"/>
  <c r="B91" i="7" s="1"/>
  <c r="B92" i="7" s="1"/>
  <c r="D246" i="7"/>
  <c r="S7" i="7"/>
  <c r="AK249" i="7"/>
  <c r="AD249" i="7"/>
  <c r="AN249" i="7"/>
  <c r="V7" i="7"/>
  <c r="AL249" i="7"/>
  <c r="T7" i="7"/>
  <c r="G229" i="7"/>
  <c r="J232" i="7"/>
  <c r="K232" i="7" s="1"/>
  <c r="L232" i="7" s="1"/>
  <c r="M232" i="7" s="1"/>
  <c r="N232" i="7" s="1"/>
  <c r="O232" i="7" s="1"/>
  <c r="P232" i="7" s="1"/>
  <c r="AT249" i="7"/>
  <c r="AB7" i="7"/>
  <c r="M92" i="7"/>
  <c r="AA249" i="7"/>
  <c r="I7" i="7"/>
  <c r="I92" i="7"/>
  <c r="Y7" i="7"/>
  <c r="AQ249" i="7"/>
  <c r="Y92" i="7"/>
  <c r="G5" i="7"/>
  <c r="O5" i="7"/>
  <c r="E230" i="7"/>
  <c r="E234" i="7"/>
  <c r="H5" i="7"/>
  <c r="P5" i="7"/>
  <c r="X5" i="7"/>
  <c r="AH84" i="7"/>
  <c r="AI68" i="7"/>
  <c r="AH54" i="7"/>
  <c r="AI84" i="7"/>
  <c r="AI72" i="7"/>
  <c r="AE5" i="7"/>
  <c r="B235" i="7"/>
  <c r="W5" i="7"/>
  <c r="S246" i="6"/>
  <c r="AI89" i="6"/>
  <c r="AH89" i="6"/>
  <c r="B91" i="6"/>
  <c r="J7" i="6"/>
  <c r="J92" i="6"/>
  <c r="AB249" i="6"/>
  <c r="R7" i="6"/>
  <c r="AJ249" i="6"/>
  <c r="R92" i="6"/>
  <c r="Z7" i="6"/>
  <c r="AR249" i="6"/>
  <c r="Z92" i="6"/>
  <c r="AV249" i="6"/>
  <c r="AD7" i="6"/>
  <c r="AD92" i="6"/>
  <c r="K7" i="6"/>
  <c r="K92" i="6"/>
  <c r="AC249" i="6"/>
  <c r="E270" i="6"/>
  <c r="G234" i="6"/>
  <c r="AB92" i="6"/>
  <c r="AT249" i="6"/>
  <c r="AB7" i="6"/>
  <c r="X249" i="6"/>
  <c r="F7" i="6"/>
  <c r="F92" i="6"/>
  <c r="C7" i="6"/>
  <c r="C92" i="6"/>
  <c r="U249" i="6"/>
  <c r="D92" i="6"/>
  <c r="V249" i="6"/>
  <c r="D7" i="6"/>
  <c r="AF249" i="6"/>
  <c r="N7" i="6"/>
  <c r="N92" i="6"/>
  <c r="J232" i="6"/>
  <c r="K232" i="6" s="1"/>
  <c r="L232" i="6" s="1"/>
  <c r="M232" i="6" s="1"/>
  <c r="N232" i="6" s="1"/>
  <c r="O232" i="6" s="1"/>
  <c r="P232" i="6" s="1"/>
  <c r="AA7" i="6"/>
  <c r="AA92" i="6"/>
  <c r="AS249" i="6"/>
  <c r="L92" i="6"/>
  <c r="AD249" i="6"/>
  <c r="L7" i="6"/>
  <c r="M92" i="6"/>
  <c r="AE249" i="6"/>
  <c r="M7" i="6"/>
  <c r="Y249" i="6"/>
  <c r="C244" i="6"/>
  <c r="B244" i="6"/>
  <c r="G7" i="6"/>
  <c r="G92" i="6"/>
  <c r="AG249" i="6"/>
  <c r="O92" i="6"/>
  <c r="O7" i="6"/>
  <c r="AO249" i="6"/>
  <c r="W92" i="6"/>
  <c r="W7" i="6"/>
  <c r="AW249" i="6"/>
  <c r="AE92" i="6"/>
  <c r="AE7" i="6"/>
  <c r="U92" i="6"/>
  <c r="AM249" i="6"/>
  <c r="U7" i="6"/>
  <c r="E92" i="6"/>
  <c r="W249" i="6"/>
  <c r="E7" i="6"/>
  <c r="P7" i="6"/>
  <c r="P92" i="6"/>
  <c r="AH249" i="6"/>
  <c r="AF92" i="6"/>
  <c r="AF7" i="6"/>
  <c r="AX249" i="6"/>
  <c r="AG91" i="6"/>
  <c r="AN249" i="6"/>
  <c r="V7" i="6"/>
  <c r="V92" i="6"/>
  <c r="S7" i="6"/>
  <c r="S92" i="6"/>
  <c r="AK249" i="6"/>
  <c r="T92" i="6"/>
  <c r="AL249" i="6"/>
  <c r="T7" i="6"/>
  <c r="H92" i="6"/>
  <c r="H7" i="6"/>
  <c r="Z249" i="6"/>
  <c r="X7" i="6"/>
  <c r="X92" i="6"/>
  <c r="AP249" i="6"/>
  <c r="I7" i="6"/>
  <c r="I92" i="6"/>
  <c r="AA249" i="6"/>
  <c r="AI249" i="6"/>
  <c r="Q7" i="6"/>
  <c r="Q92" i="6"/>
  <c r="Y7" i="6"/>
  <c r="Y92" i="6"/>
  <c r="AQ249" i="6"/>
  <c r="AG89" i="6"/>
  <c r="AC92" i="6"/>
  <c r="AU249" i="6"/>
  <c r="AC7" i="6"/>
  <c r="X5" i="6"/>
  <c r="AI72" i="6"/>
  <c r="D110" i="6"/>
  <c r="I100" i="6"/>
  <c r="I5" i="6"/>
  <c r="Q5" i="6"/>
  <c r="Y5" i="6"/>
  <c r="AH50" i="6"/>
  <c r="AH54" i="6"/>
  <c r="AI84" i="6"/>
  <c r="B100" i="6"/>
  <c r="E229" i="6"/>
  <c r="D270" i="6"/>
  <c r="Q100" i="6"/>
  <c r="AI50" i="6"/>
  <c r="AG2" i="6"/>
  <c r="AG6" i="6" s="1"/>
  <c r="B235" i="6"/>
  <c r="AF7" i="8" l="1"/>
  <c r="AC7" i="8"/>
  <c r="AX249" i="8"/>
  <c r="AD7" i="8"/>
  <c r="AD92" i="8"/>
  <c r="AB7" i="8"/>
  <c r="AT249" i="8"/>
  <c r="AU249" i="8"/>
  <c r="AR249" i="8"/>
  <c r="Z92" i="8"/>
  <c r="AQ249" i="8"/>
  <c r="X92" i="8"/>
  <c r="AP249" i="8"/>
  <c r="W7" i="8"/>
  <c r="AO249" i="8"/>
  <c r="S92" i="8"/>
  <c r="AK249" i="8"/>
  <c r="R92" i="8"/>
  <c r="AJ249" i="8"/>
  <c r="Q92" i="8"/>
  <c r="O92" i="8"/>
  <c r="AG249" i="8"/>
  <c r="L7" i="7"/>
  <c r="AA92" i="7"/>
  <c r="Q92" i="7"/>
  <c r="Q7" i="7"/>
  <c r="AI100" i="7"/>
  <c r="J7" i="7"/>
  <c r="P92" i="8"/>
  <c r="AH249" i="8"/>
  <c r="N92" i="8"/>
  <c r="AF249" i="8"/>
  <c r="M7" i="8"/>
  <c r="AE249" i="8"/>
  <c r="AX249" i="7"/>
  <c r="AF7" i="7"/>
  <c r="AB249" i="8"/>
  <c r="E92" i="8"/>
  <c r="I7" i="8"/>
  <c r="B244" i="8"/>
  <c r="AA249" i="8"/>
  <c r="G7" i="8"/>
  <c r="C244" i="8"/>
  <c r="Y249" i="8"/>
  <c r="F7" i="8"/>
  <c r="X249" i="8"/>
  <c r="E7" i="8"/>
  <c r="D7" i="8"/>
  <c r="V249" i="8"/>
  <c r="AI89" i="8"/>
  <c r="AH89" i="8"/>
  <c r="B7" i="8"/>
  <c r="B92" i="8"/>
  <c r="AI91" i="8"/>
  <c r="T249" i="8"/>
  <c r="AH91" i="8"/>
  <c r="E270" i="8"/>
  <c r="G234" i="8"/>
  <c r="F229" i="8"/>
  <c r="E110" i="8"/>
  <c r="E235" i="8"/>
  <c r="AE7" i="7"/>
  <c r="AE92" i="7"/>
  <c r="AD7" i="7"/>
  <c r="AD92" i="7"/>
  <c r="AC7" i="7"/>
  <c r="AU249" i="7"/>
  <c r="AS249" i="7"/>
  <c r="AP249" i="7"/>
  <c r="AH100" i="7"/>
  <c r="X92" i="7"/>
  <c r="AO249" i="7"/>
  <c r="W7" i="7"/>
  <c r="U7" i="7"/>
  <c r="AM249" i="7"/>
  <c r="P92" i="7"/>
  <c r="AH249" i="7"/>
  <c r="M7" i="7"/>
  <c r="AJ249" i="7"/>
  <c r="R7" i="7"/>
  <c r="O7" i="7"/>
  <c r="N7" i="7"/>
  <c r="AF249" i="7"/>
  <c r="D7" i="7"/>
  <c r="D92" i="7"/>
  <c r="AB249" i="7"/>
  <c r="H7" i="7"/>
  <c r="Z249" i="7"/>
  <c r="Y249" i="7"/>
  <c r="G7" i="7"/>
  <c r="W249" i="7"/>
  <c r="E7" i="7"/>
  <c r="F92" i="7"/>
  <c r="F7" i="7"/>
  <c r="U249" i="7"/>
  <c r="C92" i="7"/>
  <c r="O92" i="7"/>
  <c r="AC249" i="7"/>
  <c r="K92" i="7"/>
  <c r="B244" i="7"/>
  <c r="C244" i="7"/>
  <c r="B7" i="7"/>
  <c r="T249" i="7"/>
  <c r="E110" i="7"/>
  <c r="D270" i="7"/>
  <c r="F234" i="7"/>
  <c r="H229" i="7"/>
  <c r="E235" i="7"/>
  <c r="F230" i="7"/>
  <c r="F270" i="6"/>
  <c r="H234" i="6"/>
  <c r="E110" i="6"/>
  <c r="F229" i="6"/>
  <c r="E235" i="6"/>
  <c r="K6" i="6"/>
  <c r="B7" i="6"/>
  <c r="A7" i="6" s="1"/>
  <c r="AH91" i="6"/>
  <c r="B92" i="6"/>
  <c r="T249" i="6"/>
  <c r="AI91" i="6"/>
  <c r="AH100" i="6"/>
  <c r="AI100" i="6"/>
  <c r="A7" i="8" l="1"/>
  <c r="K6" i="8"/>
  <c r="F270" i="8"/>
  <c r="H234" i="8"/>
  <c r="AI92" i="8"/>
  <c r="AH92" i="8"/>
  <c r="G229" i="8"/>
  <c r="F110" i="8"/>
  <c r="F235" i="8"/>
  <c r="K6" i="7"/>
  <c r="I229" i="7"/>
  <c r="G230" i="7"/>
  <c r="F235" i="7"/>
  <c r="E270" i="7"/>
  <c r="G234" i="7"/>
  <c r="F110" i="7"/>
  <c r="G270" i="6"/>
  <c r="I234" i="6"/>
  <c r="AI92" i="6"/>
  <c r="AH92" i="6"/>
  <c r="F110" i="6"/>
  <c r="F235" i="6"/>
  <c r="G229" i="6"/>
  <c r="G235" i="8" l="1"/>
  <c r="H229" i="8"/>
  <c r="G110" i="8"/>
  <c r="G270" i="8"/>
  <c r="I234" i="8"/>
  <c r="H230" i="7"/>
  <c r="G235" i="7"/>
  <c r="F270" i="7"/>
  <c r="H234" i="7"/>
  <c r="G110" i="7"/>
  <c r="J229" i="7"/>
  <c r="H270" i="6"/>
  <c r="J234" i="6"/>
  <c r="H229" i="6"/>
  <c r="G235" i="6"/>
  <c r="G110" i="6"/>
  <c r="H270" i="8" l="1"/>
  <c r="J234" i="8"/>
  <c r="I229" i="8"/>
  <c r="H110" i="8"/>
  <c r="H235" i="8"/>
  <c r="K229" i="7"/>
  <c r="G270" i="7"/>
  <c r="I234" i="7"/>
  <c r="H110" i="7"/>
  <c r="I230" i="7"/>
  <c r="H235" i="7"/>
  <c r="I229" i="6"/>
  <c r="H110" i="6"/>
  <c r="H235" i="6"/>
  <c r="K234" i="6"/>
  <c r="I270" i="6"/>
  <c r="K234" i="8" l="1"/>
  <c r="I270" i="8"/>
  <c r="I110" i="8"/>
  <c r="J229" i="8"/>
  <c r="L229" i="7"/>
  <c r="H270" i="7"/>
  <c r="J234" i="7"/>
  <c r="I110" i="7"/>
  <c r="J230" i="7"/>
  <c r="J270" i="6"/>
  <c r="L234" i="6"/>
  <c r="I110" i="6"/>
  <c r="J229" i="6"/>
  <c r="J110" i="8" l="1"/>
  <c r="K229" i="8"/>
  <c r="J270" i="8"/>
  <c r="L234" i="8"/>
  <c r="K234" i="7"/>
  <c r="I270" i="7"/>
  <c r="J110" i="7"/>
  <c r="M229" i="7"/>
  <c r="K230" i="7"/>
  <c r="J110" i="6"/>
  <c r="K229" i="6"/>
  <c r="K270" i="6"/>
  <c r="M234" i="6"/>
  <c r="K110" i="8" l="1"/>
  <c r="L229" i="8"/>
  <c r="K270" i="8"/>
  <c r="M234" i="8"/>
  <c r="L230" i="7"/>
  <c r="L234" i="7"/>
  <c r="L110" i="7" s="1"/>
  <c r="J270" i="7"/>
  <c r="K110" i="7"/>
  <c r="N229" i="7"/>
  <c r="K110" i="6"/>
  <c r="L229" i="6"/>
  <c r="N234" i="6"/>
  <c r="L270" i="6"/>
  <c r="N234" i="8" l="1"/>
  <c r="L270" i="8"/>
  <c r="M229" i="8"/>
  <c r="L110" i="8"/>
  <c r="O229" i="7"/>
  <c r="M234" i="7"/>
  <c r="K270" i="7"/>
  <c r="M230" i="7"/>
  <c r="M229" i="6"/>
  <c r="L110" i="6"/>
  <c r="M270" i="6"/>
  <c r="O234" i="6"/>
  <c r="N229" i="8" l="1"/>
  <c r="M110" i="8"/>
  <c r="M270" i="8"/>
  <c r="O234" i="8"/>
  <c r="N230" i="7"/>
  <c r="L270" i="7"/>
  <c r="N234" i="7"/>
  <c r="M110" i="7"/>
  <c r="P229" i="7"/>
  <c r="N270" i="6"/>
  <c r="P234" i="6"/>
  <c r="O270" i="6" s="1"/>
  <c r="N229" i="6"/>
  <c r="M110" i="6"/>
  <c r="N270" i="8" l="1"/>
  <c r="P234" i="8"/>
  <c r="O270" i="8" s="1"/>
  <c r="O229" i="8"/>
  <c r="N110" i="8"/>
  <c r="M270" i="7"/>
  <c r="O234" i="7"/>
  <c r="N110" i="7"/>
  <c r="O230" i="7"/>
  <c r="O229" i="6"/>
  <c r="N110" i="6"/>
  <c r="P229" i="8" l="1"/>
  <c r="O110" i="8"/>
  <c r="P230" i="7"/>
  <c r="N270" i="7"/>
  <c r="P234" i="7"/>
  <c r="O270" i="7" s="1"/>
  <c r="O110" i="7"/>
  <c r="P229" i="6"/>
  <c r="O110" i="6"/>
  <c r="AH110" i="8" l="1"/>
  <c r="AI110" i="8"/>
  <c r="AI110" i="6"/>
  <c r="AH110" i="6"/>
  <c r="AC113" i="5" l="1"/>
  <c r="AF113" i="5"/>
  <c r="AF50" i="5"/>
  <c r="AF54" i="5"/>
  <c r="AF68" i="5"/>
  <c r="AE12" i="5"/>
  <c r="AD50" i="5"/>
  <c r="AE50" i="5"/>
  <c r="AC50" i="5"/>
  <c r="AB68" i="5"/>
  <c r="AC68" i="5"/>
  <c r="AD68" i="5"/>
  <c r="AE68" i="5"/>
  <c r="AB113" i="5"/>
  <c r="AB54" i="5"/>
  <c r="AC54" i="5"/>
  <c r="AD54" i="5"/>
  <c r="AE54" i="5"/>
  <c r="AB50" i="5"/>
  <c r="U68" i="5"/>
  <c r="V68" i="5"/>
  <c r="W68" i="5"/>
  <c r="X68" i="5"/>
  <c r="Y68" i="5"/>
  <c r="Z68" i="5"/>
  <c r="AA68" i="5"/>
  <c r="V54" i="5"/>
  <c r="W54" i="5"/>
  <c r="X54" i="5"/>
  <c r="Y54" i="5"/>
  <c r="Z54" i="5"/>
  <c r="AA54" i="5"/>
  <c r="U50" i="5"/>
  <c r="V50" i="5"/>
  <c r="W50" i="5"/>
  <c r="X50" i="5"/>
  <c r="Y50" i="5"/>
  <c r="Z50" i="5"/>
  <c r="AA50" i="5"/>
  <c r="U54" i="5"/>
  <c r="T68" i="5" l="1"/>
  <c r="T54" i="5"/>
  <c r="T50" i="5"/>
  <c r="S113" i="5"/>
  <c r="S68" i="5"/>
  <c r="S54" i="5"/>
  <c r="S50" i="5"/>
  <c r="R113" i="5"/>
  <c r="R50" i="5"/>
  <c r="R54" i="5"/>
  <c r="R68" i="5"/>
  <c r="N68" i="5"/>
  <c r="O68" i="5"/>
  <c r="P68" i="5"/>
  <c r="Q68" i="5"/>
  <c r="N50" i="5"/>
  <c r="O50" i="5"/>
  <c r="P50" i="5"/>
  <c r="Q50" i="5"/>
  <c r="Q113" i="5"/>
  <c r="M100" i="5"/>
  <c r="O100" i="5"/>
  <c r="P100" i="5"/>
  <c r="Q100" i="5"/>
  <c r="N54" i="5"/>
  <c r="O54" i="5"/>
  <c r="P54" i="5"/>
  <c r="Q54" i="5"/>
  <c r="N84" i="5"/>
  <c r="N100" i="5" s="1"/>
  <c r="O84" i="5"/>
  <c r="P84" i="5"/>
  <c r="Q84" i="5"/>
  <c r="Q89" i="5" s="1"/>
  <c r="Q91" i="5" s="1"/>
  <c r="Q92" i="5" s="1"/>
  <c r="R84" i="5"/>
  <c r="Q5" i="5" s="1"/>
  <c r="S84" i="5"/>
  <c r="T84" i="5"/>
  <c r="U84" i="5"/>
  <c r="U89" i="5" s="1"/>
  <c r="V84" i="5"/>
  <c r="V89" i="5" s="1"/>
  <c r="V91" i="5" s="1"/>
  <c r="V7" i="5" s="1"/>
  <c r="W84" i="5"/>
  <c r="W89" i="5" s="1"/>
  <c r="W91" i="5" s="1"/>
  <c r="W92" i="5" s="1"/>
  <c r="X84" i="5"/>
  <c r="X89" i="5" s="1"/>
  <c r="X91" i="5" s="1"/>
  <c r="X92" i="5" s="1"/>
  <c r="Y84" i="5"/>
  <c r="Y89" i="5" s="1"/>
  <c r="Y91" i="5" s="1"/>
  <c r="Y92" i="5" s="1"/>
  <c r="Z84" i="5"/>
  <c r="Z89" i="5" s="1"/>
  <c r="Z91" i="5" s="1"/>
  <c r="Z7" i="5" s="1"/>
  <c r="AA84" i="5"/>
  <c r="AB84" i="5"/>
  <c r="AA5" i="5" s="1"/>
  <c r="AC84" i="5"/>
  <c r="AB5" i="5" s="1"/>
  <c r="AD84" i="5"/>
  <c r="AE84" i="5"/>
  <c r="AE89" i="5" s="1"/>
  <c r="AE91" i="5" s="1"/>
  <c r="AF84" i="5"/>
  <c r="AF89" i="5" s="1"/>
  <c r="AF91" i="5" s="1"/>
  <c r="AF7" i="5" s="1"/>
  <c r="AG84" i="5"/>
  <c r="P89" i="5"/>
  <c r="P91" i="5" s="1"/>
  <c r="P92" i="5" s="1"/>
  <c r="AA89" i="5"/>
  <c r="AA91" i="5" s="1"/>
  <c r="AD89" i="5"/>
  <c r="AD91" i="5" s="1"/>
  <c r="M84" i="5"/>
  <c r="M113" i="5"/>
  <c r="M50" i="5"/>
  <c r="M54" i="5"/>
  <c r="M68" i="5"/>
  <c r="L113" i="5"/>
  <c r="L68" i="5"/>
  <c r="L100" i="5"/>
  <c r="L84" i="5"/>
  <c r="L54" i="5"/>
  <c r="L50" i="5"/>
  <c r="K113" i="5"/>
  <c r="K100" i="5"/>
  <c r="K84" i="5"/>
  <c r="J5" i="5" s="1"/>
  <c r="K68" i="5"/>
  <c r="K50" i="5"/>
  <c r="K54" i="5"/>
  <c r="J113" i="5"/>
  <c r="J100" i="5"/>
  <c r="J84" i="5"/>
  <c r="I5" i="5" s="1"/>
  <c r="J68" i="5"/>
  <c r="J89" i="5" s="1"/>
  <c r="J91" i="5" s="1"/>
  <c r="J92" i="5" s="1"/>
  <c r="J54" i="5"/>
  <c r="J50" i="5"/>
  <c r="E68" i="5"/>
  <c r="F68" i="5"/>
  <c r="G68" i="5"/>
  <c r="H68" i="5"/>
  <c r="I68" i="5"/>
  <c r="H50" i="5"/>
  <c r="H89" i="5" s="1"/>
  <c r="H91" i="5" s="1"/>
  <c r="H92" i="5" s="1"/>
  <c r="I50" i="5"/>
  <c r="H113" i="5"/>
  <c r="I113" i="5"/>
  <c r="H100" i="5"/>
  <c r="I100" i="5"/>
  <c r="H84" i="5"/>
  <c r="I84" i="5"/>
  <c r="H54" i="5"/>
  <c r="I54" i="5"/>
  <c r="G113" i="5"/>
  <c r="F50" i="5"/>
  <c r="G50" i="5"/>
  <c r="F54" i="5"/>
  <c r="G54" i="5"/>
  <c r="F84" i="5"/>
  <c r="E5" i="5" s="1"/>
  <c r="G84" i="5"/>
  <c r="F5" i="5" s="1"/>
  <c r="F100" i="5"/>
  <c r="F113" i="5"/>
  <c r="E113" i="5"/>
  <c r="E84" i="5"/>
  <c r="E100" i="5" s="1"/>
  <c r="E54" i="5"/>
  <c r="E50" i="5"/>
  <c r="D50" i="5"/>
  <c r="AF274" i="5"/>
  <c r="AE274" i="5"/>
  <c r="AD274" i="5"/>
  <c r="AC274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A274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A273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A272" i="5"/>
  <c r="AF271" i="5"/>
  <c r="AE271" i="5"/>
  <c r="AD271" i="5"/>
  <c r="AC271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A271" i="5"/>
  <c r="AE270" i="5"/>
  <c r="AD270" i="5"/>
  <c r="AC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B270" i="5"/>
  <c r="S24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D235" i="5"/>
  <c r="C235" i="5"/>
  <c r="E234" i="5"/>
  <c r="D270" i="5" s="1"/>
  <c r="D234" i="5"/>
  <c r="C270" i="5" s="1"/>
  <c r="B234" i="5"/>
  <c r="AF270" i="5" s="1"/>
  <c r="D233" i="5"/>
  <c r="E233" i="5" s="1"/>
  <c r="F233" i="5" s="1"/>
  <c r="G233" i="5" s="1"/>
  <c r="H233" i="5" s="1"/>
  <c r="I233" i="5" s="1"/>
  <c r="J233" i="5" s="1"/>
  <c r="K233" i="5" s="1"/>
  <c r="L233" i="5" s="1"/>
  <c r="M233" i="5" s="1"/>
  <c r="N233" i="5" s="1"/>
  <c r="O233" i="5" s="1"/>
  <c r="P233" i="5" s="1"/>
  <c r="B233" i="5"/>
  <c r="G232" i="5"/>
  <c r="H232" i="5" s="1"/>
  <c r="I232" i="5" s="1"/>
  <c r="F232" i="5"/>
  <c r="E232" i="5"/>
  <c r="D232" i="5"/>
  <c r="B232" i="5"/>
  <c r="E231" i="5"/>
  <c r="F231" i="5" s="1"/>
  <c r="G231" i="5" s="1"/>
  <c r="H231" i="5" s="1"/>
  <c r="D231" i="5"/>
  <c r="B231" i="5"/>
  <c r="E230" i="5"/>
  <c r="F230" i="5" s="1"/>
  <c r="G230" i="5" s="1"/>
  <c r="H230" i="5" s="1"/>
  <c r="I230" i="5" s="1"/>
  <c r="J230" i="5" s="1"/>
  <c r="K230" i="5" s="1"/>
  <c r="L230" i="5" s="1"/>
  <c r="M230" i="5" s="1"/>
  <c r="N230" i="5" s="1"/>
  <c r="O230" i="5" s="1"/>
  <c r="P230" i="5" s="1"/>
  <c r="D230" i="5"/>
  <c r="B230" i="5"/>
  <c r="E229" i="5"/>
  <c r="F229" i="5" s="1"/>
  <c r="D229" i="5"/>
  <c r="B229" i="5"/>
  <c r="B235" i="5" s="1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AI120" i="5"/>
  <c r="AH120" i="5"/>
  <c r="AI119" i="5"/>
  <c r="AH119" i="5"/>
  <c r="AI118" i="5"/>
  <c r="AH118" i="5"/>
  <c r="AH117" i="5"/>
  <c r="AI117" i="5"/>
  <c r="AI116" i="5"/>
  <c r="AH116" i="5"/>
  <c r="AI115" i="5"/>
  <c r="AH115" i="5"/>
  <c r="AI114" i="5"/>
  <c r="AH114" i="5"/>
  <c r="AH113" i="5"/>
  <c r="AI112" i="5"/>
  <c r="AH112" i="5"/>
  <c r="AI111" i="5"/>
  <c r="AH111" i="5"/>
  <c r="D110" i="5"/>
  <c r="C110" i="5"/>
  <c r="AI109" i="5"/>
  <c r="AH109" i="5"/>
  <c r="AI108" i="5"/>
  <c r="AH108" i="5"/>
  <c r="AI107" i="5"/>
  <c r="AH107" i="5"/>
  <c r="AI106" i="5"/>
  <c r="AH106" i="5"/>
  <c r="AI105" i="5"/>
  <c r="AH105" i="5"/>
  <c r="AI104" i="5"/>
  <c r="AH104" i="5"/>
  <c r="AI103" i="5"/>
  <c r="AH103" i="5"/>
  <c r="AI102" i="5"/>
  <c r="AH102" i="5"/>
  <c r="AI101" i="5"/>
  <c r="AH101" i="5"/>
  <c r="AI99" i="5"/>
  <c r="AH99" i="5"/>
  <c r="AI98" i="5"/>
  <c r="AH98" i="5"/>
  <c r="AI97" i="5"/>
  <c r="AH97" i="5"/>
  <c r="AI96" i="5"/>
  <c r="AH96" i="5"/>
  <c r="AI95" i="5"/>
  <c r="AH95" i="5"/>
  <c r="AI94" i="5"/>
  <c r="AH94" i="5"/>
  <c r="AI93" i="5"/>
  <c r="AH93" i="5"/>
  <c r="AI90" i="5"/>
  <c r="AH90" i="5"/>
  <c r="AI88" i="5"/>
  <c r="AH88" i="5"/>
  <c r="AG88" i="5"/>
  <c r="AI87" i="5"/>
  <c r="AH87" i="5"/>
  <c r="AI86" i="5"/>
  <c r="AH86" i="5"/>
  <c r="AI85" i="5"/>
  <c r="AH85" i="5"/>
  <c r="AN84" i="5"/>
  <c r="D84" i="5"/>
  <c r="D100" i="5" s="1"/>
  <c r="C84" i="5"/>
  <c r="C100" i="5" s="1"/>
  <c r="AI83" i="5"/>
  <c r="AH83" i="5"/>
  <c r="AN82" i="5"/>
  <c r="AI82" i="5"/>
  <c r="AH82" i="5"/>
  <c r="AN81" i="5"/>
  <c r="AN83" i="5" s="1"/>
  <c r="AI81" i="5"/>
  <c r="AH81" i="5"/>
  <c r="AI80" i="5"/>
  <c r="AH80" i="5"/>
  <c r="AI79" i="5"/>
  <c r="AH79" i="5"/>
  <c r="AI78" i="5"/>
  <c r="AH78" i="5"/>
  <c r="AI77" i="5"/>
  <c r="AH77" i="5"/>
  <c r="AI76" i="5"/>
  <c r="AH76" i="5"/>
  <c r="AI75" i="5"/>
  <c r="AH75" i="5"/>
  <c r="AI74" i="5"/>
  <c r="AH74" i="5"/>
  <c r="AI73" i="5"/>
  <c r="AH73" i="5"/>
  <c r="AG72" i="5"/>
  <c r="D72" i="5"/>
  <c r="C72" i="5"/>
  <c r="AI72" i="5"/>
  <c r="AI71" i="5"/>
  <c r="AH71" i="5"/>
  <c r="AI70" i="5"/>
  <c r="AH70" i="5"/>
  <c r="AI69" i="5"/>
  <c r="AH69" i="5"/>
  <c r="D68" i="5"/>
  <c r="C68" i="5"/>
  <c r="AI67" i="5"/>
  <c r="AH67" i="5"/>
  <c r="AG67" i="5"/>
  <c r="AG68" i="5" s="1"/>
  <c r="AG3" i="5" s="1"/>
  <c r="AI66" i="5"/>
  <c r="AH66" i="5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I56" i="5"/>
  <c r="AH56" i="5"/>
  <c r="AI55" i="5"/>
  <c r="AH55" i="5"/>
  <c r="AG54" i="5"/>
  <c r="D54" i="5"/>
  <c r="C54" i="5"/>
  <c r="AI53" i="5"/>
  <c r="AH53" i="5"/>
  <c r="AI52" i="5"/>
  <c r="AH52" i="5"/>
  <c r="AI51" i="5"/>
  <c r="AH51" i="5"/>
  <c r="AG50" i="5"/>
  <c r="AG89" i="5" s="1"/>
  <c r="AG91" i="5" s="1"/>
  <c r="AG92" i="5" s="1"/>
  <c r="C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F5" i="5"/>
  <c r="AE5" i="5"/>
  <c r="AD5" i="5"/>
  <c r="Z5" i="5"/>
  <c r="Y5" i="5"/>
  <c r="X5" i="5"/>
  <c r="V5" i="5"/>
  <c r="U5" i="5"/>
  <c r="S5" i="5"/>
  <c r="R5" i="5"/>
  <c r="P5" i="5"/>
  <c r="O5" i="5"/>
  <c r="N5" i="5"/>
  <c r="M5" i="5"/>
  <c r="K5" i="5"/>
  <c r="H5" i="5"/>
  <c r="G5" i="5"/>
  <c r="AG4" i="5"/>
  <c r="K4" i="5"/>
  <c r="E4" i="5"/>
  <c r="H4" i="5" s="1"/>
  <c r="B4" i="5"/>
  <c r="D246" i="5" s="1"/>
  <c r="AG2" i="5"/>
  <c r="AG6" i="5" s="1"/>
  <c r="AE54" i="4"/>
  <c r="AD50" i="4"/>
  <c r="AD54" i="4"/>
  <c r="AD68" i="4"/>
  <c r="AD72" i="4"/>
  <c r="AD84" i="4"/>
  <c r="AD100" i="4" s="1"/>
  <c r="AD110" i="4"/>
  <c r="AD113" i="4"/>
  <c r="AC50" i="4"/>
  <c r="AC54" i="4"/>
  <c r="AC68" i="4"/>
  <c r="AC72" i="4"/>
  <c r="AC84" i="4"/>
  <c r="AC100" i="4" s="1"/>
  <c r="AC113" i="4"/>
  <c r="AC110" i="4" s="1"/>
  <c r="AB113" i="4"/>
  <c r="AB89" i="5" l="1"/>
  <c r="AB91" i="5" s="1"/>
  <c r="AB92" i="5" s="1"/>
  <c r="AD7" i="5"/>
  <c r="AD92" i="5"/>
  <c r="AF92" i="5"/>
  <c r="W5" i="5"/>
  <c r="L89" i="5"/>
  <c r="L91" i="5" s="1"/>
  <c r="L92" i="5" s="1"/>
  <c r="U91" i="5"/>
  <c r="U7" i="5" s="1"/>
  <c r="V92" i="5"/>
  <c r="W7" i="5"/>
  <c r="X7" i="5"/>
  <c r="T89" i="5"/>
  <c r="T91" i="5" s="1"/>
  <c r="T92" i="5" s="1"/>
  <c r="S89" i="5"/>
  <c r="S91" i="5" s="1"/>
  <c r="S92" i="5" s="1"/>
  <c r="O89" i="5"/>
  <c r="O91" i="5" s="1"/>
  <c r="R89" i="5"/>
  <c r="R91" i="5" s="1"/>
  <c r="R7" i="5" s="1"/>
  <c r="N89" i="5"/>
  <c r="N91" i="5" s="1"/>
  <c r="N7" i="5" s="1"/>
  <c r="M89" i="5"/>
  <c r="M91" i="5" s="1"/>
  <c r="M92" i="5" s="1"/>
  <c r="O92" i="5"/>
  <c r="O7" i="5"/>
  <c r="AE7" i="5"/>
  <c r="AE92" i="5"/>
  <c r="AC89" i="5"/>
  <c r="AC91" i="5" s="1"/>
  <c r="AC7" i="5" s="1"/>
  <c r="S7" i="5"/>
  <c r="AA7" i="5"/>
  <c r="AA92" i="5"/>
  <c r="AS249" i="5"/>
  <c r="Y7" i="5"/>
  <c r="Q7" i="5"/>
  <c r="P7" i="5"/>
  <c r="Z92" i="5"/>
  <c r="U92" i="5"/>
  <c r="K89" i="5"/>
  <c r="K91" i="5" s="1"/>
  <c r="K92" i="5" s="1"/>
  <c r="I89" i="5"/>
  <c r="I91" i="5" s="1"/>
  <c r="I92" i="5" s="1"/>
  <c r="AH54" i="5"/>
  <c r="G89" i="5"/>
  <c r="G91" i="5" s="1"/>
  <c r="G92" i="5" s="1"/>
  <c r="F89" i="5"/>
  <c r="F91" i="5" s="1"/>
  <c r="F92" i="5" s="1"/>
  <c r="G100" i="5"/>
  <c r="E89" i="5"/>
  <c r="E91" i="5" s="1"/>
  <c r="E92" i="5" s="1"/>
  <c r="C5" i="5"/>
  <c r="AI84" i="5"/>
  <c r="B5" i="5"/>
  <c r="AI68" i="5"/>
  <c r="C89" i="5"/>
  <c r="C91" i="5" s="1"/>
  <c r="U249" i="5" s="1"/>
  <c r="D89" i="5"/>
  <c r="D91" i="5" s="1"/>
  <c r="D7" i="5" s="1"/>
  <c r="AI50" i="5"/>
  <c r="S246" i="5"/>
  <c r="H7" i="5"/>
  <c r="Z249" i="5"/>
  <c r="AH249" i="5"/>
  <c r="AP249" i="5"/>
  <c r="G229" i="5"/>
  <c r="I7" i="5"/>
  <c r="AA249" i="5"/>
  <c r="J7" i="5"/>
  <c r="AB249" i="5"/>
  <c r="AJ249" i="5"/>
  <c r="AR249" i="5"/>
  <c r="AI249" i="5"/>
  <c r="K7" i="5"/>
  <c r="AC249" i="5"/>
  <c r="AK249" i="5"/>
  <c r="AT249" i="5"/>
  <c r="J232" i="5"/>
  <c r="K232" i="5" s="1"/>
  <c r="L232" i="5" s="1"/>
  <c r="M232" i="5" s="1"/>
  <c r="N232" i="5" s="1"/>
  <c r="O232" i="5" s="1"/>
  <c r="P232" i="5" s="1"/>
  <c r="AQ249" i="5"/>
  <c r="L7" i="5"/>
  <c r="AD249" i="5"/>
  <c r="AU249" i="5"/>
  <c r="E7" i="5"/>
  <c r="W249" i="5"/>
  <c r="AE249" i="5"/>
  <c r="AM249" i="5"/>
  <c r="AV249" i="5"/>
  <c r="AN249" i="5"/>
  <c r="AF249" i="5"/>
  <c r="AW249" i="5"/>
  <c r="B244" i="5"/>
  <c r="G7" i="5"/>
  <c r="AG249" i="5"/>
  <c r="AO249" i="5"/>
  <c r="AX249" i="5"/>
  <c r="AH50" i="5"/>
  <c r="AI54" i="5"/>
  <c r="E235" i="5"/>
  <c r="AI113" i="5"/>
  <c r="F234" i="5"/>
  <c r="AH68" i="5"/>
  <c r="AH72" i="5"/>
  <c r="D5" i="5"/>
  <c r="L5" i="5"/>
  <c r="T5" i="5"/>
  <c r="AC5" i="5"/>
  <c r="AH84" i="5"/>
  <c r="AD89" i="4"/>
  <c r="AD91" i="4" s="1"/>
  <c r="AD92" i="4" s="1"/>
  <c r="AC89" i="4"/>
  <c r="AC91" i="4" s="1"/>
  <c r="AC92" i="4" s="1"/>
  <c r="AB7" i="5" l="1"/>
  <c r="AL249" i="5"/>
  <c r="T7" i="5"/>
  <c r="N92" i="5"/>
  <c r="C244" i="5"/>
  <c r="Y249" i="5"/>
  <c r="X249" i="5"/>
  <c r="R92" i="5"/>
  <c r="M7" i="5"/>
  <c r="AC92" i="5"/>
  <c r="F7" i="5"/>
  <c r="C7" i="5"/>
  <c r="C92" i="5"/>
  <c r="V249" i="5"/>
  <c r="D92" i="5"/>
  <c r="E270" i="5"/>
  <c r="G234" i="5"/>
  <c r="AI89" i="5"/>
  <c r="AH89" i="5"/>
  <c r="K6" i="5"/>
  <c r="F235" i="5"/>
  <c r="H229" i="5"/>
  <c r="AH100" i="5"/>
  <c r="AI100" i="5"/>
  <c r="AI91" i="5" l="1"/>
  <c r="B7" i="5"/>
  <c r="A7" i="5" s="1"/>
  <c r="AH91" i="5"/>
  <c r="T249" i="5"/>
  <c r="F270" i="5"/>
  <c r="H234" i="5"/>
  <c r="I229" i="5"/>
  <c r="G235" i="5"/>
  <c r="G270" i="5" l="1"/>
  <c r="I234" i="5"/>
  <c r="H235" i="5"/>
  <c r="AI92" i="5"/>
  <c r="AH92" i="5"/>
  <c r="J229" i="5"/>
  <c r="H270" i="5" l="1"/>
  <c r="J234" i="5"/>
  <c r="K229" i="5"/>
  <c r="L229" i="5" l="1"/>
  <c r="K234" i="5"/>
  <c r="I270" i="5"/>
  <c r="T113" i="4"/>
  <c r="R113" i="4"/>
  <c r="R50" i="4"/>
  <c r="R54" i="4"/>
  <c r="N113" i="4"/>
  <c r="O113" i="4"/>
  <c r="Q113" i="4"/>
  <c r="J270" i="5" l="1"/>
  <c r="L234" i="5"/>
  <c r="M229" i="5"/>
  <c r="N229" i="5" l="1"/>
  <c r="M234" i="5"/>
  <c r="K270" i="5"/>
  <c r="L270" i="5" l="1"/>
  <c r="N234" i="5"/>
  <c r="O229" i="5"/>
  <c r="P229" i="5" l="1"/>
  <c r="M270" i="5"/>
  <c r="O234" i="5"/>
  <c r="AI110" i="5" l="1"/>
  <c r="AH110" i="5"/>
  <c r="N270" i="5"/>
  <c r="P234" i="5"/>
  <c r="O270" i="5" s="1"/>
  <c r="F50" i="4" l="1"/>
  <c r="G50" i="4"/>
  <c r="H50" i="4"/>
  <c r="I50" i="4"/>
  <c r="J50" i="4"/>
  <c r="J54" i="4"/>
  <c r="B117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A274" i="4"/>
  <c r="AF273" i="4"/>
  <c r="AE273" i="4"/>
  <c r="AD273" i="4"/>
  <c r="AC273" i="4"/>
  <c r="AB273" i="4"/>
  <c r="AA273" i="4"/>
  <c r="Z273" i="4"/>
  <c r="Y273" i="4"/>
  <c r="X273" i="4"/>
  <c r="W273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A273" i="4"/>
  <c r="AF272" i="4"/>
  <c r="AE272" i="4"/>
  <c r="AD272" i="4"/>
  <c r="AC272" i="4"/>
  <c r="AB272" i="4"/>
  <c r="AA272" i="4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A272" i="4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A271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B270" i="4"/>
  <c r="AS249" i="4"/>
  <c r="S24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C235" i="4"/>
  <c r="D234" i="4"/>
  <c r="D110" i="4" s="1"/>
  <c r="B234" i="4"/>
  <c r="AF270" i="4" s="1"/>
  <c r="E233" i="4"/>
  <c r="F233" i="4" s="1"/>
  <c r="G233" i="4" s="1"/>
  <c r="H233" i="4" s="1"/>
  <c r="I233" i="4" s="1"/>
  <c r="J233" i="4" s="1"/>
  <c r="K233" i="4" s="1"/>
  <c r="L233" i="4" s="1"/>
  <c r="M233" i="4" s="1"/>
  <c r="N233" i="4" s="1"/>
  <c r="O233" i="4" s="1"/>
  <c r="P233" i="4" s="1"/>
  <c r="D233" i="4"/>
  <c r="B233" i="4"/>
  <c r="E232" i="4"/>
  <c r="F232" i="4" s="1"/>
  <c r="G232" i="4" s="1"/>
  <c r="H232" i="4" s="1"/>
  <c r="I232" i="4" s="1"/>
  <c r="D232" i="4"/>
  <c r="B232" i="4"/>
  <c r="F231" i="4"/>
  <c r="G231" i="4" s="1"/>
  <c r="H231" i="4" s="1"/>
  <c r="E231" i="4"/>
  <c r="D231" i="4"/>
  <c r="B231" i="4"/>
  <c r="D230" i="4"/>
  <c r="D235" i="4" s="1"/>
  <c r="B230" i="4"/>
  <c r="E229" i="4"/>
  <c r="F229" i="4" s="1"/>
  <c r="D229" i="4"/>
  <c r="B229" i="4"/>
  <c r="B235" i="4" s="1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I120" i="4"/>
  <c r="AH120" i="4"/>
  <c r="AI119" i="4"/>
  <c r="AH119" i="4"/>
  <c r="AI118" i="4"/>
  <c r="AH118" i="4"/>
  <c r="AI117" i="4"/>
  <c r="AH117" i="4"/>
  <c r="AI116" i="4"/>
  <c r="AH116" i="4"/>
  <c r="AI115" i="4"/>
  <c r="AH115" i="4"/>
  <c r="AI114" i="4"/>
  <c r="AH114" i="4"/>
  <c r="W110" i="4"/>
  <c r="AI113" i="4"/>
  <c r="AI112" i="4"/>
  <c r="AH112" i="4"/>
  <c r="AI111" i="4"/>
  <c r="AH111" i="4"/>
  <c r="AF110" i="4"/>
  <c r="AE110" i="4"/>
  <c r="AB110" i="4"/>
  <c r="Z110" i="4"/>
  <c r="Y110" i="4"/>
  <c r="X110" i="4"/>
  <c r="V110" i="4"/>
  <c r="U110" i="4"/>
  <c r="T110" i="4"/>
  <c r="S110" i="4"/>
  <c r="R110" i="4"/>
  <c r="Q110" i="4"/>
  <c r="C110" i="4"/>
  <c r="B110" i="4"/>
  <c r="AI109" i="4"/>
  <c r="AH109" i="4"/>
  <c r="AI108" i="4"/>
  <c r="AH108" i="4"/>
  <c r="AI107" i="4"/>
  <c r="AH107" i="4"/>
  <c r="AI106" i="4"/>
  <c r="AH106" i="4"/>
  <c r="AI105" i="4"/>
  <c r="AH105" i="4"/>
  <c r="AI104" i="4"/>
  <c r="AH104" i="4"/>
  <c r="AI103" i="4"/>
  <c r="AH103" i="4"/>
  <c r="AI102" i="4"/>
  <c r="AH102" i="4"/>
  <c r="AI101" i="4"/>
  <c r="AH101" i="4"/>
  <c r="AI99" i="4"/>
  <c r="AH99" i="4"/>
  <c r="AI98" i="4"/>
  <c r="AH98" i="4"/>
  <c r="AI97" i="4"/>
  <c r="AH97" i="4"/>
  <c r="AI96" i="4"/>
  <c r="AH96" i="4"/>
  <c r="AI95" i="4"/>
  <c r="AH95" i="4"/>
  <c r="AI94" i="4"/>
  <c r="AH94" i="4"/>
  <c r="AI93" i="4"/>
  <c r="AH93" i="4"/>
  <c r="AI90" i="4"/>
  <c r="AH90" i="4"/>
  <c r="AI88" i="4"/>
  <c r="AH88" i="4"/>
  <c r="AG88" i="4"/>
  <c r="AI87" i="4"/>
  <c r="AH87" i="4"/>
  <c r="AI86" i="4"/>
  <c r="AH86" i="4"/>
  <c r="AI85" i="4"/>
  <c r="AH85" i="4"/>
  <c r="AN84" i="4"/>
  <c r="AG84" i="4"/>
  <c r="AF84" i="4"/>
  <c r="AF100" i="4" s="1"/>
  <c r="AE84" i="4"/>
  <c r="AE100" i="4" s="1"/>
  <c r="AB84" i="4"/>
  <c r="AA5" i="4" s="1"/>
  <c r="Z84" i="4"/>
  <c r="Z100" i="4" s="1"/>
  <c r="Y84" i="4"/>
  <c r="Y100" i="4" s="1"/>
  <c r="X84" i="4"/>
  <c r="X100" i="4" s="1"/>
  <c r="W84" i="4"/>
  <c r="W100" i="4" s="1"/>
  <c r="V84" i="4"/>
  <c r="V100" i="4" s="1"/>
  <c r="U84" i="4"/>
  <c r="U100" i="4" s="1"/>
  <c r="T84" i="4"/>
  <c r="T100" i="4" s="1"/>
  <c r="S84" i="4"/>
  <c r="R5" i="4" s="1"/>
  <c r="R84" i="4"/>
  <c r="R100" i="4" s="1"/>
  <c r="Q84" i="4"/>
  <c r="Q100" i="4" s="1"/>
  <c r="P84" i="4"/>
  <c r="P100" i="4" s="1"/>
  <c r="O84" i="4"/>
  <c r="O100" i="4" s="1"/>
  <c r="N84" i="4"/>
  <c r="N100" i="4" s="1"/>
  <c r="M84" i="4"/>
  <c r="M100" i="4" s="1"/>
  <c r="L84" i="4"/>
  <c r="L100" i="4" s="1"/>
  <c r="K84" i="4"/>
  <c r="J5" i="4" s="1"/>
  <c r="J84" i="4"/>
  <c r="J100" i="4" s="1"/>
  <c r="I84" i="4"/>
  <c r="I100" i="4" s="1"/>
  <c r="H84" i="4"/>
  <c r="H100" i="4" s="1"/>
  <c r="G84" i="4"/>
  <c r="G100" i="4" s="1"/>
  <c r="F84" i="4"/>
  <c r="F100" i="4" s="1"/>
  <c r="E84" i="4"/>
  <c r="E100" i="4" s="1"/>
  <c r="D84" i="4"/>
  <c r="D100" i="4" s="1"/>
  <c r="C84" i="4"/>
  <c r="B5" i="4" s="1"/>
  <c r="B84" i="4"/>
  <c r="B100" i="4" s="1"/>
  <c r="AN83" i="4"/>
  <c r="AI83" i="4"/>
  <c r="AH83" i="4"/>
  <c r="AN82" i="4"/>
  <c r="AI82" i="4"/>
  <c r="AH82" i="4"/>
  <c r="AN81" i="4"/>
  <c r="AI81" i="4"/>
  <c r="AH81" i="4"/>
  <c r="AI80" i="4"/>
  <c r="AH80" i="4"/>
  <c r="AI79" i="4"/>
  <c r="AH79" i="4"/>
  <c r="AI78" i="4"/>
  <c r="AH78" i="4"/>
  <c r="AI77" i="4"/>
  <c r="AH77" i="4"/>
  <c r="AI76" i="4"/>
  <c r="AH76" i="4"/>
  <c r="AI75" i="4"/>
  <c r="AH75" i="4"/>
  <c r="AI74" i="4"/>
  <c r="AH74" i="4"/>
  <c r="AI73" i="4"/>
  <c r="AH73" i="4"/>
  <c r="AG72" i="4"/>
  <c r="AF72" i="4"/>
  <c r="AE72" i="4"/>
  <c r="AB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D72" i="4"/>
  <c r="C72" i="4"/>
  <c r="B72" i="4"/>
  <c r="AI71" i="4"/>
  <c r="AH71" i="4"/>
  <c r="AI70" i="4"/>
  <c r="AH70" i="4"/>
  <c r="AI69" i="4"/>
  <c r="AH69" i="4"/>
  <c r="AF68" i="4"/>
  <c r="AE68" i="4"/>
  <c r="AB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I67" i="4"/>
  <c r="AH67" i="4"/>
  <c r="AG67" i="4"/>
  <c r="AG68" i="4" s="1"/>
  <c r="AG3" i="4" s="1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I55" i="4"/>
  <c r="AH55" i="4"/>
  <c r="AG54" i="4"/>
  <c r="AF54" i="4"/>
  <c r="AB54" i="4"/>
  <c r="Z54" i="4"/>
  <c r="Y54" i="4"/>
  <c r="X54" i="4"/>
  <c r="W54" i="4"/>
  <c r="V54" i="4"/>
  <c r="U54" i="4"/>
  <c r="T54" i="4"/>
  <c r="S54" i="4"/>
  <c r="Q54" i="4"/>
  <c r="P54" i="4"/>
  <c r="O54" i="4"/>
  <c r="N54" i="4"/>
  <c r="M54" i="4"/>
  <c r="L54" i="4"/>
  <c r="K54" i="4"/>
  <c r="I54" i="4"/>
  <c r="H54" i="4"/>
  <c r="G54" i="4"/>
  <c r="F54" i="4"/>
  <c r="E54" i="4"/>
  <c r="D54" i="4"/>
  <c r="C54" i="4"/>
  <c r="B54" i="4"/>
  <c r="AI53" i="4"/>
  <c r="AH53" i="4"/>
  <c r="AI52" i="4"/>
  <c r="AH52" i="4"/>
  <c r="AI51" i="4"/>
  <c r="AH51" i="4"/>
  <c r="AG50" i="4"/>
  <c r="AG2" i="4" s="1"/>
  <c r="AF50" i="4"/>
  <c r="AE50" i="4"/>
  <c r="AB50" i="4"/>
  <c r="Z50" i="4"/>
  <c r="Y50" i="4"/>
  <c r="X50" i="4"/>
  <c r="W50" i="4"/>
  <c r="V50" i="4"/>
  <c r="U50" i="4"/>
  <c r="T50" i="4"/>
  <c r="S50" i="4"/>
  <c r="Q50" i="4"/>
  <c r="P50" i="4"/>
  <c r="O50" i="4"/>
  <c r="N50" i="4"/>
  <c r="M50" i="4"/>
  <c r="L50" i="4"/>
  <c r="K50" i="4"/>
  <c r="E50" i="4"/>
  <c r="D50" i="4"/>
  <c r="C50" i="4"/>
  <c r="B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A7" i="4"/>
  <c r="AC5" i="4"/>
  <c r="AB5" i="4"/>
  <c r="Z5" i="4"/>
  <c r="Y5" i="4"/>
  <c r="AG4" i="4"/>
  <c r="K4" i="4"/>
  <c r="E4" i="4"/>
  <c r="H4" i="4" s="1"/>
  <c r="B4" i="4"/>
  <c r="S246" i="4" s="1"/>
  <c r="Z50" i="2"/>
  <c r="Z54" i="2"/>
  <c r="Z68" i="2"/>
  <c r="Z72" i="2"/>
  <c r="Z84" i="2"/>
  <c r="Z100" i="2" s="1"/>
  <c r="Z110" i="2"/>
  <c r="Y50" i="2"/>
  <c r="Y54" i="2"/>
  <c r="Y68" i="2"/>
  <c r="Y72" i="2"/>
  <c r="Y84" i="2"/>
  <c r="Y100" i="2" s="1"/>
  <c r="Y110" i="2"/>
  <c r="W113" i="2"/>
  <c r="V50" i="2"/>
  <c r="V54" i="2"/>
  <c r="V68" i="2"/>
  <c r="V72" i="2"/>
  <c r="V84" i="2"/>
  <c r="V100" i="2" s="1"/>
  <c r="V110" i="2"/>
  <c r="U50" i="2"/>
  <c r="U54" i="2"/>
  <c r="U68" i="2"/>
  <c r="U72" i="2"/>
  <c r="U84" i="2"/>
  <c r="U100" i="2"/>
  <c r="U110" i="2"/>
  <c r="U113" i="2"/>
  <c r="T50" i="2"/>
  <c r="T54" i="2"/>
  <c r="T68" i="2"/>
  <c r="T72" i="2"/>
  <c r="T84" i="2"/>
  <c r="T100" i="2" s="1"/>
  <c r="T113" i="2"/>
  <c r="T110" i="2" s="1"/>
  <c r="S113" i="2"/>
  <c r="AD5" i="4" l="1"/>
  <c r="Z89" i="4"/>
  <c r="Z91" i="4" s="1"/>
  <c r="Y89" i="4"/>
  <c r="Y91" i="4" s="1"/>
  <c r="V5" i="4"/>
  <c r="U5" i="4"/>
  <c r="T5" i="4"/>
  <c r="S5" i="4"/>
  <c r="Q5" i="4"/>
  <c r="R89" i="4"/>
  <c r="R91" i="4" s="1"/>
  <c r="R92" i="4" s="1"/>
  <c r="M5" i="4"/>
  <c r="Q89" i="4"/>
  <c r="Q91" i="4" s="1"/>
  <c r="AI249" i="4" s="1"/>
  <c r="AH72" i="4"/>
  <c r="AI72" i="4"/>
  <c r="L5" i="4"/>
  <c r="K5" i="4"/>
  <c r="I5" i="4"/>
  <c r="J89" i="4"/>
  <c r="J91" i="4" s="1"/>
  <c r="J92" i="4" s="1"/>
  <c r="I89" i="4"/>
  <c r="I91" i="4" s="1"/>
  <c r="E5" i="4"/>
  <c r="D5" i="4"/>
  <c r="C5" i="4"/>
  <c r="AF5" i="4"/>
  <c r="B89" i="4"/>
  <c r="B91" i="4" s="1"/>
  <c r="K100" i="4"/>
  <c r="S100" i="4"/>
  <c r="N5" i="4"/>
  <c r="C100" i="4"/>
  <c r="AB100" i="4"/>
  <c r="AI100" i="4" s="1"/>
  <c r="F5" i="4"/>
  <c r="AE5" i="4"/>
  <c r="C89" i="4"/>
  <c r="C91" i="4" s="1"/>
  <c r="C7" i="4" s="1"/>
  <c r="K89" i="4"/>
  <c r="K91" i="4" s="1"/>
  <c r="K92" i="4" s="1"/>
  <c r="S89" i="4"/>
  <c r="S91" i="4" s="1"/>
  <c r="AK249" i="4" s="1"/>
  <c r="AB89" i="4"/>
  <c r="AB91" i="4" s="1"/>
  <c r="AT249" i="4" s="1"/>
  <c r="D89" i="4"/>
  <c r="D91" i="4" s="1"/>
  <c r="V249" i="4" s="1"/>
  <c r="L89" i="4"/>
  <c r="L91" i="4" s="1"/>
  <c r="AD249" i="4" s="1"/>
  <c r="T89" i="4"/>
  <c r="T91" i="4" s="1"/>
  <c r="T7" i="4" s="1"/>
  <c r="X89" i="4"/>
  <c r="X91" i="4" s="1"/>
  <c r="X92" i="4" s="1"/>
  <c r="G89" i="4"/>
  <c r="G91" i="4" s="1"/>
  <c r="Y249" i="4" s="1"/>
  <c r="O89" i="4"/>
  <c r="O91" i="4" s="1"/>
  <c r="AG249" i="4" s="1"/>
  <c r="W89" i="4"/>
  <c r="W91" i="4" s="1"/>
  <c r="W7" i="4" s="1"/>
  <c r="AF89" i="4"/>
  <c r="AF91" i="4" s="1"/>
  <c r="AF7" i="4" s="1"/>
  <c r="H89" i="4"/>
  <c r="H91" i="4" s="1"/>
  <c r="Z249" i="4" s="1"/>
  <c r="P89" i="4"/>
  <c r="P91" i="4" s="1"/>
  <c r="AH249" i="4" s="1"/>
  <c r="AH68" i="4"/>
  <c r="E89" i="4"/>
  <c r="E91" i="4" s="1"/>
  <c r="W249" i="4" s="1"/>
  <c r="M89" i="4"/>
  <c r="M91" i="4" s="1"/>
  <c r="AE249" i="4" s="1"/>
  <c r="U89" i="4"/>
  <c r="U91" i="4" s="1"/>
  <c r="U7" i="4" s="1"/>
  <c r="F89" i="4"/>
  <c r="F91" i="4" s="1"/>
  <c r="F7" i="4" s="1"/>
  <c r="N89" i="4"/>
  <c r="N91" i="4" s="1"/>
  <c r="N92" i="4" s="1"/>
  <c r="V89" i="4"/>
  <c r="V91" i="4" s="1"/>
  <c r="V7" i="4" s="1"/>
  <c r="AE89" i="4"/>
  <c r="AE91" i="4" s="1"/>
  <c r="AW249" i="4" s="1"/>
  <c r="AI54" i="4"/>
  <c r="AH54" i="4"/>
  <c r="D246" i="4"/>
  <c r="I7" i="4"/>
  <c r="I92" i="4"/>
  <c r="AA249" i="4"/>
  <c r="Y7" i="4"/>
  <c r="AQ249" i="4"/>
  <c r="Y92" i="4"/>
  <c r="AG91" i="4"/>
  <c r="AV249" i="4"/>
  <c r="AD7" i="4"/>
  <c r="G229" i="4"/>
  <c r="J232" i="4"/>
  <c r="K232" i="4" s="1"/>
  <c r="L232" i="4" s="1"/>
  <c r="M232" i="4" s="1"/>
  <c r="N232" i="4" s="1"/>
  <c r="O232" i="4" s="1"/>
  <c r="P232" i="4" s="1"/>
  <c r="AG6" i="4"/>
  <c r="Q7" i="4"/>
  <c r="Q92" i="4"/>
  <c r="R7" i="4"/>
  <c r="AJ249" i="4"/>
  <c r="Z7" i="4"/>
  <c r="AR249" i="4"/>
  <c r="Z92" i="4"/>
  <c r="AH113" i="4"/>
  <c r="E230" i="4"/>
  <c r="AI84" i="4"/>
  <c r="C270" i="4"/>
  <c r="E234" i="4"/>
  <c r="G5" i="4"/>
  <c r="O5" i="4"/>
  <c r="W5" i="4"/>
  <c r="AG89" i="4"/>
  <c r="H5" i="4"/>
  <c r="P5" i="4"/>
  <c r="X5" i="4"/>
  <c r="AH50" i="4"/>
  <c r="E110" i="4"/>
  <c r="AH84" i="4"/>
  <c r="AI68" i="4"/>
  <c r="AI50" i="4"/>
  <c r="Z89" i="2"/>
  <c r="Z91" i="2" s="1"/>
  <c r="Z92" i="2" s="1"/>
  <c r="Y89" i="2"/>
  <c r="Y91" i="2" s="1"/>
  <c r="Y92" i="2" s="1"/>
  <c r="V89" i="2"/>
  <c r="V91" i="2" s="1"/>
  <c r="V92" i="2" s="1"/>
  <c r="U89" i="2"/>
  <c r="U91" i="2" s="1"/>
  <c r="U92" i="2" s="1"/>
  <c r="T89" i="2"/>
  <c r="T91" i="2" s="1"/>
  <c r="T92" i="2" s="1"/>
  <c r="AF92" i="4" l="1"/>
  <c r="AH100" i="4"/>
  <c r="AB7" i="4"/>
  <c r="AB92" i="4"/>
  <c r="AO249" i="4"/>
  <c r="W92" i="4"/>
  <c r="AN249" i="4"/>
  <c r="V92" i="4"/>
  <c r="U92" i="4"/>
  <c r="AM249" i="4"/>
  <c r="T92" i="4"/>
  <c r="AL249" i="4"/>
  <c r="S92" i="4"/>
  <c r="S7" i="4"/>
  <c r="O92" i="4"/>
  <c r="O7" i="4"/>
  <c r="P92" i="4"/>
  <c r="P7" i="4"/>
  <c r="M7" i="4"/>
  <c r="M92" i="4"/>
  <c r="AC249" i="4"/>
  <c r="K7" i="4"/>
  <c r="AB249" i="4"/>
  <c r="J7" i="4"/>
  <c r="G7" i="4"/>
  <c r="G92" i="4"/>
  <c r="E7" i="4"/>
  <c r="D7" i="4"/>
  <c r="D92" i="4"/>
  <c r="C92" i="4"/>
  <c r="H92" i="4"/>
  <c r="E92" i="4"/>
  <c r="U249" i="4"/>
  <c r="AP249" i="4"/>
  <c r="C244" i="4"/>
  <c r="X7" i="4"/>
  <c r="AF249" i="4"/>
  <c r="AU249" i="4"/>
  <c r="X249" i="4"/>
  <c r="L7" i="4"/>
  <c r="H7" i="4"/>
  <c r="AX249" i="4"/>
  <c r="L92" i="4"/>
  <c r="AC7" i="4"/>
  <c r="F92" i="4"/>
  <c r="AH89" i="4"/>
  <c r="N7" i="4"/>
  <c r="AE92" i="4"/>
  <c r="AI89" i="4"/>
  <c r="B244" i="4"/>
  <c r="AE7" i="4"/>
  <c r="E235" i="4"/>
  <c r="F230" i="4"/>
  <c r="H229" i="4"/>
  <c r="D270" i="4"/>
  <c r="F234" i="4"/>
  <c r="AH91" i="4"/>
  <c r="B7" i="4"/>
  <c r="T249" i="4"/>
  <c r="B92" i="4"/>
  <c r="AI91" i="4"/>
  <c r="L50" i="2"/>
  <c r="K50" i="2"/>
  <c r="K6" i="4" l="1"/>
  <c r="A7" i="4"/>
  <c r="E270" i="4"/>
  <c r="G234" i="4"/>
  <c r="F110" i="4"/>
  <c r="AH92" i="4"/>
  <c r="AI92" i="4"/>
  <c r="I229" i="4"/>
  <c r="G230" i="4"/>
  <c r="F235" i="4"/>
  <c r="B4" i="2"/>
  <c r="S246" i="2" s="1"/>
  <c r="E50" i="2"/>
  <c r="E54" i="2"/>
  <c r="D50" i="2"/>
  <c r="D54" i="2"/>
  <c r="D68" i="2"/>
  <c r="D72" i="2"/>
  <c r="D84" i="2"/>
  <c r="D89" i="2" s="1"/>
  <c r="D91" i="2" s="1"/>
  <c r="D92" i="2" s="1"/>
  <c r="C110" i="2"/>
  <c r="D110" i="2"/>
  <c r="C113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B270" i="2"/>
  <c r="AS249" i="2"/>
  <c r="S24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C235" i="2"/>
  <c r="D234" i="2"/>
  <c r="C270" i="2" s="1"/>
  <c r="B234" i="2"/>
  <c r="AF270" i="2" s="1"/>
  <c r="D233" i="2"/>
  <c r="E233" i="2" s="1"/>
  <c r="F233" i="2" s="1"/>
  <c r="G233" i="2" s="1"/>
  <c r="H233" i="2" s="1"/>
  <c r="I233" i="2" s="1"/>
  <c r="J233" i="2" s="1"/>
  <c r="K233" i="2" s="1"/>
  <c r="L233" i="2" s="1"/>
  <c r="M233" i="2" s="1"/>
  <c r="N233" i="2" s="1"/>
  <c r="O233" i="2" s="1"/>
  <c r="P233" i="2" s="1"/>
  <c r="B233" i="2"/>
  <c r="D232" i="2"/>
  <c r="E232" i="2" s="1"/>
  <c r="F232" i="2" s="1"/>
  <c r="G232" i="2" s="1"/>
  <c r="H232" i="2" s="1"/>
  <c r="I232" i="2" s="1"/>
  <c r="B232" i="2"/>
  <c r="F231" i="2"/>
  <c r="G231" i="2" s="1"/>
  <c r="H231" i="2" s="1"/>
  <c r="E231" i="2"/>
  <c r="D231" i="2"/>
  <c r="B231" i="2"/>
  <c r="D230" i="2"/>
  <c r="E230" i="2" s="1"/>
  <c r="F230" i="2" s="1"/>
  <c r="G230" i="2" s="1"/>
  <c r="H230" i="2" s="1"/>
  <c r="I230" i="2" s="1"/>
  <c r="J230" i="2" s="1"/>
  <c r="K230" i="2" s="1"/>
  <c r="L230" i="2" s="1"/>
  <c r="M230" i="2" s="1"/>
  <c r="N230" i="2" s="1"/>
  <c r="O230" i="2" s="1"/>
  <c r="P230" i="2" s="1"/>
  <c r="B230" i="2"/>
  <c r="D229" i="2"/>
  <c r="D235" i="2" s="1"/>
  <c r="B229" i="2"/>
  <c r="B235" i="2" s="1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I120" i="2"/>
  <c r="AH120" i="2"/>
  <c r="AI119" i="2"/>
  <c r="AH119" i="2"/>
  <c r="AI118" i="2"/>
  <c r="AH118" i="2"/>
  <c r="AI117" i="2"/>
  <c r="AH117" i="2"/>
  <c r="AI116" i="2"/>
  <c r="AH116" i="2"/>
  <c r="AI115" i="2"/>
  <c r="AH115" i="2"/>
  <c r="AI114" i="2"/>
  <c r="AH114" i="2"/>
  <c r="S110" i="2"/>
  <c r="AI113" i="2"/>
  <c r="B113" i="2"/>
  <c r="AH113" i="2" s="1"/>
  <c r="AI112" i="2"/>
  <c r="AH112" i="2"/>
  <c r="AI111" i="2"/>
  <c r="AH111" i="2"/>
  <c r="AF110" i="2"/>
  <c r="AE110" i="2"/>
  <c r="AC110" i="2"/>
  <c r="AB110" i="2"/>
  <c r="X110" i="2"/>
  <c r="W110" i="2"/>
  <c r="R110" i="2"/>
  <c r="Q110" i="2"/>
  <c r="B110" i="2"/>
  <c r="AI109" i="2"/>
  <c r="AH109" i="2"/>
  <c r="AI108" i="2"/>
  <c r="AH108" i="2"/>
  <c r="AI107" i="2"/>
  <c r="AH107" i="2"/>
  <c r="AI106" i="2"/>
  <c r="AH106" i="2"/>
  <c r="AI105" i="2"/>
  <c r="AH105" i="2"/>
  <c r="AI104" i="2"/>
  <c r="AH104" i="2"/>
  <c r="AI103" i="2"/>
  <c r="AH103" i="2"/>
  <c r="AI102" i="2"/>
  <c r="AH102" i="2"/>
  <c r="AI101" i="2"/>
  <c r="AH101" i="2"/>
  <c r="G100" i="2"/>
  <c r="AI99" i="2"/>
  <c r="AH99" i="2"/>
  <c r="AI98" i="2"/>
  <c r="AH98" i="2"/>
  <c r="AI97" i="2"/>
  <c r="AH97" i="2"/>
  <c r="AI96" i="2"/>
  <c r="AH96" i="2"/>
  <c r="AI95" i="2"/>
  <c r="AH95" i="2"/>
  <c r="AI94" i="2"/>
  <c r="AH94" i="2"/>
  <c r="AI93" i="2"/>
  <c r="AH93" i="2"/>
  <c r="AI90" i="2"/>
  <c r="AH90" i="2"/>
  <c r="AI88" i="2"/>
  <c r="AH88" i="2"/>
  <c r="AG88" i="2"/>
  <c r="AG91" i="2" s="1"/>
  <c r="AI87" i="2"/>
  <c r="AH87" i="2"/>
  <c r="AI86" i="2"/>
  <c r="AH86" i="2"/>
  <c r="AI85" i="2"/>
  <c r="AH85" i="2"/>
  <c r="AN84" i="2"/>
  <c r="AG84" i="2"/>
  <c r="AF84" i="2"/>
  <c r="AF100" i="2" s="1"/>
  <c r="AE84" i="2"/>
  <c r="AE100" i="2" s="1"/>
  <c r="AD84" i="2"/>
  <c r="AD100" i="2" s="1"/>
  <c r="AC84" i="2"/>
  <c r="AC100" i="2" s="1"/>
  <c r="AB84" i="2"/>
  <c r="AB100" i="2" s="1"/>
  <c r="X84" i="2"/>
  <c r="X100" i="2" s="1"/>
  <c r="W84" i="2"/>
  <c r="V5" i="2" s="1"/>
  <c r="U5" i="2"/>
  <c r="S84" i="2"/>
  <c r="S100" i="2" s="1"/>
  <c r="R84" i="2"/>
  <c r="R100" i="2" s="1"/>
  <c r="Q84" i="2"/>
  <c r="Q100" i="2" s="1"/>
  <c r="P84" i="2"/>
  <c r="P100" i="2" s="1"/>
  <c r="O84" i="2"/>
  <c r="O100" i="2" s="1"/>
  <c r="N84" i="2"/>
  <c r="M5" i="2" s="1"/>
  <c r="M84" i="2"/>
  <c r="M100" i="2" s="1"/>
  <c r="L84" i="2"/>
  <c r="L100" i="2" s="1"/>
  <c r="K84" i="2"/>
  <c r="K100" i="2" s="1"/>
  <c r="J84" i="2"/>
  <c r="J100" i="2" s="1"/>
  <c r="I84" i="2"/>
  <c r="I100" i="2" s="1"/>
  <c r="H84" i="2"/>
  <c r="H100" i="2" s="1"/>
  <c r="G84" i="2"/>
  <c r="F5" i="2" s="1"/>
  <c r="F84" i="2"/>
  <c r="E5" i="2" s="1"/>
  <c r="E84" i="2"/>
  <c r="E100" i="2" s="1"/>
  <c r="D100" i="2"/>
  <c r="C84" i="2"/>
  <c r="C100" i="2" s="1"/>
  <c r="B84" i="2"/>
  <c r="AI83" i="2"/>
  <c r="AH83" i="2"/>
  <c r="AN82" i="2"/>
  <c r="AI82" i="2"/>
  <c r="AH82" i="2"/>
  <c r="AN81" i="2"/>
  <c r="AN83" i="2" s="1"/>
  <c r="AI81" i="2"/>
  <c r="AH81" i="2"/>
  <c r="AI80" i="2"/>
  <c r="AH80" i="2"/>
  <c r="AI79" i="2"/>
  <c r="AH79" i="2"/>
  <c r="AI78" i="2"/>
  <c r="AH78" i="2"/>
  <c r="AI77" i="2"/>
  <c r="AH77" i="2"/>
  <c r="AI76" i="2"/>
  <c r="AH76" i="2"/>
  <c r="AI75" i="2"/>
  <c r="AH75" i="2"/>
  <c r="AI74" i="2"/>
  <c r="AH74" i="2"/>
  <c r="AI73" i="2"/>
  <c r="AH73" i="2"/>
  <c r="AG72" i="2"/>
  <c r="AG4" i="2" s="1"/>
  <c r="AF72" i="2"/>
  <c r="AE72" i="2"/>
  <c r="AD72" i="2"/>
  <c r="AC72" i="2"/>
  <c r="AB72" i="2"/>
  <c r="X72" i="2"/>
  <c r="W72" i="2"/>
  <c r="S72" i="2"/>
  <c r="R72" i="2"/>
  <c r="Q72" i="2"/>
  <c r="P72" i="2"/>
  <c r="O72" i="2"/>
  <c r="N72" i="2"/>
  <c r="M72" i="2"/>
  <c r="L72" i="2"/>
  <c r="C72" i="2"/>
  <c r="B72" i="2"/>
  <c r="AI71" i="2"/>
  <c r="AH71" i="2"/>
  <c r="AI70" i="2"/>
  <c r="AH70" i="2"/>
  <c r="AI69" i="2"/>
  <c r="AH69" i="2"/>
  <c r="AG68" i="2"/>
  <c r="AG3" i="2" s="1"/>
  <c r="AG6" i="2" s="1"/>
  <c r="AF68" i="2"/>
  <c r="AE68" i="2"/>
  <c r="AD68" i="2"/>
  <c r="AC68" i="2"/>
  <c r="AB68" i="2"/>
  <c r="X68" i="2"/>
  <c r="W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C68" i="2"/>
  <c r="B68" i="2"/>
  <c r="AI67" i="2"/>
  <c r="AH67" i="2"/>
  <c r="AG67" i="2"/>
  <c r="AI66" i="2"/>
  <c r="AH66" i="2"/>
  <c r="AI65" i="2"/>
  <c r="AH65" i="2"/>
  <c r="AI64" i="2"/>
  <c r="AH64" i="2"/>
  <c r="AI63" i="2"/>
  <c r="AH63" i="2"/>
  <c r="AI62" i="2"/>
  <c r="AH62" i="2"/>
  <c r="AI61" i="2"/>
  <c r="AH61" i="2"/>
  <c r="AI60" i="2"/>
  <c r="AH60" i="2"/>
  <c r="AI59" i="2"/>
  <c r="AH59" i="2"/>
  <c r="AI58" i="2"/>
  <c r="AH58" i="2"/>
  <c r="AI57" i="2"/>
  <c r="AH57" i="2"/>
  <c r="AI56" i="2"/>
  <c r="AH56" i="2"/>
  <c r="AI55" i="2"/>
  <c r="AH55" i="2"/>
  <c r="AG54" i="2"/>
  <c r="AF54" i="2"/>
  <c r="AE54" i="2"/>
  <c r="AD54" i="2"/>
  <c r="AC54" i="2"/>
  <c r="AB54" i="2"/>
  <c r="X54" i="2"/>
  <c r="W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C54" i="2"/>
  <c r="B54" i="2"/>
  <c r="AI53" i="2"/>
  <c r="AH53" i="2"/>
  <c r="AI52" i="2"/>
  <c r="AH52" i="2"/>
  <c r="AI51" i="2"/>
  <c r="AH51" i="2"/>
  <c r="AG50" i="2"/>
  <c r="AG89" i="2" s="1"/>
  <c r="AF50" i="2"/>
  <c r="AE50" i="2"/>
  <c r="AD50" i="2"/>
  <c r="AC50" i="2"/>
  <c r="AB50" i="2"/>
  <c r="X50" i="2"/>
  <c r="W50" i="2"/>
  <c r="S50" i="2"/>
  <c r="R50" i="2"/>
  <c r="Q50" i="2"/>
  <c r="P50" i="2"/>
  <c r="O50" i="2"/>
  <c r="N50" i="2"/>
  <c r="N89" i="2" s="1"/>
  <c r="N91" i="2" s="1"/>
  <c r="M50" i="2"/>
  <c r="J50" i="2"/>
  <c r="I50" i="2"/>
  <c r="H50" i="2"/>
  <c r="G50" i="2"/>
  <c r="F50" i="2"/>
  <c r="C50" i="2"/>
  <c r="B50" i="2"/>
  <c r="AI49" i="2"/>
  <c r="AH49" i="2"/>
  <c r="AI48" i="2"/>
  <c r="AH48" i="2"/>
  <c r="AI47" i="2"/>
  <c r="AH47" i="2"/>
  <c r="AI46" i="2"/>
  <c r="AH46" i="2"/>
  <c r="AI45" i="2"/>
  <c r="AH45" i="2"/>
  <c r="AI44" i="2"/>
  <c r="AH44" i="2"/>
  <c r="AI43" i="2"/>
  <c r="AH43" i="2"/>
  <c r="AI42" i="2"/>
  <c r="AH42" i="2"/>
  <c r="AI41" i="2"/>
  <c r="AH41" i="2"/>
  <c r="AI40" i="2"/>
  <c r="AH40" i="2"/>
  <c r="AI39" i="2"/>
  <c r="AH39" i="2"/>
  <c r="AI38" i="2"/>
  <c r="AH38" i="2"/>
  <c r="AI37" i="2"/>
  <c r="AH37" i="2"/>
  <c r="AI36" i="2"/>
  <c r="AH36" i="2"/>
  <c r="AI35" i="2"/>
  <c r="AH35" i="2"/>
  <c r="AI34" i="2"/>
  <c r="AH34" i="2"/>
  <c r="AI33" i="2"/>
  <c r="AH33" i="2"/>
  <c r="AI32" i="2"/>
  <c r="AH32" i="2"/>
  <c r="AI31" i="2"/>
  <c r="AH31" i="2"/>
  <c r="AI30" i="2"/>
  <c r="AH30" i="2"/>
  <c r="AI29" i="2"/>
  <c r="AH29" i="2"/>
  <c r="AI28" i="2"/>
  <c r="AH28" i="2"/>
  <c r="AI27" i="2"/>
  <c r="AH27" i="2"/>
  <c r="AI26" i="2"/>
  <c r="AH26" i="2"/>
  <c r="AI25" i="2"/>
  <c r="AH25" i="2"/>
  <c r="AI24" i="2"/>
  <c r="AH24" i="2"/>
  <c r="AI23" i="2"/>
  <c r="AH23" i="2"/>
  <c r="AI22" i="2"/>
  <c r="AH22" i="2"/>
  <c r="AI21" i="2"/>
  <c r="AH21" i="2"/>
  <c r="AI20" i="2"/>
  <c r="AH20" i="2"/>
  <c r="AI19" i="2"/>
  <c r="AH19" i="2"/>
  <c r="AI18" i="2"/>
  <c r="AH18" i="2"/>
  <c r="AI17" i="2"/>
  <c r="AH17" i="2"/>
  <c r="AI16" i="2"/>
  <c r="AH16" i="2"/>
  <c r="AI15" i="2"/>
  <c r="AH15" i="2"/>
  <c r="AI14" i="2"/>
  <c r="AH14" i="2"/>
  <c r="AI13" i="2"/>
  <c r="AH13" i="2"/>
  <c r="AI12" i="2"/>
  <c r="AH12" i="2"/>
  <c r="AI11" i="2"/>
  <c r="AH11" i="2"/>
  <c r="AA7" i="2"/>
  <c r="AC5" i="2"/>
  <c r="Z5" i="2"/>
  <c r="X5" i="2"/>
  <c r="T5" i="2"/>
  <c r="D5" i="2"/>
  <c r="K4" i="2"/>
  <c r="E4" i="2"/>
  <c r="H4" i="2" s="1"/>
  <c r="AG2" i="2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B270" i="1"/>
  <c r="AS249" i="1"/>
  <c r="S24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C235" i="1"/>
  <c r="D234" i="1"/>
  <c r="D110" i="1" s="1"/>
  <c r="B234" i="1"/>
  <c r="AF270" i="1" s="1"/>
  <c r="E233" i="1"/>
  <c r="F233" i="1" s="1"/>
  <c r="G233" i="1" s="1"/>
  <c r="H233" i="1" s="1"/>
  <c r="I233" i="1" s="1"/>
  <c r="J233" i="1" s="1"/>
  <c r="K233" i="1" s="1"/>
  <c r="L233" i="1" s="1"/>
  <c r="M233" i="1" s="1"/>
  <c r="N233" i="1" s="1"/>
  <c r="O233" i="1" s="1"/>
  <c r="P233" i="1" s="1"/>
  <c r="D233" i="1"/>
  <c r="B233" i="1"/>
  <c r="E232" i="1"/>
  <c r="F232" i="1" s="1"/>
  <c r="G232" i="1" s="1"/>
  <c r="H232" i="1" s="1"/>
  <c r="I232" i="1" s="1"/>
  <c r="D232" i="1"/>
  <c r="B232" i="1"/>
  <c r="F231" i="1"/>
  <c r="G231" i="1" s="1"/>
  <c r="H231" i="1" s="1"/>
  <c r="E231" i="1"/>
  <c r="D231" i="1"/>
  <c r="B231" i="1"/>
  <c r="D230" i="1"/>
  <c r="D235" i="1" s="1"/>
  <c r="B230" i="1"/>
  <c r="E229" i="1"/>
  <c r="F229" i="1" s="1"/>
  <c r="D229" i="1"/>
  <c r="B229" i="1"/>
  <c r="B235" i="1" s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I120" i="1"/>
  <c r="AH120" i="1"/>
  <c r="AI119" i="1"/>
  <c r="AH119" i="1"/>
  <c r="AI118" i="1"/>
  <c r="AH118" i="1"/>
  <c r="AI117" i="1"/>
  <c r="AH117" i="1"/>
  <c r="AI116" i="1"/>
  <c r="AH116" i="1"/>
  <c r="AI115" i="1"/>
  <c r="AH115" i="1"/>
  <c r="AI114" i="1"/>
  <c r="AH114" i="1"/>
  <c r="Z113" i="1"/>
  <c r="Z110" i="1" s="1"/>
  <c r="Y113" i="1"/>
  <c r="Y110" i="1" s="1"/>
  <c r="X113" i="1"/>
  <c r="W113" i="1"/>
  <c r="S113" i="1"/>
  <c r="D113" i="1"/>
  <c r="C113" i="1"/>
  <c r="B113" i="1"/>
  <c r="B110" i="1" s="1"/>
  <c r="AI112" i="1"/>
  <c r="AH112" i="1"/>
  <c r="AI111" i="1"/>
  <c r="AH111" i="1"/>
  <c r="AF110" i="1"/>
  <c r="AE110" i="1"/>
  <c r="AC110" i="1"/>
  <c r="AB110" i="1"/>
  <c r="X110" i="1"/>
  <c r="W110" i="1"/>
  <c r="V110" i="1"/>
  <c r="U110" i="1"/>
  <c r="T110" i="1"/>
  <c r="S110" i="1"/>
  <c r="R110" i="1"/>
  <c r="Q110" i="1"/>
  <c r="C110" i="1"/>
  <c r="AI109" i="1"/>
  <c r="AH109" i="1"/>
  <c r="AI108" i="1"/>
  <c r="AH108" i="1"/>
  <c r="AI107" i="1"/>
  <c r="AH107" i="1"/>
  <c r="AI106" i="1"/>
  <c r="AH106" i="1"/>
  <c r="AI105" i="1"/>
  <c r="AH105" i="1"/>
  <c r="AI104" i="1"/>
  <c r="AH104" i="1"/>
  <c r="AI103" i="1"/>
  <c r="AH103" i="1"/>
  <c r="AI102" i="1"/>
  <c r="AH102" i="1"/>
  <c r="AI101" i="1"/>
  <c r="AH101" i="1"/>
  <c r="AE100" i="1"/>
  <c r="AD100" i="1"/>
  <c r="V100" i="1"/>
  <c r="U100" i="1"/>
  <c r="N100" i="1"/>
  <c r="M100" i="1"/>
  <c r="F100" i="1"/>
  <c r="E100" i="1"/>
  <c r="AI99" i="1"/>
  <c r="AH99" i="1"/>
  <c r="AI98" i="1"/>
  <c r="AH98" i="1"/>
  <c r="AI97" i="1"/>
  <c r="AH97" i="1"/>
  <c r="AI96" i="1"/>
  <c r="AH96" i="1"/>
  <c r="AI95" i="1"/>
  <c r="AH95" i="1"/>
  <c r="AI94" i="1"/>
  <c r="AH94" i="1"/>
  <c r="AI93" i="1"/>
  <c r="AH93" i="1"/>
  <c r="AI90" i="1"/>
  <c r="AH90" i="1"/>
  <c r="AI88" i="1"/>
  <c r="AH88" i="1"/>
  <c r="AG88" i="1"/>
  <c r="AG91" i="1" s="1"/>
  <c r="AI87" i="1"/>
  <c r="AH87" i="1"/>
  <c r="AI86" i="1"/>
  <c r="AH86" i="1"/>
  <c r="AI85" i="1"/>
  <c r="AH85" i="1"/>
  <c r="AN84" i="1"/>
  <c r="AG84" i="1"/>
  <c r="AF84" i="1"/>
  <c r="AF100" i="1" s="1"/>
  <c r="AE84" i="1"/>
  <c r="AD84" i="1"/>
  <c r="AC84" i="1"/>
  <c r="AC100" i="1" s="1"/>
  <c r="AB84" i="1"/>
  <c r="AB100" i="1" s="1"/>
  <c r="Z84" i="1"/>
  <c r="Z100" i="1" s="1"/>
  <c r="Y84" i="1"/>
  <c r="Y100" i="1" s="1"/>
  <c r="X84" i="1"/>
  <c r="X100" i="1" s="1"/>
  <c r="W84" i="1"/>
  <c r="W100" i="1" s="1"/>
  <c r="V84" i="1"/>
  <c r="U84" i="1"/>
  <c r="T84" i="1"/>
  <c r="T100" i="1" s="1"/>
  <c r="S84" i="1"/>
  <c r="S100" i="1" s="1"/>
  <c r="R84" i="1"/>
  <c r="R100" i="1" s="1"/>
  <c r="Q84" i="1"/>
  <c r="Q100" i="1" s="1"/>
  <c r="P84" i="1"/>
  <c r="P100" i="1" s="1"/>
  <c r="O84" i="1"/>
  <c r="O100" i="1" s="1"/>
  <c r="N84" i="1"/>
  <c r="M84" i="1"/>
  <c r="L84" i="1"/>
  <c r="L100" i="1" s="1"/>
  <c r="K84" i="1"/>
  <c r="K100" i="1" s="1"/>
  <c r="J84" i="1"/>
  <c r="J100" i="1" s="1"/>
  <c r="I84" i="1"/>
  <c r="I100" i="1" s="1"/>
  <c r="H84" i="1"/>
  <c r="H100" i="1" s="1"/>
  <c r="G84" i="1"/>
  <c r="G100" i="1" s="1"/>
  <c r="F84" i="1"/>
  <c r="E84" i="1"/>
  <c r="D84" i="1"/>
  <c r="D100" i="1" s="1"/>
  <c r="C84" i="1"/>
  <c r="C100" i="1" s="1"/>
  <c r="B84" i="1"/>
  <c r="AH84" i="1" s="1"/>
  <c r="AI83" i="1"/>
  <c r="AH83" i="1"/>
  <c r="AN82" i="1"/>
  <c r="AI82" i="1"/>
  <c r="AH82" i="1"/>
  <c r="AN81" i="1"/>
  <c r="AN83" i="1" s="1"/>
  <c r="AI81" i="1"/>
  <c r="AH81" i="1"/>
  <c r="AI80" i="1"/>
  <c r="AH80" i="1"/>
  <c r="AI79" i="1"/>
  <c r="AH79" i="1"/>
  <c r="AI78" i="1"/>
  <c r="AH78" i="1"/>
  <c r="AI77" i="1"/>
  <c r="AH77" i="1"/>
  <c r="AI76" i="1"/>
  <c r="AH76" i="1"/>
  <c r="AI75" i="1"/>
  <c r="AH75" i="1"/>
  <c r="AI74" i="1"/>
  <c r="AH74" i="1"/>
  <c r="AI73" i="1"/>
  <c r="AH73" i="1"/>
  <c r="AG72" i="1"/>
  <c r="AF72" i="1"/>
  <c r="AE72" i="1"/>
  <c r="AD72" i="1"/>
  <c r="AC72" i="1"/>
  <c r="AB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D72" i="1"/>
  <c r="C72" i="1"/>
  <c r="B72" i="1"/>
  <c r="AI72" i="1" s="1"/>
  <c r="AI71" i="1"/>
  <c r="AH71" i="1"/>
  <c r="AI70" i="1"/>
  <c r="AH70" i="1"/>
  <c r="AI69" i="1"/>
  <c r="AH69" i="1"/>
  <c r="AF68" i="1"/>
  <c r="AE68" i="1"/>
  <c r="AD68" i="1"/>
  <c r="AC68" i="1"/>
  <c r="AB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I68" i="1" s="1"/>
  <c r="AI67" i="1"/>
  <c r="AH67" i="1"/>
  <c r="AG67" i="1"/>
  <c r="AG68" i="1" s="1"/>
  <c r="AG3" i="1" s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58" i="1"/>
  <c r="AH58" i="1"/>
  <c r="AI57" i="1"/>
  <c r="AH57" i="1"/>
  <c r="AI56" i="1"/>
  <c r="AH56" i="1"/>
  <c r="AI55" i="1"/>
  <c r="AH55" i="1"/>
  <c r="AG54" i="1"/>
  <c r="AF54" i="1"/>
  <c r="AE54" i="1"/>
  <c r="AD54" i="1"/>
  <c r="AC54" i="1"/>
  <c r="AB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AH54" i="1" s="1"/>
  <c r="G54" i="1"/>
  <c r="F54" i="1"/>
  <c r="E54" i="1"/>
  <c r="D54" i="1"/>
  <c r="C54" i="1"/>
  <c r="B54" i="1"/>
  <c r="AI54" i="1" s="1"/>
  <c r="AI53" i="1"/>
  <c r="AH53" i="1"/>
  <c r="AI52" i="1"/>
  <c r="AH52" i="1"/>
  <c r="AI51" i="1"/>
  <c r="AH51" i="1"/>
  <c r="AG50" i="1"/>
  <c r="AG89" i="1" s="1"/>
  <c r="AF50" i="1"/>
  <c r="AF89" i="1" s="1"/>
  <c r="AF91" i="1" s="1"/>
  <c r="AE50" i="1"/>
  <c r="AE89" i="1" s="1"/>
  <c r="AE91" i="1" s="1"/>
  <c r="AD50" i="1"/>
  <c r="AD89" i="1" s="1"/>
  <c r="AD91" i="1" s="1"/>
  <c r="AC50" i="1"/>
  <c r="AC89" i="1" s="1"/>
  <c r="AC91" i="1" s="1"/>
  <c r="AB50" i="1"/>
  <c r="AB89" i="1" s="1"/>
  <c r="AB91" i="1" s="1"/>
  <c r="Z50" i="1"/>
  <c r="Z89" i="1" s="1"/>
  <c r="Z91" i="1" s="1"/>
  <c r="Y50" i="1"/>
  <c r="Y89" i="1" s="1"/>
  <c r="Y91" i="1" s="1"/>
  <c r="X50" i="1"/>
  <c r="X89" i="1" s="1"/>
  <c r="X91" i="1" s="1"/>
  <c r="W50" i="1"/>
  <c r="W89" i="1" s="1"/>
  <c r="W91" i="1" s="1"/>
  <c r="V50" i="1"/>
  <c r="V89" i="1" s="1"/>
  <c r="V91" i="1" s="1"/>
  <c r="U50" i="1"/>
  <c r="U89" i="1" s="1"/>
  <c r="U91" i="1" s="1"/>
  <c r="T50" i="1"/>
  <c r="T89" i="1" s="1"/>
  <c r="T91" i="1" s="1"/>
  <c r="S50" i="1"/>
  <c r="S89" i="1" s="1"/>
  <c r="S91" i="1" s="1"/>
  <c r="R50" i="1"/>
  <c r="R89" i="1" s="1"/>
  <c r="R91" i="1" s="1"/>
  <c r="Q50" i="1"/>
  <c r="Q89" i="1" s="1"/>
  <c r="Q91" i="1" s="1"/>
  <c r="P50" i="1"/>
  <c r="P89" i="1" s="1"/>
  <c r="P91" i="1" s="1"/>
  <c r="O50" i="1"/>
  <c r="O89" i="1" s="1"/>
  <c r="O91" i="1" s="1"/>
  <c r="N50" i="1"/>
  <c r="N89" i="1" s="1"/>
  <c r="N91" i="1" s="1"/>
  <c r="M50" i="1"/>
  <c r="M89" i="1" s="1"/>
  <c r="M91" i="1" s="1"/>
  <c r="L50" i="1"/>
  <c r="L89" i="1" s="1"/>
  <c r="L91" i="1" s="1"/>
  <c r="K50" i="1"/>
  <c r="K89" i="1" s="1"/>
  <c r="K91" i="1" s="1"/>
  <c r="J50" i="1"/>
  <c r="J89" i="1" s="1"/>
  <c r="J91" i="1" s="1"/>
  <c r="I50" i="1"/>
  <c r="I89" i="1" s="1"/>
  <c r="I91" i="1" s="1"/>
  <c r="H50" i="1"/>
  <c r="H89" i="1" s="1"/>
  <c r="H91" i="1" s="1"/>
  <c r="G50" i="1"/>
  <c r="G89" i="1" s="1"/>
  <c r="G91" i="1" s="1"/>
  <c r="F50" i="1"/>
  <c r="F89" i="1" s="1"/>
  <c r="F91" i="1" s="1"/>
  <c r="E50" i="1"/>
  <c r="E89" i="1" s="1"/>
  <c r="E91" i="1" s="1"/>
  <c r="D50" i="1"/>
  <c r="D89" i="1" s="1"/>
  <c r="D91" i="1" s="1"/>
  <c r="C50" i="1"/>
  <c r="C89" i="1" s="1"/>
  <c r="C91" i="1" s="1"/>
  <c r="B50" i="1"/>
  <c r="B89" i="1" s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A7" i="1"/>
  <c r="AE5" i="1"/>
  <c r="AD5" i="1"/>
  <c r="AC5" i="1"/>
  <c r="AB5" i="1"/>
  <c r="Z5" i="1"/>
  <c r="X5" i="1"/>
  <c r="W5" i="1"/>
  <c r="V5" i="1"/>
  <c r="U5" i="1"/>
  <c r="T5" i="1"/>
  <c r="S5" i="1"/>
  <c r="P5" i="1"/>
  <c r="O5" i="1"/>
  <c r="N5" i="1"/>
  <c r="M5" i="1"/>
  <c r="L5" i="1"/>
  <c r="K5" i="1"/>
  <c r="H5" i="1"/>
  <c r="G5" i="1"/>
  <c r="F5" i="1"/>
  <c r="E5" i="1"/>
  <c r="D5" i="1"/>
  <c r="C5" i="1"/>
  <c r="AG4" i="1"/>
  <c r="K4" i="1"/>
  <c r="E4" i="1"/>
  <c r="H4" i="1" s="1"/>
  <c r="B4" i="1"/>
  <c r="S246" i="1" s="1"/>
  <c r="J229" i="4" l="1"/>
  <c r="F270" i="4"/>
  <c r="H234" i="4"/>
  <c r="G110" i="4"/>
  <c r="H230" i="4"/>
  <c r="G235" i="4"/>
  <c r="AE5" i="2"/>
  <c r="AE89" i="2"/>
  <c r="AE91" i="2" s="1"/>
  <c r="AE92" i="2" s="1"/>
  <c r="AA5" i="2"/>
  <c r="W5" i="2"/>
  <c r="W100" i="2"/>
  <c r="P5" i="2"/>
  <c r="O5" i="2"/>
  <c r="N5" i="2"/>
  <c r="L5" i="2"/>
  <c r="H5" i="2"/>
  <c r="AC89" i="2"/>
  <c r="AC91" i="2" s="1"/>
  <c r="AC92" i="2" s="1"/>
  <c r="G5" i="2"/>
  <c r="H89" i="2"/>
  <c r="H91" i="2" s="1"/>
  <c r="Z249" i="2" s="1"/>
  <c r="F89" i="2"/>
  <c r="F91" i="2" s="1"/>
  <c r="F92" i="2" s="1"/>
  <c r="B89" i="2"/>
  <c r="B5" i="2"/>
  <c r="J89" i="2"/>
  <c r="J91" i="2" s="1"/>
  <c r="J92" i="2" s="1"/>
  <c r="C89" i="2"/>
  <c r="C91" i="2" s="1"/>
  <c r="C7" i="2" s="1"/>
  <c r="L89" i="2"/>
  <c r="L91" i="2" s="1"/>
  <c r="L7" i="2" s="1"/>
  <c r="J5" i="2"/>
  <c r="AH84" i="2"/>
  <c r="V249" i="2"/>
  <c r="AI72" i="2"/>
  <c r="G89" i="2"/>
  <c r="G91" i="2" s="1"/>
  <c r="G92" i="2" s="1"/>
  <c r="K89" i="2"/>
  <c r="K91" i="2" s="1"/>
  <c r="K92" i="2" s="1"/>
  <c r="E89" i="2"/>
  <c r="E91" i="2" s="1"/>
  <c r="W249" i="2" s="1"/>
  <c r="M89" i="2"/>
  <c r="M91" i="2" s="1"/>
  <c r="AE249" i="2" s="1"/>
  <c r="R5" i="2"/>
  <c r="AD5" i="2"/>
  <c r="AD89" i="2"/>
  <c r="AD91" i="2" s="1"/>
  <c r="AD7" i="2" s="1"/>
  <c r="R89" i="2"/>
  <c r="R91" i="2" s="1"/>
  <c r="R92" i="2" s="1"/>
  <c r="Z7" i="2"/>
  <c r="AF89" i="2"/>
  <c r="AF91" i="2" s="1"/>
  <c r="AX249" i="2" s="1"/>
  <c r="X89" i="2"/>
  <c r="X91" i="2" s="1"/>
  <c r="X7" i="2" s="1"/>
  <c r="S89" i="2"/>
  <c r="S91" i="2" s="1"/>
  <c r="S7" i="2" s="1"/>
  <c r="AB89" i="2"/>
  <c r="AB91" i="2" s="1"/>
  <c r="AB92" i="2" s="1"/>
  <c r="W89" i="2"/>
  <c r="W91" i="2" s="1"/>
  <c r="W92" i="2" s="1"/>
  <c r="AI68" i="2"/>
  <c r="O89" i="2"/>
  <c r="O91" i="2" s="1"/>
  <c r="O92" i="2" s="1"/>
  <c r="P89" i="2"/>
  <c r="P91" i="2" s="1"/>
  <c r="P7" i="2" s="1"/>
  <c r="AI54" i="2"/>
  <c r="I89" i="2"/>
  <c r="I91" i="2" s="1"/>
  <c r="I92" i="2" s="1"/>
  <c r="Q89" i="2"/>
  <c r="Q91" i="2" s="1"/>
  <c r="AI249" i="2" s="1"/>
  <c r="D246" i="2"/>
  <c r="AQ249" i="2"/>
  <c r="B91" i="2"/>
  <c r="AT249" i="2"/>
  <c r="T7" i="2"/>
  <c r="AL249" i="2"/>
  <c r="J232" i="2"/>
  <c r="K232" i="2" s="1"/>
  <c r="L232" i="2" s="1"/>
  <c r="M232" i="2" s="1"/>
  <c r="N232" i="2" s="1"/>
  <c r="O232" i="2" s="1"/>
  <c r="P232" i="2" s="1"/>
  <c r="AM249" i="2"/>
  <c r="U7" i="2"/>
  <c r="AF249" i="2"/>
  <c r="N92" i="2"/>
  <c r="N7" i="2"/>
  <c r="V7" i="2"/>
  <c r="AN249" i="2"/>
  <c r="AH54" i="2"/>
  <c r="F100" i="2"/>
  <c r="N100" i="2"/>
  <c r="E234" i="2"/>
  <c r="AH50" i="2"/>
  <c r="I5" i="2"/>
  <c r="Q5" i="2"/>
  <c r="Y5" i="2"/>
  <c r="AI50" i="2"/>
  <c r="E229" i="2"/>
  <c r="C5" i="2"/>
  <c r="K5" i="2"/>
  <c r="S5" i="2"/>
  <c r="AH68" i="2"/>
  <c r="AH72" i="2"/>
  <c r="B100" i="2"/>
  <c r="AF5" i="2"/>
  <c r="AB5" i="2"/>
  <c r="AI84" i="2"/>
  <c r="D246" i="1"/>
  <c r="H92" i="1"/>
  <c r="H7" i="1"/>
  <c r="Z249" i="1"/>
  <c r="P92" i="1"/>
  <c r="P7" i="1"/>
  <c r="AH249" i="1"/>
  <c r="AP249" i="1"/>
  <c r="X92" i="1"/>
  <c r="X7" i="1"/>
  <c r="I92" i="1"/>
  <c r="AA249" i="1"/>
  <c r="I7" i="1"/>
  <c r="Q92" i="1"/>
  <c r="Q7" i="1"/>
  <c r="AI249" i="1"/>
  <c r="AQ249" i="1"/>
  <c r="Y92" i="1"/>
  <c r="Y7" i="1"/>
  <c r="G229" i="1"/>
  <c r="AO249" i="1"/>
  <c r="W92" i="1"/>
  <c r="W7" i="1"/>
  <c r="AG249" i="1"/>
  <c r="O92" i="1"/>
  <c r="O7" i="1"/>
  <c r="AF92" i="1"/>
  <c r="AF7" i="1"/>
  <c r="AX249" i="1"/>
  <c r="J92" i="1"/>
  <c r="J7" i="1"/>
  <c r="AB249" i="1"/>
  <c r="Z92" i="1"/>
  <c r="Z7" i="1"/>
  <c r="AR249" i="1"/>
  <c r="S7" i="1"/>
  <c r="AK249" i="1"/>
  <c r="S92" i="1"/>
  <c r="D7" i="1"/>
  <c r="D92" i="1"/>
  <c r="V249" i="1"/>
  <c r="L7" i="1"/>
  <c r="AD249" i="1"/>
  <c r="L92" i="1"/>
  <c r="AL249" i="1"/>
  <c r="T7" i="1"/>
  <c r="T92" i="1"/>
  <c r="AU249" i="1"/>
  <c r="AC92" i="1"/>
  <c r="AC7" i="1"/>
  <c r="K7" i="1"/>
  <c r="K92" i="1"/>
  <c r="AC249" i="1"/>
  <c r="U7" i="1"/>
  <c r="AM249" i="1"/>
  <c r="U92" i="1"/>
  <c r="Y249" i="1"/>
  <c r="C244" i="1"/>
  <c r="B244" i="1"/>
  <c r="G92" i="1"/>
  <c r="G7" i="1"/>
  <c r="B91" i="1"/>
  <c r="AI89" i="1"/>
  <c r="AH89" i="1"/>
  <c r="R92" i="1"/>
  <c r="R7" i="1"/>
  <c r="AJ249" i="1"/>
  <c r="J232" i="1"/>
  <c r="K232" i="1" s="1"/>
  <c r="L232" i="1" s="1"/>
  <c r="M232" i="1" s="1"/>
  <c r="N232" i="1" s="1"/>
  <c r="O232" i="1" s="1"/>
  <c r="P232" i="1" s="1"/>
  <c r="C7" i="1"/>
  <c r="C92" i="1"/>
  <c r="U249" i="1"/>
  <c r="AB92" i="1"/>
  <c r="AT249" i="1"/>
  <c r="AB7" i="1"/>
  <c r="E7" i="1"/>
  <c r="W249" i="1"/>
  <c r="E92" i="1"/>
  <c r="AE249" i="1"/>
  <c r="M7" i="1"/>
  <c r="M92" i="1"/>
  <c r="AV249" i="1"/>
  <c r="AD92" i="1"/>
  <c r="AD7" i="1"/>
  <c r="X249" i="1"/>
  <c r="F92" i="1"/>
  <c r="F7" i="1"/>
  <c r="AF249" i="1"/>
  <c r="N92" i="1"/>
  <c r="N7" i="1"/>
  <c r="AN249" i="1"/>
  <c r="V92" i="1"/>
  <c r="V7" i="1"/>
  <c r="AW249" i="1"/>
  <c r="AE92" i="1"/>
  <c r="AE7" i="1"/>
  <c r="AF5" i="1"/>
  <c r="AH50" i="1"/>
  <c r="AI113" i="1"/>
  <c r="C270" i="1"/>
  <c r="AI84" i="1"/>
  <c r="I5" i="1"/>
  <c r="Q5" i="1"/>
  <c r="Y5" i="1"/>
  <c r="AI50" i="1"/>
  <c r="B5" i="1"/>
  <c r="J5" i="1"/>
  <c r="R5" i="1"/>
  <c r="AH113" i="1"/>
  <c r="AG2" i="1"/>
  <c r="AG6" i="1" s="1"/>
  <c r="AA5" i="1"/>
  <c r="AH68" i="1"/>
  <c r="AH72" i="1"/>
  <c r="B100" i="1"/>
  <c r="E234" i="1"/>
  <c r="E230" i="1"/>
  <c r="J7" i="2" l="1"/>
  <c r="AE7" i="2"/>
  <c r="AW249" i="2"/>
  <c r="I234" i="4"/>
  <c r="G270" i="4"/>
  <c r="H110" i="4"/>
  <c r="K229" i="4"/>
  <c r="I230" i="4"/>
  <c r="H235" i="4"/>
  <c r="AF7" i="2"/>
  <c r="AD92" i="2"/>
  <c r="AV249" i="2"/>
  <c r="AU249" i="2"/>
  <c r="AC7" i="2"/>
  <c r="L92" i="2"/>
  <c r="AD249" i="2"/>
  <c r="AC249" i="2"/>
  <c r="K7" i="2"/>
  <c r="X249" i="2"/>
  <c r="F7" i="2"/>
  <c r="AG249" i="2"/>
  <c r="AJ249" i="2"/>
  <c r="Q7" i="2"/>
  <c r="AB249" i="2"/>
  <c r="I7" i="2"/>
  <c r="AA249" i="2"/>
  <c r="H7" i="2"/>
  <c r="H92" i="2"/>
  <c r="G7" i="2"/>
  <c r="Y249" i="2"/>
  <c r="U249" i="2"/>
  <c r="C92" i="2"/>
  <c r="E7" i="2"/>
  <c r="D7" i="2"/>
  <c r="B244" i="2"/>
  <c r="E92" i="2"/>
  <c r="M7" i="2"/>
  <c r="M92" i="2"/>
  <c r="C244" i="2"/>
  <c r="Q92" i="2"/>
  <c r="AR249" i="2"/>
  <c r="AP249" i="2"/>
  <c r="AH249" i="2"/>
  <c r="R7" i="2"/>
  <c r="P92" i="2"/>
  <c r="O7" i="2"/>
  <c r="AB7" i="2"/>
  <c r="Y7" i="2"/>
  <c r="X92" i="2"/>
  <c r="AF92" i="2"/>
  <c r="AO249" i="2"/>
  <c r="AH89" i="2"/>
  <c r="AI89" i="2"/>
  <c r="AK249" i="2"/>
  <c r="S92" i="2"/>
  <c r="W7" i="2"/>
  <c r="B92" i="2"/>
  <c r="AI91" i="2"/>
  <c r="B7" i="2"/>
  <c r="AH91" i="2"/>
  <c r="T249" i="2"/>
  <c r="D270" i="2"/>
  <c r="F234" i="2"/>
  <c r="E235" i="2"/>
  <c r="F229" i="2"/>
  <c r="E110" i="2"/>
  <c r="AI100" i="2"/>
  <c r="AH100" i="2"/>
  <c r="H229" i="1"/>
  <c r="D270" i="1"/>
  <c r="F234" i="1"/>
  <c r="E110" i="1"/>
  <c r="E235" i="1"/>
  <c r="F230" i="1"/>
  <c r="K6" i="1"/>
  <c r="AI100" i="1"/>
  <c r="AH100" i="1"/>
  <c r="B92" i="1"/>
  <c r="AI91" i="1"/>
  <c r="B7" i="1"/>
  <c r="A7" i="1" s="1"/>
  <c r="AH91" i="1"/>
  <c r="T249" i="1"/>
  <c r="J230" i="4" l="1"/>
  <c r="L229" i="4"/>
  <c r="H270" i="4"/>
  <c r="J234" i="4"/>
  <c r="I110" i="4"/>
  <c r="K6" i="2"/>
  <c r="A7" i="2"/>
  <c r="AI92" i="2"/>
  <c r="AH92" i="2"/>
  <c r="E270" i="2"/>
  <c r="G234" i="2"/>
  <c r="G229" i="2"/>
  <c r="F110" i="2"/>
  <c r="F235" i="2"/>
  <c r="G230" i="1"/>
  <c r="F235" i="1"/>
  <c r="E270" i="1"/>
  <c r="G234" i="1"/>
  <c r="F110" i="1"/>
  <c r="AI92" i="1"/>
  <c r="AH92" i="1"/>
  <c r="I229" i="1"/>
  <c r="K234" i="4" l="1"/>
  <c r="I270" i="4"/>
  <c r="J110" i="4"/>
  <c r="M229" i="4"/>
  <c r="K230" i="4"/>
  <c r="F270" i="2"/>
  <c r="H234" i="2"/>
  <c r="H229" i="2"/>
  <c r="G110" i="2"/>
  <c r="G235" i="2"/>
  <c r="F270" i="1"/>
  <c r="H234" i="1"/>
  <c r="G110" i="1"/>
  <c r="J229" i="1"/>
  <c r="H230" i="1"/>
  <c r="G235" i="1"/>
  <c r="L230" i="4" l="1"/>
  <c r="N229" i="4"/>
  <c r="L234" i="4"/>
  <c r="J270" i="4"/>
  <c r="K110" i="4"/>
  <c r="I229" i="2"/>
  <c r="H110" i="2"/>
  <c r="H235" i="2"/>
  <c r="G270" i="2"/>
  <c r="I234" i="2"/>
  <c r="K229" i="1"/>
  <c r="G270" i="1"/>
  <c r="I234" i="1"/>
  <c r="H110" i="1"/>
  <c r="I230" i="1"/>
  <c r="H235" i="1"/>
  <c r="K270" i="4" l="1"/>
  <c r="M234" i="4"/>
  <c r="L110" i="4"/>
  <c r="O229" i="4"/>
  <c r="M230" i="4"/>
  <c r="H270" i="2"/>
  <c r="J234" i="2"/>
  <c r="I110" i="2"/>
  <c r="J229" i="2"/>
  <c r="H270" i="1"/>
  <c r="J234" i="1"/>
  <c r="I110" i="1"/>
  <c r="L229" i="1"/>
  <c r="J230" i="1"/>
  <c r="N230" i="4" l="1"/>
  <c r="P229" i="4"/>
  <c r="L270" i="4"/>
  <c r="N234" i="4"/>
  <c r="M110" i="4"/>
  <c r="J110" i="2"/>
  <c r="K229" i="2"/>
  <c r="K234" i="2"/>
  <c r="I270" i="2"/>
  <c r="K234" i="1"/>
  <c r="I270" i="1"/>
  <c r="J110" i="1"/>
  <c r="M229" i="1"/>
  <c r="K230" i="1"/>
  <c r="M270" i="4" l="1"/>
  <c r="O234" i="4"/>
  <c r="N110" i="4"/>
  <c r="O230" i="4"/>
  <c r="L234" i="2"/>
  <c r="J270" i="2"/>
  <c r="K110" i="2"/>
  <c r="L229" i="2"/>
  <c r="N229" i="1"/>
  <c r="L230" i="1"/>
  <c r="J270" i="1"/>
  <c r="L234" i="1"/>
  <c r="K110" i="1"/>
  <c r="P230" i="4" l="1"/>
  <c r="N270" i="4"/>
  <c r="P234" i="4"/>
  <c r="O270" i="4" s="1"/>
  <c r="O110" i="4"/>
  <c r="M229" i="2"/>
  <c r="L110" i="2"/>
  <c r="K270" i="2"/>
  <c r="M234" i="2"/>
  <c r="M234" i="1"/>
  <c r="K270" i="1"/>
  <c r="L110" i="1"/>
  <c r="M230" i="1"/>
  <c r="O229" i="1"/>
  <c r="AH110" i="4" l="1"/>
  <c r="AI110" i="4"/>
  <c r="L270" i="2"/>
  <c r="N234" i="2"/>
  <c r="N229" i="2"/>
  <c r="M110" i="2"/>
  <c r="P229" i="1"/>
  <c r="N230" i="1"/>
  <c r="L270" i="1"/>
  <c r="N234" i="1"/>
  <c r="M110" i="1"/>
  <c r="O229" i="2" l="1"/>
  <c r="N110" i="2"/>
  <c r="M270" i="2"/>
  <c r="O234" i="2"/>
  <c r="M270" i="1"/>
  <c r="O234" i="1"/>
  <c r="N110" i="1"/>
  <c r="O230" i="1"/>
  <c r="N270" i="2" l="1"/>
  <c r="P234" i="2"/>
  <c r="O270" i="2" s="1"/>
  <c r="P229" i="2"/>
  <c r="O110" i="2"/>
  <c r="P230" i="1"/>
  <c r="N270" i="1"/>
  <c r="P234" i="1"/>
  <c r="O270" i="1" s="1"/>
  <c r="O110" i="1"/>
  <c r="AH110" i="2" l="1"/>
  <c r="AI110" i="2"/>
  <c r="AI110" i="1"/>
  <c r="AH110" i="1"/>
  <c r="AH111" i="7" l="1"/>
  <c r="C110" i="7"/>
  <c r="AI111" i="7"/>
  <c r="AI110" i="7" l="1"/>
  <c r="AH110" i="7"/>
  <c r="AH11" i="7"/>
  <c r="AI11" i="7"/>
  <c r="Z89" i="7"/>
  <c r="AH89" i="7" s="1"/>
  <c r="Z50" i="7"/>
  <c r="AI50" i="7" s="1"/>
  <c r="AI89" i="7" l="1"/>
  <c r="AH50" i="7"/>
  <c r="Z91" i="7"/>
  <c r="AR249" i="7" l="1"/>
  <c r="Z92" i="7"/>
  <c r="Z7" i="7"/>
  <c r="A7" i="7" s="1"/>
  <c r="AI91" i="7"/>
  <c r="AH91" i="7"/>
  <c r="AI92" i="7" l="1"/>
  <c r="AH92" i="7"/>
  <c r="AE50" i="16"/>
  <c r="AE89" i="16" s="1"/>
  <c r="AI50" i="16"/>
  <c r="AH11" i="16"/>
  <c r="AI11" i="16"/>
  <c r="AH50" i="16" l="1"/>
  <c r="AE91" i="16"/>
  <c r="AI89" i="16"/>
  <c r="AH89" i="16"/>
  <c r="AH91" i="16" l="1"/>
  <c r="AI91" i="16"/>
  <c r="AE7" i="16"/>
  <c r="A7" i="16" s="1"/>
  <c r="AE92" i="16"/>
  <c r="AW249" i="16"/>
  <c r="AI92" i="16" l="1"/>
  <c r="AH92" i="16"/>
  <c r="P235" i="34" l="1"/>
  <c r="P231" i="34"/>
  <c r="P235" i="30"/>
  <c r="P231" i="30"/>
  <c r="O235" i="11"/>
  <c r="O231" i="34"/>
  <c r="O235" i="34"/>
  <c r="N235" i="7"/>
  <c r="J235" i="20"/>
  <c r="M235" i="7"/>
  <c r="L235" i="24"/>
  <c r="J235" i="27"/>
  <c r="N235" i="17"/>
  <c r="O235" i="35"/>
  <c r="K235" i="11"/>
  <c r="K235" i="16"/>
  <c r="M235" i="30"/>
  <c r="P235" i="5"/>
  <c r="P231" i="5"/>
  <c r="L235" i="4"/>
  <c r="K235" i="28"/>
  <c r="M235" i="13"/>
  <c r="N235" i="10"/>
  <c r="M235" i="29"/>
  <c r="M235" i="35"/>
  <c r="L235" i="9"/>
  <c r="J235" i="28"/>
  <c r="J235" i="36"/>
  <c r="M235" i="23"/>
  <c r="L235" i="25"/>
  <c r="O235" i="23"/>
  <c r="P235" i="16"/>
  <c r="P231" i="16"/>
  <c r="P235" i="27"/>
  <c r="P231" i="27"/>
  <c r="J235" i="31"/>
  <c r="P235" i="25"/>
  <c r="P231" i="25"/>
  <c r="J235" i="1"/>
  <c r="M235" i="5"/>
  <c r="P235" i="36"/>
  <c r="P231" i="36"/>
  <c r="O235" i="24"/>
  <c r="M235" i="34"/>
  <c r="M235" i="1"/>
  <c r="J235" i="17"/>
  <c r="L235" i="12"/>
  <c r="K235" i="7"/>
  <c r="N235" i="9"/>
  <c r="L235" i="7"/>
  <c r="J235" i="7"/>
  <c r="J235" i="29"/>
  <c r="K235" i="5"/>
  <c r="O231" i="25"/>
  <c r="O235" i="25"/>
  <c r="O231" i="35"/>
  <c r="P231" i="35"/>
  <c r="P235" i="35"/>
  <c r="K235" i="12"/>
  <c r="L235" i="17"/>
  <c r="N231" i="25"/>
  <c r="N235" i="25"/>
  <c r="J235" i="24"/>
  <c r="N235" i="24"/>
  <c r="K235" i="6"/>
  <c r="N235" i="21"/>
  <c r="M235" i="37"/>
  <c r="P235" i="19"/>
  <c r="P231" i="19"/>
  <c r="O231" i="36"/>
  <c r="O235" i="36"/>
  <c r="N231" i="24"/>
  <c r="O231" i="24"/>
  <c r="P231" i="24"/>
  <c r="P235" i="24"/>
  <c r="P235" i="26"/>
  <c r="P231" i="26"/>
  <c r="L235" i="31"/>
  <c r="O235" i="10"/>
  <c r="M235" i="21"/>
  <c r="L231" i="25"/>
  <c r="M231" i="25"/>
  <c r="M235" i="25"/>
  <c r="J235" i="30"/>
  <c r="K235" i="21"/>
  <c r="J235" i="9"/>
  <c r="K235" i="31"/>
  <c r="O231" i="11"/>
  <c r="P231" i="11"/>
  <c r="P235" i="11"/>
  <c r="M235" i="17"/>
  <c r="L235" i="35"/>
  <c r="J235" i="34"/>
  <c r="N235" i="22"/>
  <c r="J235" i="32"/>
  <c r="N235" i="4"/>
  <c r="O235" i="22"/>
  <c r="J235" i="19"/>
  <c r="N231" i="10"/>
  <c r="O231" i="10"/>
  <c r="P231" i="10"/>
  <c r="P235" i="10"/>
  <c r="O231" i="23"/>
  <c r="P231" i="23"/>
  <c r="P235" i="23"/>
  <c r="L235" i="27"/>
  <c r="K235" i="2"/>
  <c r="K235" i="36"/>
  <c r="M235" i="20"/>
  <c r="O235" i="21"/>
  <c r="N235" i="30"/>
  <c r="K235" i="37"/>
  <c r="O231" i="19"/>
  <c r="O235" i="19"/>
  <c r="N235" i="1"/>
  <c r="L231" i="35"/>
  <c r="M231" i="35"/>
  <c r="N231" i="35"/>
  <c r="N235" i="35"/>
  <c r="P235" i="7"/>
  <c r="P231" i="7"/>
  <c r="M231" i="34"/>
  <c r="N231" i="34"/>
  <c r="N235" i="34"/>
  <c r="O231" i="26"/>
  <c r="O235" i="26"/>
  <c r="O235" i="32"/>
  <c r="J235" i="25"/>
  <c r="L235" i="22"/>
  <c r="L235" i="5"/>
  <c r="K235" i="30"/>
  <c r="L235" i="20"/>
  <c r="O235" i="31"/>
  <c r="P235" i="8"/>
  <c r="P231" i="8"/>
  <c r="L235" i="8"/>
  <c r="P235" i="20"/>
  <c r="P231" i="20"/>
  <c r="K235" i="4"/>
  <c r="M235" i="33"/>
  <c r="N235" i="15"/>
  <c r="M235" i="18"/>
  <c r="K235" i="23"/>
  <c r="L235" i="23"/>
  <c r="K235" i="32"/>
  <c r="L235" i="32"/>
  <c r="K235" i="9"/>
  <c r="O231" i="5"/>
  <c r="O235" i="5"/>
  <c r="K231" i="23"/>
  <c r="L231" i="23"/>
  <c r="M231" i="23"/>
  <c r="N231" i="23"/>
  <c r="N235" i="23"/>
  <c r="K231" i="5"/>
  <c r="L231" i="5"/>
  <c r="M231" i="5"/>
  <c r="N231" i="5"/>
  <c r="N235" i="5"/>
  <c r="M231" i="21"/>
  <c r="N231" i="21"/>
  <c r="O231" i="21"/>
  <c r="P231" i="21"/>
  <c r="P235" i="21"/>
  <c r="M235" i="9"/>
  <c r="K231" i="35"/>
  <c r="K235" i="35"/>
  <c r="N235" i="31"/>
  <c r="K235" i="13"/>
  <c r="J235" i="26"/>
  <c r="O231" i="32"/>
  <c r="P231" i="32"/>
  <c r="P235" i="32"/>
  <c r="N235" i="33"/>
  <c r="N231" i="36"/>
  <c r="N235" i="36"/>
  <c r="N235" i="13"/>
  <c r="J235" i="12"/>
  <c r="J235" i="18"/>
  <c r="J235" i="37"/>
  <c r="N235" i="2"/>
  <c r="N231" i="31"/>
  <c r="O231" i="31"/>
  <c r="P231" i="31"/>
  <c r="P235" i="31"/>
  <c r="P235" i="28"/>
  <c r="P231" i="28"/>
  <c r="L235" i="18"/>
  <c r="P235" i="6"/>
  <c r="P231" i="6"/>
  <c r="K235" i="33"/>
  <c r="P235" i="4"/>
  <c r="P231" i="4"/>
  <c r="K235" i="26"/>
  <c r="I235" i="25"/>
  <c r="I231" i="25"/>
  <c r="J231" i="25"/>
  <c r="K231" i="25"/>
  <c r="K235" i="25"/>
  <c r="M235" i="11"/>
  <c r="K235" i="29"/>
  <c r="O235" i="13"/>
  <c r="N235" i="8"/>
  <c r="L235" i="26"/>
  <c r="P235" i="2"/>
  <c r="P231" i="2"/>
  <c r="M235" i="16"/>
  <c r="P235" i="37"/>
  <c r="P231" i="37"/>
  <c r="K231" i="21"/>
  <c r="L231" i="21"/>
  <c r="L235" i="21"/>
  <c r="N231" i="4"/>
  <c r="O231" i="4"/>
  <c r="O235" i="4"/>
  <c r="P235" i="12"/>
  <c r="P231" i="12"/>
  <c r="O235" i="18"/>
  <c r="M235" i="8"/>
  <c r="O231" i="28"/>
  <c r="O235" i="28"/>
  <c r="N231" i="28"/>
  <c r="N235" i="28"/>
  <c r="M235" i="6"/>
  <c r="J235" i="8"/>
  <c r="O231" i="18"/>
  <c r="P231" i="18"/>
  <c r="P235" i="18"/>
  <c r="N235" i="29"/>
  <c r="O231" i="27"/>
  <c r="O235" i="27"/>
  <c r="O231" i="6"/>
  <c r="O235" i="6"/>
  <c r="L235" i="30"/>
  <c r="L235" i="11"/>
  <c r="L235" i="29"/>
  <c r="O231" i="37"/>
  <c r="O235" i="37"/>
  <c r="J235" i="33"/>
  <c r="M231" i="6"/>
  <c r="N231" i="6"/>
  <c r="N235" i="6"/>
  <c r="O235" i="17"/>
  <c r="L231" i="8"/>
  <c r="M231" i="8"/>
  <c r="N231" i="8"/>
  <c r="O231" i="8"/>
  <c r="O235" i="8"/>
  <c r="M235" i="2"/>
  <c r="L235" i="13"/>
  <c r="K235" i="27"/>
  <c r="M231" i="37"/>
  <c r="N231" i="37"/>
  <c r="N235" i="37"/>
  <c r="L235" i="19"/>
  <c r="O231" i="16"/>
  <c r="O235" i="16"/>
  <c r="N231" i="22"/>
  <c r="O231" i="22"/>
  <c r="P231" i="22"/>
  <c r="P235" i="22"/>
  <c r="M231" i="28"/>
  <c r="M235" i="28"/>
  <c r="K235" i="18"/>
  <c r="O235" i="33"/>
  <c r="I235" i="5"/>
  <c r="I231" i="5"/>
  <c r="J231" i="5"/>
  <c r="J235" i="5"/>
  <c r="K235" i="19"/>
  <c r="J235" i="15"/>
  <c r="L235" i="16"/>
  <c r="L231" i="17"/>
  <c r="M231" i="17"/>
  <c r="N231" i="17"/>
  <c r="O231" i="17"/>
  <c r="P231" i="17"/>
  <c r="P235" i="17"/>
  <c r="J235" i="4"/>
  <c r="N231" i="32"/>
  <c r="N235" i="32"/>
  <c r="O235" i="29"/>
  <c r="K235" i="1"/>
  <c r="K235" i="24"/>
  <c r="J235" i="22"/>
  <c r="O235" i="9"/>
  <c r="I235" i="23"/>
  <c r="I231" i="23"/>
  <c r="J231" i="23"/>
  <c r="J235" i="23"/>
  <c r="N231" i="27"/>
  <c r="N235" i="27"/>
  <c r="M231" i="36"/>
  <c r="M235" i="36"/>
  <c r="L235" i="1"/>
  <c r="J235" i="10"/>
  <c r="L235" i="10"/>
  <c r="N231" i="26"/>
  <c r="N235" i="26"/>
  <c r="I235" i="31"/>
  <c r="I231" i="31"/>
  <c r="J231" i="31"/>
  <c r="K231" i="31"/>
  <c r="L231" i="31"/>
  <c r="M231" i="31"/>
  <c r="M235" i="31"/>
  <c r="I235" i="30"/>
  <c r="I231" i="30"/>
  <c r="J231" i="30"/>
  <c r="K231" i="30"/>
  <c r="L231" i="30"/>
  <c r="M231" i="30"/>
  <c r="N231" i="30"/>
  <c r="O231" i="30"/>
  <c r="O235" i="30"/>
  <c r="I235" i="4"/>
  <c r="I231" i="4"/>
  <c r="J231" i="4"/>
  <c r="K231" i="4"/>
  <c r="L231" i="4"/>
  <c r="M231" i="4"/>
  <c r="M235" i="4"/>
  <c r="I235" i="35"/>
  <c r="I231" i="35"/>
  <c r="J231" i="35"/>
  <c r="J235" i="35"/>
  <c r="I235" i="37"/>
  <c r="I231" i="37"/>
  <c r="J231" i="37"/>
  <c r="K231" i="37"/>
  <c r="L231" i="37"/>
  <c r="L235" i="37"/>
  <c r="L235" i="33"/>
  <c r="J235" i="13"/>
  <c r="L235" i="15"/>
  <c r="O231" i="12"/>
  <c r="O235" i="12"/>
  <c r="N231" i="12"/>
  <c r="N235" i="12"/>
  <c r="K231" i="11"/>
  <c r="L231" i="11"/>
  <c r="M231" i="11"/>
  <c r="N231" i="11"/>
  <c r="N235" i="11"/>
  <c r="I235" i="33"/>
  <c r="I231" i="33"/>
  <c r="J231" i="33"/>
  <c r="K231" i="33"/>
  <c r="L231" i="33"/>
  <c r="M231" i="33"/>
  <c r="N231" i="33"/>
  <c r="O231" i="33"/>
  <c r="P231" i="33"/>
  <c r="P235" i="33"/>
  <c r="I235" i="28"/>
  <c r="I231" i="28"/>
  <c r="J231" i="28"/>
  <c r="K231" i="28"/>
  <c r="L231" i="28"/>
  <c r="L235" i="28"/>
  <c r="L231" i="22"/>
  <c r="M231" i="22"/>
  <c r="M235" i="22"/>
  <c r="N231" i="19"/>
  <c r="N235" i="19"/>
  <c r="J235" i="2"/>
  <c r="I235" i="24"/>
  <c r="I231" i="24"/>
  <c r="J231" i="24"/>
  <c r="K231" i="24"/>
  <c r="L231" i="24"/>
  <c r="M231" i="24"/>
  <c r="M235" i="24"/>
  <c r="P235" i="15"/>
  <c r="P231" i="15"/>
  <c r="K231" i="6"/>
  <c r="L231" i="6"/>
  <c r="L235" i="6"/>
  <c r="I235" i="32"/>
  <c r="I231" i="32"/>
  <c r="J231" i="32"/>
  <c r="K231" i="32"/>
  <c r="L231" i="32"/>
  <c r="M231" i="32"/>
  <c r="M235" i="32"/>
  <c r="I235" i="29"/>
  <c r="I231" i="29"/>
  <c r="J231" i="29"/>
  <c r="K231" i="29"/>
  <c r="L231" i="29"/>
  <c r="M231" i="29"/>
  <c r="N231" i="29"/>
  <c r="O231" i="29"/>
  <c r="P231" i="29"/>
  <c r="P235" i="29"/>
  <c r="I235" i="12"/>
  <c r="I231" i="12"/>
  <c r="J231" i="12"/>
  <c r="K231" i="12"/>
  <c r="L231" i="12"/>
  <c r="M231" i="12"/>
  <c r="M235" i="12"/>
  <c r="I235" i="18"/>
  <c r="I231" i="18"/>
  <c r="J231" i="18"/>
  <c r="K231" i="18"/>
  <c r="L231" i="18"/>
  <c r="M231" i="18"/>
  <c r="N231" i="18"/>
  <c r="N235" i="18"/>
  <c r="K235" i="20"/>
  <c r="I235" i="9"/>
  <c r="I231" i="9"/>
  <c r="J231" i="9"/>
  <c r="K231" i="9"/>
  <c r="L231" i="9"/>
  <c r="M231" i="9"/>
  <c r="N231" i="9"/>
  <c r="O231" i="9"/>
  <c r="P231" i="9"/>
  <c r="P235" i="9"/>
  <c r="K231" i="16"/>
  <c r="L231" i="16"/>
  <c r="M231" i="16"/>
  <c r="N231" i="16"/>
  <c r="N235" i="16"/>
  <c r="I235" i="27"/>
  <c r="I231" i="27"/>
  <c r="J231" i="27"/>
  <c r="K231" i="27"/>
  <c r="L231" i="27"/>
  <c r="M231" i="27"/>
  <c r="M235" i="27"/>
  <c r="L235" i="2"/>
  <c r="I235" i="19"/>
  <c r="I231" i="19"/>
  <c r="J231" i="19"/>
  <c r="K231" i="19"/>
  <c r="L231" i="19"/>
  <c r="M231" i="19"/>
  <c r="M235" i="19"/>
  <c r="I235" i="36"/>
  <c r="I231" i="36"/>
  <c r="J231" i="36"/>
  <c r="K231" i="36"/>
  <c r="L231" i="36"/>
  <c r="L235" i="36"/>
  <c r="N235" i="20"/>
  <c r="K235" i="34"/>
  <c r="I235" i="26"/>
  <c r="I231" i="26"/>
  <c r="J231" i="26"/>
  <c r="K231" i="26"/>
  <c r="L231" i="26"/>
  <c r="M231" i="26"/>
  <c r="M235" i="26"/>
  <c r="I235" i="17"/>
  <c r="I231" i="17"/>
  <c r="J231" i="17"/>
  <c r="K231" i="17"/>
  <c r="K235" i="17"/>
  <c r="M235" i="15"/>
  <c r="O235" i="1"/>
  <c r="I235" i="34"/>
  <c r="I231" i="34"/>
  <c r="J231" i="34"/>
  <c r="K231" i="34"/>
  <c r="L231" i="34"/>
  <c r="L235" i="34"/>
  <c r="I235" i="7"/>
  <c r="I231" i="7"/>
  <c r="J231" i="7"/>
  <c r="K231" i="7"/>
  <c r="L231" i="7"/>
  <c r="M231" i="7"/>
  <c r="N231" i="7"/>
  <c r="O231" i="7"/>
  <c r="O235" i="7"/>
  <c r="I235" i="16"/>
  <c r="I231" i="16"/>
  <c r="J231" i="16"/>
  <c r="J235" i="16"/>
  <c r="I235" i="11"/>
  <c r="I231" i="11"/>
  <c r="J231" i="11"/>
  <c r="J235" i="11"/>
  <c r="K235" i="15"/>
  <c r="L231" i="10"/>
  <c r="M231" i="10"/>
  <c r="M235" i="10"/>
  <c r="I235" i="13"/>
  <c r="I231" i="13"/>
  <c r="J231" i="13"/>
  <c r="K231" i="13"/>
  <c r="L231" i="13"/>
  <c r="M231" i="13"/>
  <c r="N231" i="13"/>
  <c r="O231" i="13"/>
  <c r="P231" i="13"/>
  <c r="P235" i="13"/>
  <c r="I235" i="1"/>
  <c r="I231" i="1"/>
  <c r="J231" i="1"/>
  <c r="K231" i="1"/>
  <c r="L231" i="1"/>
  <c r="M231" i="1"/>
  <c r="N231" i="1"/>
  <c r="O231" i="1"/>
  <c r="P231" i="1"/>
  <c r="P235" i="1"/>
  <c r="I235" i="8"/>
  <c r="I231" i="8"/>
  <c r="J231" i="8"/>
  <c r="K231" i="8"/>
  <c r="K235" i="8"/>
  <c r="I235" i="2"/>
  <c r="I231" i="2"/>
  <c r="J231" i="2"/>
  <c r="K231" i="2"/>
  <c r="L231" i="2"/>
  <c r="M231" i="2"/>
  <c r="N231" i="2"/>
  <c r="O231" i="2"/>
  <c r="O235" i="2"/>
  <c r="I235" i="20"/>
  <c r="I231" i="20"/>
  <c r="J231" i="20"/>
  <c r="K231" i="20"/>
  <c r="L231" i="20"/>
  <c r="M231" i="20"/>
  <c r="N231" i="20"/>
  <c r="O231" i="20"/>
  <c r="O235" i="20"/>
  <c r="I235" i="22"/>
  <c r="I231" i="22"/>
  <c r="J231" i="22"/>
  <c r="K231" i="22"/>
  <c r="K235" i="22"/>
  <c r="I235" i="6"/>
  <c r="I231" i="6"/>
  <c r="J231" i="6"/>
  <c r="J235" i="6"/>
  <c r="I235" i="10"/>
  <c r="I231" i="10"/>
  <c r="J231" i="10"/>
  <c r="K231" i="10"/>
  <c r="K235" i="10"/>
  <c r="I235" i="21"/>
  <c r="I231" i="21"/>
  <c r="J231" i="21"/>
  <c r="J235" i="21"/>
  <c r="I235" i="15"/>
  <c r="I231" i="15"/>
  <c r="J231" i="15"/>
  <c r="K231" i="15"/>
  <c r="L231" i="15"/>
  <c r="M231" i="15"/>
  <c r="N231" i="15"/>
  <c r="O231" i="15"/>
  <c r="O23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1509E38-49C3-461E-80A2-1EB956DA991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39BC3B8-9EB4-4669-90FD-F5F363B147D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6525DD7-0679-4442-B8D3-CB48A983023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B615346-39F2-47A2-A60D-31DA26AB030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E77FBC0-AED8-4513-952C-184B01CE1F6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26C8EE4-3B9F-4A82-9FD6-94716C96744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C9B9300-A407-4D7E-B1C9-0EBA9A66F5D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203687E-42F1-45D2-86DA-85D1754A536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7BA4C49-FF19-437E-B02B-E4B07D1756E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E2CDBB5-9915-4778-A1A4-7392309FDB6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F092AC3-2029-4E50-9E23-3A790B9BAFC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C84C48A-392F-4711-A12A-7FD21DD1A25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4927E8CE-CCF9-44E6-9D00-21367FF2BBC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5A50111-6CC0-4DA5-9655-8C431232817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6BAB840-A199-495A-AEEA-F332CEB38C5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3141F1F-ADBC-4C73-AA73-C07F586C46A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C55B862-E296-45F7-B01A-2DF41045F43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1602520-5039-4765-BC5C-30FB9453E7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9E67DF0-46B1-4817-96FA-575CC65A136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CEBA670-8D29-4EAF-BFFB-0A25249E17E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60F0423-495F-4A15-901F-A5851404AE8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BAD2DF8-38B2-4535-8AD2-E2D16384994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0975370-2AE7-4FA2-BDA4-17448CD8108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713E501-E3B1-4A14-A6B1-C15693198E1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FD0CA39-AF0C-484D-9278-88E79F4BFAB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A970388-6061-403F-AC93-32C1BBC703D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627B4EF-8376-40DF-9480-FFE339CEA7E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C2D37DE-7B19-478E-80CC-E71C2DA91C8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20AA214-50CE-4CCA-84FF-9E954536A36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2D89D77-2565-4C38-9EE3-4685E6C60FE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022D8D6-B11F-4101-9D3F-12AC9DF3E51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46DD7D49-5757-40D8-8410-D7ECA9AF632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37291D3-18F2-4F10-9182-8B259C7FE03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47C39C8-ED38-4886-B4A0-F5DF8625488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74FFC46-50A1-40A7-9313-E5484E2E5EF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<sst xmlns="http://schemas.openxmlformats.org/spreadsheetml/2006/main" count="9615" uniqueCount="303">
  <si>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</si>
  <si>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</si>
  <si>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</si>
  <si>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</si>
  <si>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</si>
  <si>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</si>
  <si>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</si>
  <si>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</si>
  <si>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</si>
  <si>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</si>
  <si>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</si>
  <si>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</si>
  <si>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</si>
  <si>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</si>
  <si>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</si>
  <si>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</si>
  <si>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</si>
  <si>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</si>
  <si>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</si>
  <si>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Solu Khola Dudhkoshi(86)</t>
  </si>
  <si>
    <t>Super Dordi (54)</t>
  </si>
  <si>
    <t>Likhu-IV(52.4)</t>
  </si>
  <si>
    <t>Upper Marsyangdi "A"(50)</t>
  </si>
  <si>
    <t>Upper Bhotekoshi Khola(45)</t>
  </si>
  <si>
    <t>Super Madi ( 44 )</t>
  </si>
  <si>
    <t>Mistri Khola(42)</t>
  </si>
  <si>
    <t>Upper Kalanga Gad(38.46)</t>
  </si>
  <si>
    <t>Upper Balefi (36)</t>
  </si>
  <si>
    <t>Nyadi(30)</t>
  </si>
  <si>
    <t>Likhu Khola A(29.04)</t>
  </si>
  <si>
    <t>Lower Likhu(28)</t>
  </si>
  <si>
    <t>Dordi(27)</t>
  </si>
  <si>
    <t>Upper Madi(25)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</si>
  <si>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</si>
  <si>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</si>
  <si>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</si>
  <si>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</si>
  <si>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</si>
  <si>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</si>
  <si>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</si>
  <si>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</si>
  <si>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</si>
  <si>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Middle Modi (18)</t>
  </si>
  <si>
    <t>Kalanga Gad(15.33)</t>
  </si>
  <si>
    <t>Hewa Khola A(14.9)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</si>
  <si>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</si>
  <si>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</si>
  <si>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</si>
  <si>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</si>
  <si>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</si>
  <si>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</si>
  <si>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</si>
  <si>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</si>
  <si>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</si>
  <si>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Makari Gad(10.0)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</si>
  <si>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</si>
  <si>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</si>
  <si>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</si>
  <si>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</si>
  <si>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</si>
  <si>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</si>
  <si>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</si>
  <si>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</si>
  <si>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</si>
  <si>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</si>
  <si>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</si>
  <si>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</si>
  <si>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</si>
  <si>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</si>
  <si>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</si>
  <si>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</si>
  <si>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</si>
  <si>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</si>
  <si>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</si>
  <si>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</si>
  <si>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</si>
  <si>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</si>
  <si>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</si>
  <si>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</si>
  <si>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</si>
  <si>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</si>
  <si>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</si>
  <si>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</si>
  <si>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</si>
  <si>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</si>
  <si>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</si>
  <si>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</si>
  <si>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</si>
  <si>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 xml:space="preserve">UTK Discharge Test </t>
  </si>
  <si>
    <t>JALESHWOR(33kV)</t>
  </si>
  <si>
    <t>RAJBIRAJ(33kV)</t>
  </si>
  <si>
    <t>Line1</t>
  </si>
  <si>
    <t>RAXAUL(33kV)</t>
  </si>
  <si>
    <t>Line 2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</si>
  <si>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</si>
  <si>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</si>
  <si>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</si>
  <si>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</si>
  <si>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</si>
  <si>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</si>
  <si>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</si>
  <si>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</si>
  <si>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</si>
  <si>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</si>
  <si>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</si>
  <si>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</si>
  <si>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</si>
  <si>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</si>
  <si>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</si>
  <si>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</si>
  <si>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</si>
  <si>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</si>
  <si>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</si>
  <si>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</si>
  <si>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</si>
  <si>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</si>
  <si>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</si>
  <si>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/>
  </si>
  <si>
    <t>Kathmandu Load</t>
  </si>
  <si>
    <t>MRS-SYU</t>
  </si>
  <si>
    <t>NMRS-MATA</t>
  </si>
  <si>
    <t>KL2-MATA</t>
  </si>
  <si>
    <t>KL1-SYU</t>
  </si>
  <si>
    <t>KHIMTI-LAMOSAGU</t>
  </si>
  <si>
    <t>DHALKE-CHAPUR I</t>
  </si>
  <si>
    <t>NBHARATPUR-BARDGHAT</t>
  </si>
  <si>
    <t>DAMAK-DUHABI</t>
  </si>
  <si>
    <t>Hetauda-Kamane</t>
  </si>
  <si>
    <t>DHALKE-MIRCHAIYA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</si>
  <si>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</si>
  <si>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</si>
  <si>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</si>
  <si>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</si>
  <si>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</si>
  <si>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</si>
  <si>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</si>
  <si>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</si>
  <si>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</si>
  <si>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</si>
  <si>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</si>
  <si>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</si>
  <si>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</si>
  <si>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</si>
  <si>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</si>
  <si>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</si>
  <si>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</si>
  <si>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</si>
  <si>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</si>
  <si>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</si>
  <si>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</si>
  <si>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</si>
  <si>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</si>
  <si>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</si>
  <si>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</si>
  <si>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</si>
  <si>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</si>
  <si>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</si>
  <si>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</si>
  <si>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</si>
  <si>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</si>
  <si>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</si>
  <si>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</si>
  <si>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</si>
  <si>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</si>
  <si>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</si>
  <si>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</si>
  <si>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</si>
  <si>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</si>
  <si>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</si>
  <si>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</si>
  <si>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</si>
  <si>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</si>
  <si>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</si>
  <si>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</si>
  <si>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</si>
  <si>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</si>
  <si>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</si>
  <si>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</si>
  <si>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</si>
  <si>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</si>
  <si>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</si>
  <si>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</si>
  <si>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</si>
  <si>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</si>
  <si>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</si>
  <si>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</si>
  <si>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</si>
  <si>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</si>
  <si>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</si>
  <si>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</si>
  <si>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</si>
  <si>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</si>
  <si>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</si>
  <si>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</si>
  <si>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</si>
  <si>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</si>
  <si>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</si>
  <si>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</si>
  <si>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</si>
  <si>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</si>
  <si>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</si>
  <si>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</si>
  <si>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</si>
  <si>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</si>
  <si>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</si>
  <si>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</si>
  <si>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</si>
  <si>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</si>
  <si>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</si>
  <si>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</si>
  <si>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</si>
  <si>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</si>
  <si>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</si>
  <si>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</si>
  <si>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</si>
  <si>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</si>
  <si>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</si>
  <si>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</si>
  <si>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</si>
  <si>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</si>
  <si>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</si>
  <si>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</si>
  <si>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</si>
  <si>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</si>
  <si>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</si>
  <si>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</si>
  <si>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</si>
  <si>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</si>
  <si>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</si>
  <si>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</si>
  <si>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</si>
  <si>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</si>
  <si>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</si>
  <si>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</si>
  <si>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</si>
  <si>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</si>
  <si>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</si>
  <si>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</si>
  <si>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</si>
  <si>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</si>
  <si>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</si>
  <si>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</si>
  <si>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</si>
  <si>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</si>
  <si>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</si>
  <si>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</si>
  <si>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</si>
  <si>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</si>
  <si>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</si>
  <si>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</si>
  <si>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</si>
  <si>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</si>
  <si>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</si>
  <si>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</si>
  <si>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</si>
  <si>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</si>
  <si>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</si>
  <si>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</si>
  <si>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az</t>
  </si>
  <si>
    <t xml:space="preserve"> </t>
  </si>
  <si>
    <t>S</t>
  </si>
  <si>
    <t>D</t>
  </si>
  <si>
    <t>y</t>
  </si>
  <si>
    <t>s</t>
  </si>
  <si>
    <t>t</t>
  </si>
  <si>
    <t>e</t>
  </si>
  <si>
    <t>m</t>
  </si>
  <si>
    <t>i</t>
  </si>
  <si>
    <t>u</t>
  </si>
  <si>
    <t>r</t>
  </si>
  <si>
    <t>b</t>
  </si>
  <si>
    <t>124..4</t>
  </si>
  <si>
    <t>PN</t>
  </si>
  <si>
    <t>o</t>
  </si>
  <si>
    <t>a</t>
  </si>
  <si>
    <t>l</t>
  </si>
  <si>
    <t>d</t>
  </si>
  <si>
    <t>L</t>
  </si>
  <si>
    <t>M</t>
  </si>
  <si>
    <t>T</t>
  </si>
  <si>
    <t>Y</t>
  </si>
  <si>
    <t>E</t>
  </si>
  <si>
    <t>A</t>
  </si>
  <si>
    <t>C</t>
  </si>
  <si>
    <t>O</t>
  </si>
  <si>
    <t>P</t>
  </si>
  <si>
    <t>.</t>
  </si>
  <si>
    <t>Sdordi</t>
  </si>
  <si>
    <t>udordi</t>
  </si>
  <si>
    <t>dordi27</t>
  </si>
  <si>
    <t>dordi 12</t>
  </si>
  <si>
    <t xml:space="preserve">ANARMANI 132KV </t>
  </si>
  <si>
    <t>Dordi(12)</t>
  </si>
  <si>
    <t>U</t>
  </si>
  <si>
    <t>B</t>
  </si>
  <si>
    <t>I</t>
  </si>
  <si>
    <t>R</t>
  </si>
  <si>
    <t>19.1=16.1</t>
  </si>
  <si>
    <t>49.973.</t>
  </si>
  <si>
    <t>63..1</t>
  </si>
  <si>
    <t>63..2</t>
  </si>
  <si>
    <t>S/D taken by upper chameliya</t>
  </si>
  <si>
    <t>29*.3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</si>
</sst>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1"/>
      <name val="Times New Roman"/>
      <family val="1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0" fontId="34" fillId="0" borderId="0"/>
    <xf numFmtId="164" fontId="1" fillId="0" borderId="0"/>
  </cellStyleXfs>
  <cellXfs count="223">
    <xf numFmtId="0" fontId="0" fillId="0" borderId="0" xfId="0"/>
    <xf numFmtId="164" fontId="1" fillId="0" borderId="0" xfId="2"/>
    <xf numFmtId="164" fontId="1" fillId="0" borderId="0" xfId="2" applyProtection="1">
      <protection locked="0"/>
    </xf>
    <xf numFmtId="164" fontId="6" fillId="0" borderId="0" xfId="2" applyFont="1" applyAlignment="1">
      <alignment vertical="center"/>
    </xf>
    <xf numFmtId="164" fontId="7" fillId="0" borderId="2" xfId="2" applyFont="1" applyBorder="1" applyAlignment="1">
      <alignment vertical="center"/>
    </xf>
    <xf numFmtId="164" fontId="7" fillId="0" borderId="4" xfId="2" applyFont="1" applyBorder="1" applyAlignment="1">
      <alignment vertical="center"/>
    </xf>
    <xf numFmtId="164" fontId="4" fillId="0" borderId="6" xfId="2" applyFont="1" applyBorder="1" applyAlignment="1">
      <alignment horizontal="center" vertical="center"/>
    </xf>
    <xf numFmtId="164" fontId="4" fillId="0" borderId="6" xfId="2" applyFont="1" applyBorder="1" applyAlignment="1">
      <alignment vertical="center"/>
    </xf>
    <xf numFmtId="164" fontId="4" fillId="0" borderId="0" xfId="2" applyFont="1" applyAlignment="1">
      <alignment vertical="center"/>
    </xf>
    <xf numFmtId="14" fontId="8" fillId="0" borderId="0" xfId="2" applyNumberFormat="1" applyFont="1" applyAlignment="1">
      <alignment vertical="center"/>
    </xf>
    <xf numFmtId="43" fontId="9" fillId="3" borderId="0" xfId="1" applyFont="1" applyFill="1" applyAlignment="1">
      <alignment horizontal="center"/>
    </xf>
    <xf numFmtId="164" fontId="9" fillId="3" borderId="0" xfId="2" applyFont="1" applyFill="1"/>
    <xf numFmtId="164" fontId="1" fillId="3" borderId="0" xfId="2" applyFill="1"/>
    <xf numFmtId="164" fontId="10" fillId="0" borderId="0" xfId="2" applyFont="1" applyAlignment="1">
      <alignment horizontal="center" vertical="center"/>
    </xf>
    <xf numFmtId="164" fontId="11" fillId="0" borderId="0" xfId="2" applyFont="1"/>
    <xf numFmtId="164" fontId="12" fillId="0" borderId="0" xfId="2" applyFont="1" applyAlignment="1">
      <alignment vertical="center"/>
    </xf>
    <xf numFmtId="164" fontId="7" fillId="0" borderId="8" xfId="2" applyFont="1" applyBorder="1" applyAlignment="1">
      <alignment vertical="center"/>
    </xf>
    <xf numFmtId="164" fontId="7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3" fillId="0" borderId="0" xfId="2" applyFont="1" applyAlignment="1">
      <alignment horizontal="center" vertical="center"/>
    </xf>
    <xf numFmtId="164" fontId="3" fillId="0" borderId="0" xfId="2" applyFont="1" applyAlignment="1">
      <alignment vertical="center"/>
    </xf>
    <xf numFmtId="164" fontId="12" fillId="0" borderId="0" xfId="2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1" fillId="0" borderId="0" xfId="2" applyNumberFormat="1" applyAlignment="1">
      <alignment horizontal="center" vertical="center"/>
    </xf>
    <xf numFmtId="165" fontId="14" fillId="0" borderId="0" xfId="2" applyNumberFormat="1" applyFont="1"/>
    <xf numFmtId="164" fontId="15" fillId="4" borderId="0" xfId="2" applyFont="1" applyFill="1" applyAlignment="1">
      <alignment horizontal="right" vertical="center"/>
    </xf>
    <xf numFmtId="164" fontId="16" fillId="0" borderId="0" xfId="2" applyFont="1" applyAlignment="1">
      <alignment vertical="center"/>
    </xf>
    <xf numFmtId="164" fontId="17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5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5" fillId="4" borderId="0" xfId="2" applyFont="1" applyFill="1" applyAlignment="1">
      <alignment horizontal="left" vertical="center"/>
    </xf>
    <xf numFmtId="164" fontId="18" fillId="3" borderId="0" xfId="2" applyFont="1" applyFill="1"/>
    <xf numFmtId="164" fontId="19" fillId="0" borderId="0" xfId="2" applyFont="1" applyAlignment="1">
      <alignment horizontal="left" vertical="center"/>
    </xf>
    <xf numFmtId="1" fontId="20" fillId="0" borderId="0" xfId="2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164" fontId="2" fillId="0" borderId="0" xfId="2" applyFont="1"/>
    <xf numFmtId="164" fontId="12" fillId="0" borderId="12" xfId="2" applyFont="1" applyBorder="1" applyAlignment="1">
      <alignment vertical="center"/>
    </xf>
    <xf numFmtId="2" fontId="12" fillId="6" borderId="16" xfId="2" applyNumberFormat="1" applyFont="1" applyFill="1" applyBorder="1" applyAlignment="1">
      <alignment horizontal="center" vertical="center"/>
    </xf>
    <xf numFmtId="164" fontId="18" fillId="0" borderId="0" xfId="2" applyFont="1" applyAlignment="1">
      <alignment horizontal="center"/>
    </xf>
    <xf numFmtId="164" fontId="18" fillId="0" borderId="0" xfId="2" applyFont="1"/>
    <xf numFmtId="164" fontId="18" fillId="0" borderId="0" xfId="2" applyFont="1" applyAlignment="1">
      <alignment horizontal="left"/>
    </xf>
    <xf numFmtId="164" fontId="1" fillId="0" borderId="0" xfId="2" applyAlignment="1">
      <alignment horizontal="center"/>
    </xf>
    <xf numFmtId="164" fontId="12" fillId="0" borderId="24" xfId="2" applyFont="1" applyBorder="1" applyAlignment="1">
      <alignment horizontal="right" vertical="center"/>
    </xf>
    <xf numFmtId="166" fontId="12" fillId="0" borderId="25" xfId="2" applyNumberFormat="1" applyFont="1" applyBorder="1" applyAlignment="1" applyProtection="1">
      <alignment horizontal="center" vertical="center"/>
      <protection locked="0"/>
    </xf>
    <xf numFmtId="169" fontId="12" fillId="0" borderId="25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169" fontId="12" fillId="0" borderId="26" xfId="2" applyNumberFormat="1" applyFont="1" applyBorder="1" applyAlignment="1" applyProtection="1">
      <alignment horizontal="center" vertical="center"/>
      <protection locked="0"/>
    </xf>
    <xf numFmtId="20" fontId="1" fillId="0" borderId="0" xfId="2" applyNumberFormat="1"/>
    <xf numFmtId="169" fontId="25" fillId="0" borderId="27" xfId="2" applyNumberFormat="1" applyFont="1" applyBorder="1" applyAlignment="1">
      <alignment horizontal="center" vertical="center"/>
    </xf>
    <xf numFmtId="2" fontId="25" fillId="0" borderId="27" xfId="2" applyNumberFormat="1" applyFont="1" applyBorder="1" applyAlignment="1">
      <alignment horizontal="center" vertical="center"/>
    </xf>
    <xf numFmtId="164" fontId="12" fillId="0" borderId="28" xfId="2" applyFont="1" applyBorder="1" applyAlignment="1">
      <alignment horizontal="right" vertical="center"/>
    </xf>
    <xf numFmtId="169" fontId="25" fillId="0" borderId="29" xfId="2" applyNumberFormat="1" applyFont="1" applyBorder="1" applyAlignment="1">
      <alignment horizontal="center" vertical="center"/>
    </xf>
    <xf numFmtId="164" fontId="26" fillId="0" borderId="28" xfId="2" applyFont="1" applyBorder="1" applyAlignment="1">
      <alignment horizontal="right" vertical="center"/>
    </xf>
    <xf numFmtId="166" fontId="12" fillId="9" borderId="6" xfId="2" applyNumberFormat="1" applyFont="1" applyFill="1" applyBorder="1" applyAlignment="1" applyProtection="1">
      <alignment horizontal="center" vertical="center"/>
      <protection locked="0"/>
    </xf>
    <xf numFmtId="164" fontId="16" fillId="0" borderId="24" xfId="2" applyFont="1" applyBorder="1" applyAlignment="1">
      <alignment horizontal="right" vertical="center"/>
    </xf>
    <xf numFmtId="166" fontId="12" fillId="10" borderId="25" xfId="2" applyNumberFormat="1" applyFont="1" applyFill="1" applyBorder="1" applyAlignment="1" applyProtection="1">
      <alignment horizontal="center" vertical="center"/>
      <protection locked="0"/>
    </xf>
    <xf numFmtId="164" fontId="16" fillId="0" borderId="30" xfId="2" applyFont="1" applyBorder="1" applyAlignment="1">
      <alignment horizontal="left" vertical="center"/>
    </xf>
    <xf numFmtId="166" fontId="16" fillId="0" borderId="31" xfId="2" applyNumberFormat="1" applyFont="1" applyBorder="1" applyAlignment="1">
      <alignment horizontal="center" vertical="center"/>
    </xf>
    <xf numFmtId="169" fontId="16" fillId="0" borderId="31" xfId="2" applyNumberFormat="1" applyFont="1" applyBorder="1" applyAlignment="1">
      <alignment horizontal="center" vertical="center"/>
    </xf>
    <xf numFmtId="164" fontId="12" fillId="0" borderId="32" xfId="2" applyFont="1" applyBorder="1" applyAlignment="1">
      <alignment horizontal="right" vertical="center"/>
    </xf>
    <xf numFmtId="164" fontId="12" fillId="0" borderId="3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 vertical="center"/>
      <protection locked="0"/>
    </xf>
    <xf numFmtId="164" fontId="12" fillId="0" borderId="34" xfId="2" applyFont="1" applyBorder="1" applyAlignment="1">
      <alignment horizontal="right" vertical="center"/>
    </xf>
    <xf numFmtId="166" fontId="12" fillId="0" borderId="18" xfId="2" applyNumberFormat="1" applyFont="1" applyBorder="1" applyAlignment="1" applyProtection="1">
      <alignment horizontal="center" vertical="center"/>
      <protection locked="0"/>
    </xf>
    <xf numFmtId="169" fontId="25" fillId="0" borderId="23" xfId="2" applyNumberFormat="1" applyFont="1" applyBorder="1" applyAlignment="1">
      <alignment horizontal="center" vertical="center"/>
    </xf>
    <xf numFmtId="164" fontId="16" fillId="0" borderId="35" xfId="2" applyFont="1" applyBorder="1" applyAlignment="1">
      <alignment horizontal="left" vertical="center"/>
    </xf>
    <xf numFmtId="164" fontId="27" fillId="0" borderId="0" xfId="2" applyFont="1"/>
    <xf numFmtId="164" fontId="12" fillId="0" borderId="36" xfId="2" applyFont="1" applyBorder="1" applyAlignment="1">
      <alignment horizontal="right" vertical="center"/>
    </xf>
    <xf numFmtId="2" fontId="26" fillId="0" borderId="37" xfId="2" applyNumberFormat="1" applyFont="1" applyBorder="1" applyAlignment="1">
      <alignment horizontal="center" vertical="center"/>
    </xf>
    <xf numFmtId="169" fontId="26" fillId="0" borderId="37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left" vertical="center"/>
    </xf>
    <xf numFmtId="169" fontId="12" fillId="0" borderId="29" xfId="2" applyNumberFormat="1" applyFont="1" applyBorder="1" applyAlignment="1">
      <alignment horizontal="center" vertical="center"/>
    </xf>
    <xf numFmtId="166" fontId="12" fillId="0" borderId="25" xfId="2" applyNumberFormat="1" applyFont="1" applyBorder="1" applyAlignment="1">
      <alignment horizontal="center" vertical="center"/>
    </xf>
    <xf numFmtId="166" fontId="12" fillId="0" borderId="6" xfId="2" applyNumberFormat="1" applyFont="1" applyBorder="1" applyAlignment="1">
      <alignment horizontal="center" vertical="center"/>
    </xf>
    <xf numFmtId="164" fontId="2" fillId="11" borderId="0" xfId="2" applyFont="1" applyFill="1"/>
    <xf numFmtId="20" fontId="1" fillId="0" borderId="39" xfId="2" applyNumberFormat="1" applyBorder="1"/>
    <xf numFmtId="166" fontId="12" fillId="0" borderId="2" xfId="2" applyNumberFormat="1" applyFont="1" applyBorder="1" applyAlignment="1" applyProtection="1">
      <alignment horizontal="center" vertical="center"/>
      <protection locked="0"/>
    </xf>
    <xf numFmtId="166" fontId="12" fillId="0" borderId="4" xfId="2" applyNumberFormat="1" applyFont="1" applyBorder="1" applyAlignment="1" applyProtection="1">
      <alignment horizontal="center" vertical="center"/>
      <protection locked="0"/>
    </xf>
    <xf numFmtId="164" fontId="0" fillId="0" borderId="5" xfId="2" applyFont="1" applyBorder="1"/>
    <xf numFmtId="166" fontId="12" fillId="0" borderId="40" xfId="2" applyNumberFormat="1" applyFont="1" applyBorder="1" applyAlignment="1" applyProtection="1">
      <alignment horizontal="center" vertical="center"/>
      <protection locked="0"/>
    </xf>
    <xf numFmtId="164" fontId="12" fillId="0" borderId="41" xfId="2" applyFont="1" applyBorder="1" applyAlignment="1">
      <alignment horizontal="right" vertical="center"/>
    </xf>
    <xf numFmtId="169" fontId="12" fillId="0" borderId="42" xfId="2" applyNumberFormat="1" applyFont="1" applyBorder="1" applyAlignment="1">
      <alignment horizontal="center" vertical="center"/>
    </xf>
    <xf numFmtId="164" fontId="1" fillId="0" borderId="5" xfId="2" applyBorder="1"/>
    <xf numFmtId="166" fontId="12" fillId="11" borderId="43" xfId="2" applyNumberFormat="1" applyFont="1" applyFill="1" applyBorder="1" applyAlignment="1" applyProtection="1">
      <alignment horizontal="center" vertical="center"/>
      <protection locked="0"/>
    </xf>
    <xf numFmtId="169" fontId="16" fillId="0" borderId="44" xfId="2" applyNumberFormat="1" applyFont="1" applyBorder="1" applyAlignment="1">
      <alignment horizontal="center" vertical="center"/>
    </xf>
    <xf numFmtId="166" fontId="12" fillId="0" borderId="45" xfId="2" applyNumberFormat="1" applyFont="1" applyBorder="1" applyAlignment="1">
      <alignment horizontal="center" vertical="center"/>
    </xf>
    <xf numFmtId="169" fontId="12" fillId="0" borderId="27" xfId="2" applyNumberFormat="1" applyFont="1" applyBorder="1" applyAlignment="1">
      <alignment horizontal="center" vertical="center"/>
    </xf>
    <xf numFmtId="164" fontId="1" fillId="0" borderId="48" xfId="2" applyBorder="1"/>
    <xf numFmtId="166" fontId="12" fillId="0" borderId="8" xfId="2" applyNumberFormat="1" applyFont="1" applyBorder="1" applyAlignment="1" applyProtection="1">
      <alignment horizontal="center" vertical="center"/>
      <protection locked="0"/>
    </xf>
    <xf numFmtId="166" fontId="12" fillId="0" borderId="10" xfId="2" applyNumberFormat="1" applyFont="1" applyBorder="1" applyAlignment="1" applyProtection="1">
      <alignment horizontal="center" vertical="center"/>
      <protection locked="0"/>
    </xf>
    <xf numFmtId="166" fontId="12" fillId="0" borderId="37" xfId="2" applyNumberFormat="1" applyFont="1" applyBorder="1" applyAlignment="1">
      <alignment horizontal="center" vertical="center"/>
    </xf>
    <xf numFmtId="1" fontId="16" fillId="0" borderId="31" xfId="2" applyNumberFormat="1" applyFont="1" applyBorder="1" applyAlignment="1">
      <alignment horizontal="center" vertical="center"/>
    </xf>
    <xf numFmtId="164" fontId="16" fillId="11" borderId="38" xfId="2" applyFont="1" applyFill="1" applyBorder="1" applyAlignment="1">
      <alignment vertical="center" wrapText="1"/>
    </xf>
    <xf numFmtId="166" fontId="12" fillId="0" borderId="31" xfId="2" applyNumberFormat="1" applyFont="1" applyBorder="1" applyAlignment="1" applyProtection="1">
      <alignment horizontal="center" vertical="center"/>
      <protection locked="0"/>
    </xf>
    <xf numFmtId="169" fontId="25" fillId="0" borderId="42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center" vertical="center"/>
    </xf>
    <xf numFmtId="164" fontId="12" fillId="0" borderId="49" xfId="2" applyFont="1" applyBorder="1" applyAlignment="1">
      <alignment horizontal="right" vertical="center"/>
    </xf>
    <xf numFmtId="2" fontId="12" fillId="0" borderId="2" xfId="2" applyNumberFormat="1" applyFont="1" applyBorder="1" applyAlignment="1" applyProtection="1">
      <alignment horizontal="center" vertical="center"/>
      <protection locked="0"/>
    </xf>
    <xf numFmtId="169" fontId="12" fillId="0" borderId="50" xfId="2" applyNumberFormat="1" applyFont="1" applyBorder="1" applyAlignment="1">
      <alignment horizontal="center" vertical="center"/>
    </xf>
    <xf numFmtId="164" fontId="12" fillId="0" borderId="51" xfId="2" applyFont="1" applyBorder="1" applyAlignment="1">
      <alignment horizontal="right" vertical="center"/>
    </xf>
    <xf numFmtId="169" fontId="12" fillId="0" borderId="52" xfId="2" applyNumberFormat="1" applyFont="1" applyBorder="1" applyAlignment="1">
      <alignment horizontal="center" vertical="center"/>
    </xf>
    <xf numFmtId="164" fontId="12" fillId="0" borderId="5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/>
      <protection locked="0"/>
    </xf>
    <xf numFmtId="169" fontId="12" fillId="0" borderId="52" xfId="2" applyNumberFormat="1" applyFont="1" applyBorder="1" applyAlignment="1">
      <alignment horizontal="center"/>
    </xf>
    <xf numFmtId="169" fontId="12" fillId="0" borderId="54" xfId="2" applyNumberFormat="1" applyFont="1" applyBorder="1" applyAlignment="1">
      <alignment horizontal="center" vertical="center"/>
    </xf>
    <xf numFmtId="164" fontId="16" fillId="0" borderId="0" xfId="2" applyFont="1" applyAlignment="1">
      <alignment horizontal="right" vertical="center"/>
    </xf>
    <xf numFmtId="164" fontId="12" fillId="0" borderId="1" xfId="2" applyFont="1" applyBorder="1" applyAlignment="1">
      <alignment vertical="center"/>
    </xf>
    <xf numFmtId="166" fontId="16" fillId="0" borderId="3" xfId="2" applyNumberFormat="1" applyFont="1" applyBorder="1" applyAlignment="1">
      <alignment horizontal="center" vertical="center"/>
    </xf>
    <xf numFmtId="169" fontId="1" fillId="0" borderId="0" xfId="2" applyNumberFormat="1"/>
    <xf numFmtId="166" fontId="12" fillId="0" borderId="55" xfId="2" applyNumberFormat="1" applyFont="1" applyBorder="1" applyAlignment="1" applyProtection="1">
      <alignment horizontal="center" vertical="center"/>
      <protection locked="0"/>
    </xf>
    <xf numFmtId="169" fontId="1" fillId="0" borderId="6" xfId="2" applyNumberFormat="1" applyBorder="1" applyAlignment="1">
      <alignment horizontal="center"/>
    </xf>
    <xf numFmtId="166" fontId="12" fillId="0" borderId="45" xfId="2" applyNumberFormat="1" applyFont="1" applyBorder="1" applyAlignment="1" applyProtection="1">
      <alignment horizontal="center" vertical="center"/>
      <protection locked="0"/>
    </xf>
    <xf numFmtId="164" fontId="12" fillId="0" borderId="56" xfId="2" applyFont="1" applyBorder="1" applyAlignment="1">
      <alignment horizontal="right" vertical="center"/>
    </xf>
    <xf numFmtId="166" fontId="12" fillId="0" borderId="57" xfId="2" applyNumberFormat="1" applyFont="1" applyBorder="1" applyAlignment="1" applyProtection="1">
      <alignment horizontal="center"/>
      <protection locked="0"/>
    </xf>
    <xf numFmtId="169" fontId="1" fillId="0" borderId="37" xfId="2" applyNumberFormat="1" applyBorder="1" applyAlignment="1">
      <alignment horizontal="center"/>
    </xf>
    <xf numFmtId="169" fontId="1" fillId="0" borderId="0" xfId="2" applyNumberFormat="1" applyAlignment="1">
      <alignment horizontal="center"/>
    </xf>
    <xf numFmtId="164" fontId="12" fillId="0" borderId="6" xfId="2" applyFont="1" applyBorder="1" applyAlignment="1">
      <alignment horizontal="right" vertical="center"/>
    </xf>
    <xf numFmtId="164" fontId="28" fillId="0" borderId="6" xfId="2" applyFont="1" applyBorder="1" applyAlignment="1">
      <alignment horizontal="right" vertical="center"/>
    </xf>
    <xf numFmtId="164" fontId="16" fillId="0" borderId="48" xfId="2" applyFont="1" applyBorder="1" applyAlignment="1">
      <alignment vertical="center"/>
    </xf>
    <xf numFmtId="164" fontId="1" fillId="0" borderId="58" xfId="2" applyBorder="1" applyAlignment="1">
      <alignment horizontal="center"/>
    </xf>
    <xf numFmtId="169" fontId="1" fillId="0" borderId="59" xfId="2" applyNumberFormat="1" applyBorder="1" applyAlignment="1">
      <alignment horizontal="center"/>
    </xf>
    <xf numFmtId="164" fontId="12" fillId="0" borderId="60" xfId="2" applyFont="1" applyBorder="1" applyAlignment="1">
      <alignment horizontal="right" vertical="center"/>
    </xf>
    <xf numFmtId="2" fontId="12" fillId="0" borderId="25" xfId="2" applyNumberFormat="1" applyFont="1" applyBorder="1" applyAlignment="1">
      <alignment horizontal="center" vertical="center"/>
    </xf>
    <xf numFmtId="2" fontId="12" fillId="0" borderId="25" xfId="2" applyNumberFormat="1" applyFont="1" applyBorder="1" applyAlignment="1" applyProtection="1">
      <alignment horizontal="center" vertical="center"/>
      <protection locked="0"/>
    </xf>
    <xf numFmtId="169" fontId="25" fillId="0" borderId="61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 applyProtection="1">
      <alignment horizontal="center" vertical="center"/>
      <protection locked="0"/>
    </xf>
    <xf numFmtId="169" fontId="25" fillId="0" borderId="40" xfId="2" applyNumberFormat="1" applyFont="1" applyBorder="1" applyAlignment="1">
      <alignment horizontal="center" vertical="center"/>
    </xf>
    <xf numFmtId="169" fontId="25" fillId="0" borderId="62" xfId="2" applyNumberFormat="1" applyFont="1" applyBorder="1" applyAlignment="1">
      <alignment horizontal="center" vertical="center"/>
    </xf>
    <xf numFmtId="2" fontId="12" fillId="0" borderId="37" xfId="2" applyNumberFormat="1" applyFont="1" applyBorder="1" applyAlignment="1">
      <alignment horizontal="center" vertical="center"/>
    </xf>
    <xf numFmtId="2" fontId="12" fillId="0" borderId="18" xfId="2" applyNumberFormat="1" applyFont="1" applyBorder="1" applyAlignment="1" applyProtection="1">
      <alignment horizontal="center" vertical="center"/>
      <protection locked="0"/>
    </xf>
    <xf numFmtId="164" fontId="12" fillId="0" borderId="35" xfId="2" applyFont="1" applyBorder="1" applyAlignment="1">
      <alignment vertical="center"/>
    </xf>
    <xf numFmtId="2" fontId="12" fillId="0" borderId="63" xfId="2" applyNumberFormat="1" applyFont="1" applyBorder="1" applyAlignment="1">
      <alignment horizontal="center" vertical="center"/>
    </xf>
    <xf numFmtId="2" fontId="12" fillId="0" borderId="31" xfId="2" applyNumberFormat="1" applyFont="1" applyBorder="1" applyAlignment="1">
      <alignment horizontal="center" vertical="center"/>
    </xf>
    <xf numFmtId="2" fontId="12" fillId="0" borderId="64" xfId="2" applyNumberFormat="1" applyFont="1" applyBorder="1" applyAlignment="1">
      <alignment horizontal="center" vertical="center"/>
    </xf>
    <xf numFmtId="169" fontId="25" fillId="0" borderId="35" xfId="2" applyNumberFormat="1" applyFont="1" applyBorder="1" applyAlignment="1">
      <alignment horizontal="center" vertical="center"/>
    </xf>
    <xf numFmtId="2" fontId="1" fillId="0" borderId="0" xfId="2" applyNumberFormat="1" applyAlignment="1">
      <alignment horizontal="center"/>
    </xf>
    <xf numFmtId="2" fontId="12" fillId="0" borderId="2" xfId="2" applyNumberFormat="1" applyFont="1" applyBorder="1" applyAlignment="1">
      <alignment horizontal="center" vertical="center"/>
    </xf>
    <xf numFmtId="169" fontId="29" fillId="0" borderId="4" xfId="2" applyNumberFormat="1" applyFont="1" applyBorder="1" applyAlignment="1">
      <alignment horizontal="center" vertical="center"/>
    </xf>
    <xf numFmtId="169" fontId="29" fillId="0" borderId="40" xfId="2" applyNumberFormat="1" applyFont="1" applyBorder="1" applyAlignment="1">
      <alignment horizontal="center" vertical="center"/>
    </xf>
    <xf numFmtId="169" fontId="29" fillId="0" borderId="62" xfId="2" applyNumberFormat="1" applyFont="1" applyBorder="1" applyAlignment="1">
      <alignment horizontal="center" vertical="center"/>
    </xf>
    <xf numFmtId="164" fontId="12" fillId="0" borderId="63" xfId="2" applyFont="1" applyBorder="1" applyAlignment="1">
      <alignment horizontal="right" vertical="center"/>
    </xf>
    <xf numFmtId="169" fontId="1" fillId="0" borderId="65" xfId="2" applyNumberFormat="1" applyBorder="1" applyAlignment="1">
      <alignment horizontal="center"/>
    </xf>
    <xf numFmtId="164" fontId="16" fillId="0" borderId="49" xfId="2" applyFont="1" applyBorder="1" applyAlignment="1">
      <alignment vertical="center"/>
    </xf>
    <xf numFmtId="2" fontId="30" fillId="0" borderId="2" xfId="2" applyNumberFormat="1" applyFont="1" applyBorder="1" applyAlignment="1">
      <alignment horizontal="center" vertical="center"/>
    </xf>
    <xf numFmtId="2" fontId="30" fillId="0" borderId="4" xfId="2" applyNumberFormat="1" applyFont="1" applyBorder="1" applyAlignment="1">
      <alignment horizontal="center" vertical="center"/>
    </xf>
    <xf numFmtId="164" fontId="16" fillId="0" borderId="60" xfId="2" applyFont="1" applyBorder="1" applyAlignment="1">
      <alignment vertical="center"/>
    </xf>
    <xf numFmtId="2" fontId="30" fillId="0" borderId="25" xfId="2" applyNumberFormat="1" applyFont="1" applyBorder="1" applyAlignment="1">
      <alignment horizontal="center" vertical="center"/>
    </xf>
    <xf numFmtId="2" fontId="30" fillId="0" borderId="61" xfId="2" applyNumberFormat="1" applyFont="1" applyBorder="1" applyAlignment="1">
      <alignment horizontal="center" vertical="center"/>
    </xf>
    <xf numFmtId="164" fontId="1" fillId="0" borderId="66" xfId="2" applyBorder="1" applyAlignment="1">
      <alignment horizontal="center"/>
    </xf>
    <xf numFmtId="164" fontId="16" fillId="0" borderId="51" xfId="2" applyFont="1" applyBorder="1" applyAlignment="1">
      <alignment vertical="center"/>
    </xf>
    <xf numFmtId="2" fontId="30" fillId="0" borderId="6" xfId="2" applyNumberFormat="1" applyFont="1" applyBorder="1" applyAlignment="1">
      <alignment horizontal="center" vertical="center"/>
    </xf>
    <xf numFmtId="2" fontId="30" fillId="0" borderId="40" xfId="2" applyNumberFormat="1" applyFont="1" applyBorder="1" applyAlignment="1">
      <alignment horizontal="center" vertical="center"/>
    </xf>
    <xf numFmtId="164" fontId="16" fillId="0" borderId="67" xfId="2" applyFont="1" applyBorder="1" applyAlignment="1">
      <alignment vertical="center"/>
    </xf>
    <xf numFmtId="2" fontId="30" fillId="0" borderId="8" xfId="2" applyNumberFormat="1" applyFont="1" applyBorder="1" applyAlignment="1">
      <alignment horizontal="center" vertical="center"/>
    </xf>
    <xf numFmtId="2" fontId="30" fillId="0" borderId="10" xfId="2" applyNumberFormat="1" applyFont="1" applyBorder="1" applyAlignment="1">
      <alignment horizontal="center" vertical="center"/>
    </xf>
    <xf numFmtId="164" fontId="12" fillId="12" borderId="6" xfId="2" applyFont="1" applyFill="1" applyBorder="1" applyAlignment="1">
      <alignment vertical="center"/>
    </xf>
    <xf numFmtId="1" fontId="1" fillId="12" borderId="6" xfId="2" applyNumberFormat="1" applyFill="1" applyBorder="1"/>
    <xf numFmtId="20" fontId="31" fillId="12" borderId="6" xfId="2" applyNumberFormat="1" applyFont="1" applyFill="1" applyBorder="1" applyAlignment="1">
      <alignment horizontal="center"/>
    </xf>
    <xf numFmtId="164" fontId="1" fillId="0" borderId="0" xfId="2" applyAlignment="1">
      <alignment horizontal="left"/>
    </xf>
    <xf numFmtId="164" fontId="32" fillId="14" borderId="0" xfId="2" applyFont="1" applyFill="1"/>
    <xf numFmtId="164" fontId="1" fillId="15" borderId="0" xfId="2" applyFill="1" applyProtection="1">
      <protection locked="0"/>
    </xf>
    <xf numFmtId="164" fontId="16" fillId="0" borderId="0" xfId="2" applyFont="1" applyAlignment="1">
      <alignment vertical="top" wrapText="1"/>
    </xf>
    <xf numFmtId="20" fontId="12" fillId="0" borderId="37" xfId="2" applyNumberFormat="1" applyFont="1" applyBorder="1" applyAlignment="1">
      <alignment vertical="center"/>
    </xf>
    <xf numFmtId="167" fontId="12" fillId="0" borderId="68" xfId="2" applyNumberFormat="1" applyFont="1" applyBorder="1" applyAlignment="1">
      <alignment vertical="center"/>
    </xf>
    <xf numFmtId="167" fontId="12" fillId="0" borderId="37" xfId="2" applyNumberFormat="1" applyFont="1" applyBorder="1" applyAlignment="1">
      <alignment vertical="center"/>
    </xf>
    <xf numFmtId="167" fontId="12" fillId="0" borderId="19" xfId="2" applyNumberFormat="1" applyFont="1" applyBorder="1" applyAlignment="1">
      <alignment vertical="center"/>
    </xf>
    <xf numFmtId="1" fontId="1" fillId="0" borderId="0" xfId="2" applyNumberFormat="1" applyAlignment="1">
      <alignment horizontal="center"/>
    </xf>
    <xf numFmtId="165" fontId="1" fillId="15" borderId="0" xfId="2" applyNumberFormat="1" applyFill="1" applyProtection="1">
      <protection locked="0"/>
    </xf>
    <xf numFmtId="164" fontId="1" fillId="0" borderId="6" xfId="2" applyBorder="1"/>
    <xf numFmtId="166" fontId="1" fillId="0" borderId="6" xfId="2" applyNumberFormat="1" applyBorder="1" applyAlignment="1">
      <alignment horizontal="center"/>
    </xf>
    <xf numFmtId="2" fontId="1" fillId="0" borderId="6" xfId="2" applyNumberFormat="1" applyBorder="1" applyAlignment="1">
      <alignment horizontal="center"/>
    </xf>
    <xf numFmtId="166" fontId="12" fillId="16" borderId="25" xfId="2" applyNumberFormat="1" applyFont="1" applyFill="1" applyBorder="1" applyAlignment="1" applyProtection="1">
      <alignment horizontal="center" vertical="center"/>
      <protection locked="0"/>
    </xf>
    <xf numFmtId="166" fontId="12" fillId="0" borderId="25" xfId="4" applyNumberFormat="1" applyFont="1" applyBorder="1" applyAlignment="1" applyProtection="1">
      <alignment horizontal="center" vertical="center"/>
      <protection locked="0"/>
    </xf>
    <xf numFmtId="166" fontId="12" fillId="9" borderId="6" xfId="4" applyNumberFormat="1" applyFont="1" applyFill="1" applyBorder="1" applyAlignment="1" applyProtection="1">
      <alignment horizontal="center" vertical="center"/>
      <protection locked="0"/>
    </xf>
    <xf numFmtId="166" fontId="16" fillId="0" borderId="31" xfId="4" applyNumberFormat="1" applyFont="1" applyBorder="1" applyAlignment="1">
      <alignment horizontal="center" vertical="center"/>
    </xf>
    <xf numFmtId="166" fontId="12" fillId="0" borderId="6" xfId="4" applyNumberFormat="1" applyFont="1" applyBorder="1" applyAlignment="1" applyProtection="1">
      <alignment horizontal="center" vertical="center"/>
      <protection locked="0"/>
    </xf>
    <xf numFmtId="166" fontId="12" fillId="0" borderId="18" xfId="4" applyNumberFormat="1" applyFont="1" applyBorder="1" applyAlignment="1" applyProtection="1">
      <alignment horizontal="center" vertical="center"/>
      <protection locked="0"/>
    </xf>
    <xf numFmtId="2" fontId="26" fillId="0" borderId="37" xfId="4" applyNumberFormat="1" applyFont="1" applyBorder="1" applyAlignment="1">
      <alignment horizontal="center" vertical="center"/>
    </xf>
    <xf numFmtId="166" fontId="12" fillId="0" borderId="25" xfId="4" applyNumberFormat="1" applyFont="1" applyBorder="1" applyAlignment="1">
      <alignment horizontal="center" vertical="center"/>
    </xf>
    <xf numFmtId="166" fontId="12" fillId="0" borderId="6" xfId="4" applyNumberFormat="1" applyFont="1" applyBorder="1" applyAlignment="1">
      <alignment horizontal="center" vertical="center"/>
    </xf>
    <xf numFmtId="166" fontId="12" fillId="0" borderId="37" xfId="4" applyNumberFormat="1" applyFont="1" applyBorder="1" applyAlignment="1">
      <alignment horizontal="center" vertical="center"/>
    </xf>
    <xf numFmtId="1" fontId="16" fillId="0" borderId="31" xfId="4" applyNumberFormat="1" applyFont="1" applyBorder="1" applyAlignment="1">
      <alignment horizontal="center" vertical="center"/>
    </xf>
    <xf numFmtId="166" fontId="12" fillId="0" borderId="31" xfId="4" applyNumberFormat="1" applyFont="1" applyBorder="1" applyAlignment="1" applyProtection="1">
      <alignment horizontal="center" vertical="center"/>
      <protection locked="0"/>
    </xf>
    <xf numFmtId="2" fontId="12" fillId="0" borderId="2" xfId="4" applyNumberFormat="1" applyFont="1" applyBorder="1" applyAlignment="1" applyProtection="1">
      <alignment horizontal="center" vertical="center"/>
      <protection locked="0"/>
    </xf>
    <xf numFmtId="166" fontId="12" fillId="0" borderId="6" xfId="4" applyNumberFormat="1" applyFont="1" applyBorder="1" applyAlignment="1" applyProtection="1">
      <alignment horizontal="center"/>
      <protection locked="0"/>
    </xf>
    <xf numFmtId="166" fontId="12" fillId="0" borderId="8" xfId="4" applyNumberFormat="1" applyFont="1" applyBorder="1" applyAlignment="1" applyProtection="1">
      <alignment horizontal="center" vertical="center"/>
      <protection locked="0"/>
    </xf>
    <xf numFmtId="166" fontId="16" fillId="0" borderId="3" xfId="4" applyNumberFormat="1" applyFont="1" applyBorder="1" applyAlignment="1">
      <alignment horizontal="center" vertical="center"/>
    </xf>
    <xf numFmtId="166" fontId="12" fillId="0" borderId="55" xfId="4" applyNumberFormat="1" applyFont="1" applyBorder="1" applyAlignment="1" applyProtection="1">
      <alignment horizontal="center" vertical="center"/>
      <protection locked="0"/>
    </xf>
    <xf numFmtId="166" fontId="12" fillId="0" borderId="45" xfId="4" applyNumberFormat="1" applyFont="1" applyBorder="1" applyAlignment="1" applyProtection="1">
      <alignment horizontal="center" vertical="center"/>
      <protection locked="0"/>
    </xf>
    <xf numFmtId="166" fontId="12" fillId="0" borderId="57" xfId="4" applyNumberFormat="1" applyFont="1" applyBorder="1" applyAlignment="1" applyProtection="1">
      <alignment horizontal="center"/>
      <protection locked="0"/>
    </xf>
    <xf numFmtId="164" fontId="0" fillId="0" borderId="58" xfId="2" applyFont="1" applyBorder="1" applyAlignment="1">
      <alignment horizontal="center"/>
    </xf>
    <xf numFmtId="2" fontId="18" fillId="0" borderId="0" xfId="2" applyNumberFormat="1" applyFont="1"/>
    <xf numFmtId="164" fontId="4" fillId="0" borderId="0" xfId="2" applyFont="1" applyAlignment="1">
      <alignment horizontal="center" vertical="center" wrapText="1"/>
    </xf>
    <xf numFmtId="164" fontId="5" fillId="2" borderId="0" xfId="2" applyFont="1" applyFill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164" fontId="4" fillId="0" borderId="7" xfId="2" applyFont="1" applyBorder="1" applyAlignment="1">
      <alignment horizontal="center" vertical="center"/>
    </xf>
    <xf numFmtId="164" fontId="4" fillId="0" borderId="3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  <xf numFmtId="164" fontId="15" fillId="4" borderId="11" xfId="2" applyFont="1" applyFill="1" applyBorder="1" applyAlignment="1">
      <alignment horizontal="left" vertical="center"/>
    </xf>
    <xf numFmtId="164" fontId="15" fillId="4" borderId="11" xfId="2" applyFont="1" applyFill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4" fontId="16" fillId="0" borderId="17" xfId="2" applyFont="1" applyBorder="1" applyAlignment="1">
      <alignment horizontal="left" vertical="top" wrapText="1"/>
    </xf>
    <xf numFmtId="164" fontId="16" fillId="0" borderId="21" xfId="2" applyFont="1" applyBorder="1" applyAlignment="1">
      <alignment horizontal="left" vertical="top" wrapText="1"/>
    </xf>
    <xf numFmtId="167" fontId="12" fillId="0" borderId="18" xfId="2" applyNumberFormat="1" applyFont="1" applyBorder="1" applyAlignment="1">
      <alignment horizontal="center" vertical="center"/>
    </xf>
    <xf numFmtId="167" fontId="12" fillId="0" borderId="22" xfId="2" applyNumberFormat="1" applyFont="1" applyBorder="1" applyAlignment="1">
      <alignment horizontal="center" vertical="center"/>
    </xf>
    <xf numFmtId="167" fontId="12" fillId="7" borderId="19" xfId="2" applyNumberFormat="1" applyFont="1" applyFill="1" applyBorder="1" applyAlignment="1">
      <alignment horizontal="center" vertical="center"/>
    </xf>
    <xf numFmtId="167" fontId="12" fillId="7" borderId="22" xfId="2" applyNumberFormat="1" applyFont="1" applyFill="1" applyBorder="1" applyAlignment="1">
      <alignment horizontal="center" vertical="center"/>
    </xf>
    <xf numFmtId="167" fontId="12" fillId="0" borderId="19" xfId="2" applyNumberFormat="1" applyFont="1" applyBorder="1" applyAlignment="1">
      <alignment horizontal="center" vertical="center"/>
    </xf>
    <xf numFmtId="166" fontId="16" fillId="11" borderId="46" xfId="2" applyNumberFormat="1" applyFont="1" applyFill="1" applyBorder="1" applyAlignment="1">
      <alignment horizontal="center" vertical="center"/>
    </xf>
    <xf numFmtId="166" fontId="16" fillId="11" borderId="47" xfId="2" applyNumberFormat="1" applyFont="1" applyFill="1" applyBorder="1" applyAlignment="1">
      <alignment horizontal="center" vertical="center"/>
    </xf>
    <xf numFmtId="164" fontId="32" fillId="13" borderId="0" xfId="2" applyFont="1" applyFill="1" applyAlignment="1">
      <alignment horizontal="center"/>
    </xf>
    <xf numFmtId="168" fontId="24" fillId="8" borderId="20" xfId="2" applyNumberFormat="1" applyFont="1" applyFill="1" applyBorder="1" applyAlignment="1">
      <alignment horizontal="center" vertical="center" wrapText="1"/>
    </xf>
    <xf numFmtId="168" fontId="24" fillId="8" borderId="23" xfId="2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2" xfId="2" xr:uid="{05DC82B3-C3D6-4E9B-9A38-11DCD6414B64}"/>
    <cellStyle name="Normal 2 2" xfId="3" xr:uid="{A7905A53-2DA5-4793-8AEC-3FAC0D82AB5A}"/>
    <cellStyle name="Normal 2 5" xfId="4" xr:uid="{DB9972DC-6349-4992-8A80-55A0D45E3D59}"/>
  </cellStyles>
  <dxfs count="4051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39-47E2-A86B-2A065DCD81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39-47E2-A86B-2A065DCD81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39-47E2-A86B-2A065DCD81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C39-47E2-A86B-2A065DCD81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C39-47E2-A86B-2A065DCD816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C39-47E2-A86B-2A065DCD81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4A-40F3-9CDE-7006F4C75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71-408E-9D96-42CD484A8C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71-408E-9D96-42CD484A8C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71-408E-9D96-42CD484A8C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71-408E-9D96-42CD484A8C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771-408E-9D96-42CD484A8C5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7771-408E-9D96-42CD484A8C5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E0-43E6-B914-4CFBB611A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CB-4204-BDB3-BD62A60F57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CB-4204-BDB3-BD62A60F57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CB-4204-BDB3-BD62A60F57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3CB-4204-BDB3-BD62A60F57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3CB-4204-BDB3-BD62A60F57B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3CB-4204-BDB3-BD62A60F57B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19-458C-83F7-1AAAB3C60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44-4B92-AFD8-35B432E30F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44-4B92-AFD8-35B432E30F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44-4B92-AFD8-35B432E30F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544-4B92-AFD8-35B432E30F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544-4B92-AFD8-35B432E30F4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544-4B92-AFD8-35B432E30F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B6-4BD3-B4A2-CF96F56B7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F4-4992-99E7-6449E8774C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F4-4992-99E7-6449E8774C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F4-4992-99E7-6449E8774C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AF4-4992-99E7-6449E8774C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AF4-4992-99E7-6449E8774C0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AF4-4992-99E7-6449E8774C0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A3-49DA-A561-A02235DB5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0D-45C9-8650-AD8984996F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0D-45C9-8650-AD8984996F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0D-45C9-8650-AD8984996F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50D-45C9-8650-AD8984996F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50D-45C9-8650-AD8984996F1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50D-45C9-8650-AD8984996F1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B2-4C51-A9EF-B71E1B810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B0-4C56-9108-B6389A4ABE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B0-4C56-9108-B6389A4ABE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B0-4C56-9108-B6389A4ABE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B0-4C56-9108-B6389A4ABE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0B0-4C56-9108-B6389A4ABE2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0B0-4C56-9108-B6389A4ABE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2E-4022-83A0-26CC73135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F1-4DC1-AC2A-4E653FB1AC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F1-4DC1-AC2A-4E653FB1AC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F1-4DC1-AC2A-4E653FB1AC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5F1-4DC1-AC2A-4E653FB1AC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5F1-4DC1-AC2A-4E653FB1AC7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5F1-4DC1-AC2A-4E653FB1AC7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41-4407-9438-D8292334A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2E-4790-BC5B-AEB4A7B387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2E-4790-BC5B-AEB4A7B387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12E-4790-BC5B-AEB4A7B387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12E-4790-BC5B-AEB4A7B387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12E-4790-BC5B-AEB4A7B3877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12E-4790-BC5B-AEB4A7B387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F1-4A20-82D8-F1CDF60DC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6C-4BB8-8000-8C4F140168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6C-4BB8-8000-8C4F140168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16C-4BB8-8000-8C4F140168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16C-4BB8-8000-8C4F140168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16C-4BB8-8000-8C4F140168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16C-4BB8-8000-8C4F140168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AD-4E01-9736-A8D3079D6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4F-4C7D-A653-E212217108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4F-4C7D-A653-E212217108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B4F-4C7D-A653-E212217108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B4F-4C7D-A653-E212217108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B4F-4C7D-A653-E212217108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B4F-4C7D-A653-E212217108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FB-4CBF-9297-DF1D671B0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4C-480B-9B9A-93D6DB8F8F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4C-480B-9B9A-93D6DB8F8F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4C-480B-9B9A-93D6DB8F8F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4C-480B-9B9A-93D6DB8F8F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94C-480B-9B9A-93D6DB8F8F6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94C-480B-9B9A-93D6DB8F8F6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70-423E-81CC-9BF9E675E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49-4BBB-AF4E-08FD3C8903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49-4BBB-AF4E-08FD3C8903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49-4BBB-AF4E-08FD3C8903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49-4BBB-AF4E-08FD3C8903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49-4BBB-AF4E-08FD3C89034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B49-4BBB-AF4E-08FD3C89034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8E-4DBD-A05C-42938153D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A0-4551-A5BC-19DE457AA6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A0-4551-A5BC-19DE457AA6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A0-4551-A5BC-19DE457AA6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A0-4551-A5BC-19DE457AA6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9A0-4551-A5BC-19DE457AA6D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9A0-4551-A5BC-19DE457AA6D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48-4BF0-BA7F-4D861BB23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9D-4CD4-A638-39F83550D5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9D-4CD4-A638-39F83550D5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9D-4CD4-A638-39F83550D5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39D-4CD4-A638-39F83550D5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39D-4CD4-A638-39F83550D57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39D-4CD4-A638-39F83550D57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04-44BC-8698-2AD05EE60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2C-4E2D-B535-A1B56E1106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2C-4E2D-B535-A1B56E1106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2C-4E2D-B535-A1B56E1106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42C-4E2D-B535-A1B56E1106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42C-4E2D-B535-A1B56E11068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42C-4E2D-B535-A1B56E11068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CC-48A6-A4D6-7535D78FC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11-4388-990D-577D9F928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11-4388-990D-577D9F928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11-4388-990D-577D9F928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511-4388-990D-577D9F928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511-4388-990D-577D9F928E1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511-4388-990D-577D9F928E1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21-4A9E-B402-40172644D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FC-4CCB-AB0F-A97F354921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FC-4CCB-AB0F-A97F354921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FC-4CCB-AB0F-A97F354921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FC-4CCB-AB0F-A97F354921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FC-4CCB-AB0F-A97F3549211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3FC-4CCB-AB0F-A97F3549211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9C-4DC3-B808-54ED2CA56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177-45E6-80F4-C7F357A9B1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177-45E6-80F4-C7F357A9B1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177-45E6-80F4-C7F357A9B1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177-45E6-80F4-C7F357A9B1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177-45E6-80F4-C7F357A9B1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177-45E6-80F4-C7F357A9B10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01-4631-AAF0-65F8A7000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06-46DD-96AF-31CA32B6CD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06-46DD-96AF-31CA32B6CD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06-46DD-96AF-31CA32B6CD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06-46DD-96AF-31CA32B6CD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306-46DD-96AF-31CA32B6CD6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306-46DD-96AF-31CA32B6CD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54-44AC-A824-B7A36AEF3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81-4468-B825-CC6A72CD2C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81-4468-B825-CC6A72CD2C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81-4468-B825-CC6A72CD2C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A81-4468-B825-CC6A72CD2C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A81-4468-B825-CC6A72CD2C1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A81-4468-B825-CC6A72CD2C1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E4-4B99-B2DC-C0408BD9D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6F-4DF5-A4F2-3458B0CE9B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6F-4DF5-A4F2-3458B0CE9B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B6F-4DF5-A4F2-3458B0CE9B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B6F-4DF5-A4F2-3458B0CE9B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B6F-4DF5-A4F2-3458B0CE9B0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B6F-4DF5-A4F2-3458B0CE9B0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13-4E3C-AAB4-2FE15383E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CF4-44AC-A498-E394F12104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CF4-44AC-A498-E394F12104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CF4-44AC-A498-E394F12104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CF4-44AC-A498-E394F12104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CF4-44AC-A498-E394F12104E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CF4-44AC-A498-E394F12104E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A5-4B94-BB76-7664A4D04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88-481B-8DEF-830009F3C8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88-481B-8DEF-830009F3C8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88-481B-8DEF-830009F3C8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88-481B-8DEF-830009F3C8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88-481B-8DEF-830009F3C83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E88-481B-8DEF-830009F3C83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7F-4795-88CE-7DAF5565A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14-49BF-A93B-CE46AD0D5B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14-49BF-A93B-CE46AD0D5B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714-49BF-A93B-CE46AD0D5B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714-49BF-A93B-CE46AD0D5B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714-49BF-A93B-CE46AD0D5B1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714-49BF-A93B-CE46AD0D5B1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3F-459D-8394-44FFEB452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38-4721-A5C8-CD84DCD2D4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38-4721-A5C8-CD84DCD2D4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038-4721-A5C8-CD84DCD2D4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038-4721-A5C8-CD84DCD2D4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038-4721-A5C8-CD84DCD2D4F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038-4721-A5C8-CD84DCD2D4F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19-4044-B620-A7413045B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61-4D90-95D0-11789D838C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61-4D90-95D0-11789D838C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61-4D90-95D0-11789D838C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761-4D90-95D0-11789D838C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761-4D90-95D0-11789D838C7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761-4D90-95D0-11789D838C7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B0-4BEC-94DF-8A33E9F07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E9-430E-B19B-BEB4649BF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E9-430E-B19B-BEB4649BF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E9-430E-B19B-BEB4649BF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1E9-430E-B19B-BEB4649BF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1E9-430E-B19B-BEB4649BF68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01E9-430E-B19B-BEB4649BF6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F7-4058-AEBA-79CCD382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7D-4760-85DC-0EC3E68E5B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7D-4760-85DC-0EC3E68E5B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7D-4760-85DC-0EC3E68E5B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27D-4760-85DC-0EC3E68E5B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27D-4760-85DC-0EC3E68E5B0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27D-4760-85DC-0EC3E68E5B0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B7-4BFD-A998-6A3638B16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A9-4157-9987-6FF958E22F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4A9-4157-9987-6FF958E22F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4A9-4157-9987-6FF958E22F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4A9-4157-9987-6FF958E22F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4A9-4157-9987-6FF958E22F4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4A9-4157-9987-6FF958E22F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35-44AD-8150-9F7FA9BB7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F5-496F-9DCA-52E8A6743D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F5-496F-9DCA-52E8A6743D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F5-496F-9DCA-52E8A6743D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F5-496F-9DCA-52E8A6743D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F5-496F-9DCA-52E8A6743D6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FF5-496F-9DCA-52E8A6743D6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D5-4221-819A-F18562AC9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D2-4CBC-8015-2E1D81C0B9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D2-4CBC-8015-2E1D81C0B9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7D2-4CBC-8015-2E1D81C0B9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7D2-4CBC-8015-2E1D81C0B9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7D2-4CBC-8015-2E1D81C0B9E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7D2-4CBC-8015-2E1D81C0B9E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29-4726-959A-80FB96BE9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65-49F2-BD8F-D1B23AB0E8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65-49F2-BD8F-D1B23AB0E8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65-49F2-BD8F-D1B23AB0E8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65-49F2-BD8F-D1B23AB0E8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65-49F2-BD8F-D1B23AB0E89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965-49F2-BD8F-D1B23AB0E89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F9-40DF-A35E-3F29967C4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59-4E33-AA31-B998980C8A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59-4E33-AA31-B998980C8A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59-4E33-AA31-B998980C8A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59-4E33-AA31-B998980C8A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F59-4E33-AA31-B998980C8A1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F59-4E33-AA31-B998980C8A1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1A-4572-899A-B48631545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A8C-4920-87E5-716FEAB79A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8C-4920-87E5-716FEAB79A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A8C-4920-87E5-716FEAB79A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A8C-4920-87E5-716FEAB79A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A8C-4920-87E5-716FEAB79A6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A8C-4920-87E5-716FEAB79A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F0-4C79-B459-0168005AB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74ED10-0860-41E0-B16C-4CD82F10E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46AAE8-908E-4B48-8334-D3979B5FE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240F92-5C8E-40F1-B138-44931EFF5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2F01A1-2F50-4AB0-A2DD-18E61435C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85797-1E3C-4C68-88E3-89FB75347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36850E-D44E-4B41-BFE9-AF735BCA4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5D061-CA7F-4409-802E-862EAD24B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D3DB18-4812-4FF0-A2E7-9E4646143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F77C9-4747-47A1-8826-08BFDFACF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B5520D-4AA3-4D43-8B29-9E016F643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D97B6C-A886-4892-B9E2-E9889639EA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19D4D5-0930-4517-B6A8-488F523D4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9AE851-ECB9-4729-B9F1-939AFB5AF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69CB57-F8E2-44DF-9CC3-E2AE38D46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7F6E4-7E44-4A80-9722-886B19771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1E3794-1E3F-4048-89A5-7E51BD80D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EB474-4B2D-4CB9-9AE5-C38785BBC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5A06A-ACC1-4884-9711-6FC747276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3E539-6EC7-4393-92AF-908A32001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1E44EA-58C6-4F49-A3D3-2EA6D6BCC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9DFC7-22C6-4DA4-A52E-1014E580F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EDE6E6-6B4B-4CAF-AAEB-CFCA81850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95D7E-4983-4E4B-BFF9-E396A21D5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A87802-CCBA-4C95-9B3C-4E6D47BD2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F28EF-E89C-4E47-A818-32F019168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003F76-EC07-4E93-95AC-EEFAF4AC3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DB411-4CE9-44F4-9569-FD0D0421D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D6DF53-AB29-4A8B-8210-33CA2DB80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8530AB-06B6-4AE8-8E46-CD5A5F113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6EE719-6382-4BDF-8589-93F0387B5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96A96A-4D69-4E76-880E-9DF0F6FF4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232F6F-22EC-4912-A71C-8C98BE0E2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B20EE-DB59-4CCF-868C-1A1EB94BE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2E933B-2902-4D65-B4C5-1F2BB1889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C8725-372B-458D-AE01-AFD217109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BBFFAB-1234-47A0-B305-BBA4512DF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EEABE8-DAA5-430B-9D82-AF1DC8AE1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C38D3D-0219-4C4F-BD99-0589E51DF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3762F-9CF2-482F-84D2-2C9A83905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C75BC0-B035-4556-AB37-EA172A3FC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105BF-9CBD-471D-AF51-449352490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D6A8CA-AFE9-4A04-AB9B-5726C181C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78157F-1710-40A0-A9CA-8DB0D7185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DC79FF-CB2E-4541-9E6B-FAEFD04AC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2EE69-BD7D-4C4A-B49F-409CE1C5B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CD113A-DB4A-4FFA-8FD1-31CFF6BC1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B5F1E-F873-40BF-9A32-7AEA8F920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730AF4-BFA5-4E22-8D1E-D6112983B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E67167-6D95-4F9A-B4A5-CC96C5D85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D3CA24-8483-43D0-AFC9-A1D0DAF46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EA23B2-89B8-4DD5-BD46-269F8D004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1FD4DE-F9E8-4275-AC52-A12757DEE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E9B25-60BA-4BE2-BA8D-03FFDC4A5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4418DD-3945-416F-8044-0BF34423D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20DAC3-49C6-40E1-A35D-B7B72DBB2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1E8978-6CAC-4A6D-815E-C6A0FA6E0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AF4CB-90A2-4F90-A8FA-A3D424C50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CDE227-BB2F-49F1-94F1-FE20809A2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E357EE-7E68-42A3-946F-15923129D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90F0AC-2C50-4189-8877-956E1B86C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AA96F1-CEA0-4915-8143-7AA285AE6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3E458D-AA62-4F0D-BE2A-50140BE78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50709-74C7-4F4D-AE29-61D98FE6A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B541D6-A9D9-49DB-8C6E-63F163A6C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B0D1B9-B3E7-4132-83F5-A50A104F6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37F1A9-68C8-4BDE-B6AA-B62B702D3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546493-6943-4678-9C1A-596626907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8FA6E9-C666-4536-84E9-E83A05552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DA497-A0D9-4C76-BE62-F9A0A7728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1C7767-0499-47F3-BEB3-6288C89D3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0%20Data_Collection%2075\Daily_Log_Sheets\Log%20Sheet%202079\Daily-Logsheet-2079-09-Poush.xlsx" TargetMode="External"/><Relationship Id="rId1" Type="http://schemas.openxmlformats.org/officeDocument/2006/relationships/externalLinkPath" Target="/DATA/0%20Data_Collection%2075/Daily_Log_Sheets/Log%20Sheet%202079/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</row>
        <row r="241">
          <cell r="A241" t="str">
            <v>NEA(RoR+PRoR)</v>
          </cell>
          <cell r="B241"/>
          <cell r="U241">
            <v>4.1666666666666664E-2</v>
          </cell>
          <cell r="V241">
            <v>8.3333333333333301E-2</v>
          </cell>
          <cell r="W241">
            <v>0.125</v>
          </cell>
          <cell r="X241">
            <v>0.16666666666666699</v>
          </cell>
          <cell r="Y241">
            <v>0.20833333333333301</v>
          </cell>
          <cell r="Z241">
            <v>0.22916666666666666</v>
          </cell>
          <cell r="AA241">
            <v>0.25</v>
          </cell>
          <cell r="AB241">
            <v>0.27083333333333331</v>
          </cell>
          <cell r="AC241">
            <v>0.29166666666666669</v>
          </cell>
          <cell r="AD241">
            <v>0.3125</v>
          </cell>
          <cell r="AE241">
            <v>0.33333333333333331</v>
          </cell>
          <cell r="AF241">
            <v>0.375</v>
          </cell>
          <cell r="AG241">
            <v>0.41666666666666702</v>
          </cell>
          <cell r="AH241">
            <v>0.45833333333333298</v>
          </cell>
          <cell r="AI241">
            <v>0.5</v>
          </cell>
          <cell r="AJ241">
            <v>0.54166666666666696</v>
          </cell>
          <cell r="AK241">
            <v>0.58333333333333304</v>
          </cell>
          <cell r="AL241">
            <v>0.625</v>
          </cell>
          <cell r="AM241">
            <v>0.66666666666666696</v>
          </cell>
          <cell r="AN241">
            <v>0.70833333333333304</v>
          </cell>
          <cell r="AO241">
            <v>0.72916666666666663</v>
          </cell>
          <cell r="AP241">
            <v>0.75</v>
          </cell>
          <cell r="AQ241">
            <v>0.77083333333333337</v>
          </cell>
          <cell r="AR241">
            <v>0.79166666666666663</v>
          </cell>
          <cell r="AS241">
            <v>0.8125</v>
          </cell>
          <cell r="AT241">
            <v>0.83333333333333337</v>
          </cell>
          <cell r="AU241">
            <v>0.85416666666666663</v>
          </cell>
          <cell r="AV241">
            <v>0.875</v>
          </cell>
          <cell r="AW241">
            <v>0.91666666666666696</v>
          </cell>
          <cell r="AX241">
            <v>0.95833333333333304</v>
          </cell>
        </row>
        <row r="242">
          <cell r="A242" t="str">
            <v>KL1+KL2+KL3</v>
          </cell>
          <cell r="B242"/>
          <cell r="S242" t="str">
            <v>T_Load</v>
          </cell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B9C2-BA64-4589-8745-69E73C2F3039}">
  <dimension ref="A1:CJ281"/>
  <sheetViews>
    <sheetView zoomScaleNormal="100" workbookViewId="0">
      <pane xSplit="1" ySplit="10" topLeftCell="B68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A76" sqref="AA76:AF8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2" width="6.85546875" style="1" customWidth="1"/>
    <col min="23" max="23" width="9.7109375" style="1" customWidth="1"/>
    <col min="24" max="24" width="8.7109375" style="1" customWidth="1"/>
    <col min="25" max="25" width="9.7109375" style="1" customWidth="1"/>
    <col min="26" max="26" width="8.71093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"2080/"&amp;"03/"&amp;INT(MID(CELL("filename",D6),FIND("]",CELL("filename",D6))+1,200))</f>
        <v>2080/03/0</v>
      </c>
      <c r="C4" s="203"/>
      <c r="D4" s="203"/>
      <c r="E4" s="204" t="str">
        <f ca="1">"2079/"&amp;"12/"&amp;INT(MID(CELL("filename",G6),FIND("]",CELL("filename",G6))+1,200))</f>
        <v>2079/12/0</v>
      </c>
      <c r="F4" s="204"/>
      <c r="G4" s="204"/>
      <c r="H4" s="204" t="str">
        <f ca="1">TEXT(E4,"dddd")</f>
        <v>2079/12/0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17.5</v>
      </c>
      <c r="C5" s="30">
        <f t="shared" si="0"/>
        <v>19.7</v>
      </c>
      <c r="D5" s="30">
        <f t="shared" si="0"/>
        <v>18.899999999999999</v>
      </c>
      <c r="E5" s="30">
        <f t="shared" si="0"/>
        <v>8.9</v>
      </c>
      <c r="F5" s="30">
        <f t="shared" si="0"/>
        <v>6.4</v>
      </c>
      <c r="G5" s="30">
        <f t="shared" si="0"/>
        <v>1</v>
      </c>
      <c r="H5" s="30">
        <f t="shared" si="0"/>
        <v>0</v>
      </c>
      <c r="I5" s="30">
        <f t="shared" si="0"/>
        <v>3</v>
      </c>
      <c r="J5" s="30">
        <f t="shared" si="0"/>
        <v>27</v>
      </c>
      <c r="K5" s="30">
        <f t="shared" si="0"/>
        <v>25.5</v>
      </c>
      <c r="L5" s="30">
        <f t="shared" si="0"/>
        <v>26.5</v>
      </c>
      <c r="M5" s="30">
        <f t="shared" si="0"/>
        <v>26.5</v>
      </c>
      <c r="N5" s="30">
        <f t="shared" si="0"/>
        <v>6</v>
      </c>
      <c r="O5" s="30">
        <f t="shared" si="0"/>
        <v>15.4</v>
      </c>
      <c r="P5" s="30">
        <f t="shared" si="0"/>
        <v>0</v>
      </c>
      <c r="Q5" s="30">
        <f t="shared" si="0"/>
        <v>12</v>
      </c>
      <c r="R5" s="30">
        <f t="shared" si="0"/>
        <v>1.1000000000000001</v>
      </c>
      <c r="S5" s="30">
        <f t="shared" si="0"/>
        <v>9.9</v>
      </c>
      <c r="T5" s="30">
        <f t="shared" si="0"/>
        <v>11.9</v>
      </c>
      <c r="U5" s="30">
        <f t="shared" si="0"/>
        <v>8.6</v>
      </c>
      <c r="V5" s="30">
        <f t="shared" si="0"/>
        <v>8.6</v>
      </c>
      <c r="W5" s="30">
        <f t="shared" si="0"/>
        <v>8.6</v>
      </c>
      <c r="X5" s="30">
        <f t="shared" si="0"/>
        <v>8.6</v>
      </c>
      <c r="Y5" s="30">
        <f t="shared" si="0"/>
        <v>8.6</v>
      </c>
      <c r="Z5" s="30">
        <f t="shared" si="0"/>
        <v>19.7</v>
      </c>
      <c r="AA5" s="30">
        <f t="shared" si="0"/>
        <v>28.9</v>
      </c>
      <c r="AB5" s="30">
        <f t="shared" si="0"/>
        <v>27.2</v>
      </c>
      <c r="AC5" s="30">
        <f t="shared" si="0"/>
        <v>36.6</v>
      </c>
      <c r="AD5" s="30">
        <f t="shared" si="0"/>
        <v>45.5</v>
      </c>
      <c r="AE5" s="30">
        <f t="shared" si="0"/>
        <v>0</v>
      </c>
      <c r="AF5" s="30">
        <f>B84</f>
        <v>14.7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1992MW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Load=1916</v>
      </c>
      <c r="B7" s="35">
        <f t="shared" ref="B7:AF7" si="1">B91</f>
        <v>1944.8400000000001</v>
      </c>
      <c r="C7" s="35">
        <f t="shared" si="1"/>
        <v>1947.94</v>
      </c>
      <c r="D7" s="35">
        <f t="shared" si="1"/>
        <v>1939.1399999999999</v>
      </c>
      <c r="E7" s="35">
        <f t="shared" si="1"/>
        <v>1933.44</v>
      </c>
      <c r="F7" s="35">
        <f t="shared" si="1"/>
        <v>1915.84</v>
      </c>
      <c r="G7" s="35">
        <f t="shared" si="1"/>
        <v>1933.34</v>
      </c>
      <c r="H7" s="35">
        <f t="shared" si="1"/>
        <v>1920.9399999999998</v>
      </c>
      <c r="I7" s="35">
        <f t="shared" si="1"/>
        <v>1927.4399999999998</v>
      </c>
      <c r="J7" s="35">
        <f t="shared" si="1"/>
        <v>1940.9399999999998</v>
      </c>
      <c r="K7" s="35">
        <f t="shared" si="1"/>
        <v>1937.7399999999998</v>
      </c>
      <c r="L7" s="35">
        <f t="shared" si="1"/>
        <v>1991.94</v>
      </c>
      <c r="M7" s="35">
        <f t="shared" si="1"/>
        <v>1972.34</v>
      </c>
      <c r="N7" s="35">
        <f>N91</f>
        <v>1987.34</v>
      </c>
      <c r="O7" s="35">
        <f t="shared" si="1"/>
        <v>2059.4399999999996</v>
      </c>
      <c r="P7" s="35">
        <f t="shared" si="1"/>
        <v>2099.14</v>
      </c>
      <c r="Q7" s="35">
        <f t="shared" si="1"/>
        <v>2081.7399999999998</v>
      </c>
      <c r="R7" s="35">
        <f t="shared" si="1"/>
        <v>2063.54</v>
      </c>
      <c r="S7" s="35">
        <f t="shared" si="1"/>
        <v>2015.9399999999998</v>
      </c>
      <c r="T7" s="35">
        <f t="shared" si="1"/>
        <v>2003.04</v>
      </c>
      <c r="U7" s="35">
        <f t="shared" si="1"/>
        <v>2035.44</v>
      </c>
      <c r="V7" s="35">
        <f t="shared" si="1"/>
        <v>1982.2399999999998</v>
      </c>
      <c r="W7" s="35">
        <f t="shared" si="1"/>
        <v>1981.2399999999998</v>
      </c>
      <c r="X7" s="35">
        <f t="shared" si="1"/>
        <v>1981.2399999999998</v>
      </c>
      <c r="Y7" s="35">
        <f t="shared" si="1"/>
        <v>1981.2399999999998</v>
      </c>
      <c r="Z7" s="35">
        <f t="shared" si="1"/>
        <v>2026.34</v>
      </c>
      <c r="AA7" s="35">
        <f t="shared" si="1"/>
        <v>2029.539</v>
      </c>
      <c r="AB7" s="35">
        <f t="shared" si="1"/>
        <v>2112.84</v>
      </c>
      <c r="AC7" s="35">
        <f t="shared" si="1"/>
        <v>2103.14</v>
      </c>
      <c r="AD7" s="35">
        <f t="shared" si="1"/>
        <v>2120.84</v>
      </c>
      <c r="AE7" s="35">
        <f t="shared" si="1"/>
        <v>2073.14</v>
      </c>
      <c r="AF7" s="35">
        <f t="shared" si="1"/>
        <v>2005.1399999999999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86.1</v>
      </c>
      <c r="C11" s="45">
        <v>86.1</v>
      </c>
      <c r="D11" s="45">
        <v>86.1</v>
      </c>
      <c r="E11" s="45">
        <v>86.1</v>
      </c>
      <c r="F11" s="45">
        <v>86.1</v>
      </c>
      <c r="G11" s="45">
        <v>86.1</v>
      </c>
      <c r="H11" s="45">
        <v>86.1</v>
      </c>
      <c r="I11" s="45">
        <v>86.1</v>
      </c>
      <c r="J11" s="45">
        <v>86.1</v>
      </c>
      <c r="K11" s="45">
        <v>86.1</v>
      </c>
      <c r="L11" s="45">
        <v>86.1</v>
      </c>
      <c r="M11" s="45">
        <v>86.1</v>
      </c>
      <c r="N11" s="45">
        <v>86.1</v>
      </c>
      <c r="O11" s="45">
        <v>86.1</v>
      </c>
      <c r="P11" s="45">
        <v>86.1</v>
      </c>
      <c r="Q11" s="45">
        <v>86.1</v>
      </c>
      <c r="R11" s="45">
        <v>86.1</v>
      </c>
      <c r="S11" s="45">
        <v>86.1</v>
      </c>
      <c r="T11" s="45">
        <v>86.1</v>
      </c>
      <c r="U11" s="45">
        <v>86.1</v>
      </c>
      <c r="V11" s="45">
        <v>86.1</v>
      </c>
      <c r="W11" s="45">
        <v>86.1</v>
      </c>
      <c r="X11" s="45">
        <v>86.1</v>
      </c>
      <c r="Y11" s="45">
        <v>86.1</v>
      </c>
      <c r="Z11" s="45">
        <v>86.1</v>
      </c>
      <c r="AA11" s="45">
        <v>81.599999999999994</v>
      </c>
      <c r="AB11" s="45">
        <v>86.1</v>
      </c>
      <c r="AC11" s="45">
        <v>86.1</v>
      </c>
      <c r="AD11" s="45">
        <v>86.1</v>
      </c>
      <c r="AE11" s="45">
        <v>86.1</v>
      </c>
      <c r="AF11" s="45">
        <v>86.1</v>
      </c>
      <c r="AG11" s="46">
        <v>86</v>
      </c>
      <c r="AH11" s="47">
        <f t="shared" ref="AH11:AH76" si="2">MAX(B11:AF11)</f>
        <v>86.1</v>
      </c>
      <c r="AI11" s="48">
        <f t="shared" ref="AI11:AI76" si="3">MIN(B11:AF11)</f>
        <v>81.599999999999994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11</v>
      </c>
      <c r="C12" s="45">
        <v>11</v>
      </c>
      <c r="D12" s="45">
        <v>21</v>
      </c>
      <c r="E12" s="45">
        <v>0</v>
      </c>
      <c r="F12" s="45">
        <v>0</v>
      </c>
      <c r="G12" s="45">
        <v>20</v>
      </c>
      <c r="H12" s="45">
        <v>20</v>
      </c>
      <c r="I12" s="45">
        <v>20</v>
      </c>
      <c r="J12" s="45">
        <v>20</v>
      </c>
      <c r="K12" s="45">
        <v>20</v>
      </c>
      <c r="L12" s="45">
        <v>27</v>
      </c>
      <c r="M12" s="45">
        <v>27</v>
      </c>
      <c r="N12" s="45">
        <v>27</v>
      </c>
      <c r="O12" s="45">
        <v>27</v>
      </c>
      <c r="P12" s="45">
        <v>54</v>
      </c>
      <c r="Q12" s="45">
        <v>54</v>
      </c>
      <c r="R12" s="45">
        <v>54</v>
      </c>
      <c r="S12" s="45">
        <v>20</v>
      </c>
      <c r="T12" s="45">
        <v>20</v>
      </c>
      <c r="U12" s="45">
        <v>20</v>
      </c>
      <c r="V12" s="45">
        <v>10</v>
      </c>
      <c r="W12" s="45">
        <v>20</v>
      </c>
      <c r="X12" s="45">
        <v>20</v>
      </c>
      <c r="Y12" s="45">
        <v>20</v>
      </c>
      <c r="Z12" s="45">
        <v>25</v>
      </c>
      <c r="AA12" s="45">
        <v>25</v>
      </c>
      <c r="AB12" s="45">
        <v>26</v>
      </c>
      <c r="AC12" s="45">
        <v>26</v>
      </c>
      <c r="AD12" s="45">
        <v>26</v>
      </c>
      <c r="AE12" s="45">
        <v>26</v>
      </c>
      <c r="AF12" s="45">
        <v>26</v>
      </c>
      <c r="AG12" s="49">
        <v>54</v>
      </c>
      <c r="AH12" s="47">
        <f t="shared" si="2"/>
        <v>54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54.9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>
        <v>55</v>
      </c>
      <c r="K13" s="45">
        <v>55</v>
      </c>
      <c r="L13" s="45">
        <v>55</v>
      </c>
      <c r="M13" s="45">
        <v>55</v>
      </c>
      <c r="N13" s="45">
        <v>55</v>
      </c>
      <c r="O13" s="45">
        <v>55</v>
      </c>
      <c r="P13" s="45">
        <v>55</v>
      </c>
      <c r="Q13" s="45">
        <v>55</v>
      </c>
      <c r="R13" s="45">
        <v>55</v>
      </c>
      <c r="S13" s="45">
        <v>55</v>
      </c>
      <c r="T13" s="45">
        <v>54.8</v>
      </c>
      <c r="U13" s="45">
        <v>54.8</v>
      </c>
      <c r="V13" s="45">
        <v>54.8</v>
      </c>
      <c r="W13" s="45">
        <v>54.8</v>
      </c>
      <c r="X13" s="45">
        <v>54.8</v>
      </c>
      <c r="Y13" s="45">
        <v>54.8</v>
      </c>
      <c r="Z13" s="45">
        <v>54.8</v>
      </c>
      <c r="AA13" s="45">
        <v>54.8</v>
      </c>
      <c r="AB13" s="45">
        <v>54.8</v>
      </c>
      <c r="AC13" s="45">
        <v>54.8</v>
      </c>
      <c r="AD13" s="45">
        <v>54.8</v>
      </c>
      <c r="AE13" s="45">
        <v>54.8</v>
      </c>
      <c r="AF13" s="45">
        <v>54.8</v>
      </c>
      <c r="AG13" s="46">
        <v>52.4</v>
      </c>
      <c r="AH13" s="47">
        <f t="shared" si="2"/>
        <v>55</v>
      </c>
      <c r="AI13" s="48">
        <f t="shared" si="3"/>
        <v>54.8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50.5</v>
      </c>
      <c r="C14" s="45">
        <v>50.5</v>
      </c>
      <c r="D14" s="45">
        <v>50.2</v>
      </c>
      <c r="E14" s="45">
        <v>50.2</v>
      </c>
      <c r="F14" s="45">
        <v>50.2</v>
      </c>
      <c r="G14" s="45">
        <v>50.2</v>
      </c>
      <c r="H14" s="45">
        <v>50.2</v>
      </c>
      <c r="I14" s="45">
        <v>50.2</v>
      </c>
      <c r="J14" s="45">
        <v>50.2</v>
      </c>
      <c r="K14" s="45">
        <v>50.2</v>
      </c>
      <c r="L14" s="45">
        <v>50.2</v>
      </c>
      <c r="M14" s="45">
        <v>50.2</v>
      </c>
      <c r="N14" s="45">
        <v>50.2</v>
      </c>
      <c r="O14" s="45">
        <v>50.2</v>
      </c>
      <c r="P14" s="45">
        <v>50.2</v>
      </c>
      <c r="Q14" s="45">
        <v>50.2</v>
      </c>
      <c r="R14" s="45">
        <v>50.2</v>
      </c>
      <c r="S14" s="45">
        <v>50.2</v>
      </c>
      <c r="T14" s="45">
        <v>50.2</v>
      </c>
      <c r="U14" s="45">
        <v>50.2</v>
      </c>
      <c r="V14" s="45">
        <v>50.2</v>
      </c>
      <c r="W14" s="45">
        <v>50.2</v>
      </c>
      <c r="X14" s="45">
        <v>50.2</v>
      </c>
      <c r="Y14" s="45">
        <v>50.2</v>
      </c>
      <c r="Z14" s="45">
        <v>50.2</v>
      </c>
      <c r="AA14" s="45">
        <v>50.2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49">
        <v>50</v>
      </c>
      <c r="AH14" s="47">
        <f t="shared" si="2"/>
        <v>50.5</v>
      </c>
      <c r="AI14" s="48">
        <f t="shared" si="3"/>
        <v>50.2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46.1</v>
      </c>
      <c r="C15" s="45">
        <v>46</v>
      </c>
      <c r="D15" s="45">
        <v>46</v>
      </c>
      <c r="E15" s="45">
        <v>46</v>
      </c>
      <c r="F15" s="45">
        <v>46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46.1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46.1</v>
      </c>
      <c r="AI15" s="48">
        <f t="shared" si="3"/>
        <v>46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</v>
      </c>
      <c r="C17" s="45">
        <v>28</v>
      </c>
      <c r="D17" s="45">
        <v>28</v>
      </c>
      <c r="E17" s="45">
        <v>28</v>
      </c>
      <c r="F17" s="45">
        <v>28</v>
      </c>
      <c r="G17" s="45">
        <v>28</v>
      </c>
      <c r="H17" s="45">
        <v>28</v>
      </c>
      <c r="I17" s="45">
        <v>28</v>
      </c>
      <c r="J17" s="45">
        <v>28</v>
      </c>
      <c r="K17" s="45">
        <v>28</v>
      </c>
      <c r="L17" s="45">
        <v>36</v>
      </c>
      <c r="M17" s="45">
        <v>33</v>
      </c>
      <c r="N17" s="45">
        <v>33</v>
      </c>
      <c r="O17" s="45">
        <v>29</v>
      </c>
      <c r="P17" s="45">
        <v>29</v>
      </c>
      <c r="Q17" s="45">
        <v>29</v>
      </c>
      <c r="R17" s="45">
        <v>29</v>
      </c>
      <c r="S17" s="45">
        <v>29</v>
      </c>
      <c r="T17" s="45">
        <v>29</v>
      </c>
      <c r="U17" s="45">
        <v>29</v>
      </c>
      <c r="V17" s="45">
        <v>29</v>
      </c>
      <c r="W17" s="45">
        <v>29</v>
      </c>
      <c r="X17" s="45">
        <v>29</v>
      </c>
      <c r="Y17" s="45">
        <v>29</v>
      </c>
      <c r="Z17" s="45">
        <v>40</v>
      </c>
      <c r="AA17" s="45">
        <v>36</v>
      </c>
      <c r="AB17" s="45">
        <v>36</v>
      </c>
      <c r="AC17" s="45">
        <v>36</v>
      </c>
      <c r="AD17" s="45">
        <v>36</v>
      </c>
      <c r="AE17" s="45">
        <v>36</v>
      </c>
      <c r="AF17" s="45">
        <v>36</v>
      </c>
      <c r="AG17" s="49">
        <v>42</v>
      </c>
      <c r="AH17" s="47">
        <f t="shared" si="2"/>
        <v>40</v>
      </c>
      <c r="AI17" s="48">
        <f t="shared" si="3"/>
        <v>28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0</v>
      </c>
      <c r="E19" s="45">
        <v>5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6</v>
      </c>
      <c r="C20" s="45">
        <v>6</v>
      </c>
      <c r="D20" s="45">
        <v>12</v>
      </c>
      <c r="E20" s="45">
        <v>21.1</v>
      </c>
      <c r="F20" s="45">
        <v>5.5</v>
      </c>
      <c r="G20" s="45">
        <v>5.5</v>
      </c>
      <c r="H20" s="45">
        <v>5.5</v>
      </c>
      <c r="I20" s="45">
        <v>5.5</v>
      </c>
      <c r="J20" s="45">
        <v>11</v>
      </c>
      <c r="K20" s="45">
        <v>11</v>
      </c>
      <c r="L20" s="45">
        <v>30</v>
      </c>
      <c r="M20" s="45">
        <v>30</v>
      </c>
      <c r="N20" s="45">
        <v>25</v>
      </c>
      <c r="O20" s="45">
        <v>30</v>
      </c>
      <c r="P20" s="45">
        <v>20.399999999999999</v>
      </c>
      <c r="Q20" s="45">
        <v>20.399999999999999</v>
      </c>
      <c r="R20" s="45">
        <v>15</v>
      </c>
      <c r="S20" s="45">
        <v>15</v>
      </c>
      <c r="T20" s="45">
        <v>15</v>
      </c>
      <c r="U20" s="45">
        <v>15</v>
      </c>
      <c r="V20" s="45">
        <v>10.9</v>
      </c>
      <c r="W20" s="45">
        <v>10.9</v>
      </c>
      <c r="X20" s="45">
        <v>10.9</v>
      </c>
      <c r="Y20" s="45">
        <v>10.9</v>
      </c>
      <c r="Z20" s="45">
        <v>25</v>
      </c>
      <c r="AA20" s="45">
        <v>30</v>
      </c>
      <c r="AB20" s="45">
        <v>30.1</v>
      </c>
      <c r="AC20" s="45">
        <v>30.1</v>
      </c>
      <c r="AD20" s="45">
        <v>30.1</v>
      </c>
      <c r="AE20" s="45">
        <v>15</v>
      </c>
      <c r="AF20" s="45">
        <v>15</v>
      </c>
      <c r="AG20" s="51">
        <v>30</v>
      </c>
      <c r="AH20" s="47">
        <f t="shared" si="2"/>
        <v>30.1</v>
      </c>
      <c r="AI20" s="48">
        <f t="shared" si="3"/>
        <v>5.5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24.8</v>
      </c>
      <c r="C21" s="45">
        <v>24.8</v>
      </c>
      <c r="D21" s="45">
        <v>24.8</v>
      </c>
      <c r="E21" s="45">
        <v>24.8</v>
      </c>
      <c r="F21" s="45">
        <v>24.8</v>
      </c>
      <c r="G21" s="45">
        <v>24.8</v>
      </c>
      <c r="H21" s="45">
        <v>24.8</v>
      </c>
      <c r="I21" s="45">
        <v>24.8</v>
      </c>
      <c r="J21" s="45">
        <v>24.8</v>
      </c>
      <c r="K21" s="45">
        <v>24.8</v>
      </c>
      <c r="L21" s="45">
        <v>24.8</v>
      </c>
      <c r="M21" s="45">
        <v>24.8</v>
      </c>
      <c r="N21" s="45">
        <v>24.8</v>
      </c>
      <c r="O21" s="45">
        <v>24.8</v>
      </c>
      <c r="P21" s="45">
        <v>24.8</v>
      </c>
      <c r="Q21" s="45">
        <v>24.8</v>
      </c>
      <c r="R21" s="45">
        <v>24.8</v>
      </c>
      <c r="S21" s="45">
        <v>24.8</v>
      </c>
      <c r="T21" s="45">
        <v>24.8</v>
      </c>
      <c r="U21" s="45">
        <v>20.7</v>
      </c>
      <c r="V21" s="45">
        <v>20.7</v>
      </c>
      <c r="W21" s="45">
        <v>20.7</v>
      </c>
      <c r="X21" s="45">
        <v>20.7</v>
      </c>
      <c r="Y21" s="45">
        <v>20.7</v>
      </c>
      <c r="Z21" s="45">
        <v>20.7</v>
      </c>
      <c r="AA21" s="45">
        <v>33</v>
      </c>
      <c r="AB21" s="45">
        <v>29</v>
      </c>
      <c r="AC21" s="45">
        <v>29</v>
      </c>
      <c r="AD21" s="45">
        <v>29</v>
      </c>
      <c r="AE21" s="45">
        <v>29</v>
      </c>
      <c r="AF21" s="45">
        <v>29</v>
      </c>
      <c r="AG21" s="49">
        <v>24.2</v>
      </c>
      <c r="AH21" s="47">
        <f t="shared" si="2"/>
        <v>33</v>
      </c>
      <c r="AI21" s="48">
        <f t="shared" si="3"/>
        <v>20.7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15.3</v>
      </c>
      <c r="C22" s="45">
        <v>15.3</v>
      </c>
      <c r="D22" s="45">
        <v>15.4</v>
      </c>
      <c r="E22" s="45">
        <v>15.4</v>
      </c>
      <c r="F22" s="45">
        <v>15.4</v>
      </c>
      <c r="G22" s="45">
        <v>15.4</v>
      </c>
      <c r="H22" s="45">
        <v>15.4</v>
      </c>
      <c r="I22" s="45">
        <v>15.4</v>
      </c>
      <c r="J22" s="45">
        <v>15.4</v>
      </c>
      <c r="K22" s="45">
        <v>15.4</v>
      </c>
      <c r="L22" s="45">
        <v>15.4</v>
      </c>
      <c r="M22" s="45">
        <v>15.4</v>
      </c>
      <c r="N22" s="45">
        <v>15.4</v>
      </c>
      <c r="O22" s="45">
        <v>15.4</v>
      </c>
      <c r="P22" s="45">
        <v>15.4</v>
      </c>
      <c r="Q22" s="45">
        <v>15.4</v>
      </c>
      <c r="R22" s="45">
        <v>15.4</v>
      </c>
      <c r="S22" s="45">
        <v>15.4</v>
      </c>
      <c r="T22" s="45">
        <v>15.4</v>
      </c>
      <c r="U22" s="45">
        <v>15.4</v>
      </c>
      <c r="V22" s="45">
        <v>15.4</v>
      </c>
      <c r="W22" s="45">
        <v>15.4</v>
      </c>
      <c r="X22" s="45">
        <v>15.4</v>
      </c>
      <c r="Y22" s="45">
        <v>15.4</v>
      </c>
      <c r="Z22" s="45">
        <v>15.4</v>
      </c>
      <c r="AA22" s="45">
        <v>15.2</v>
      </c>
      <c r="AB22" s="45">
        <v>14.5</v>
      </c>
      <c r="AC22" s="45">
        <v>14.5</v>
      </c>
      <c r="AD22" s="45">
        <v>14.5</v>
      </c>
      <c r="AE22" s="45">
        <v>14.5</v>
      </c>
      <c r="AF22" s="45">
        <v>14.5</v>
      </c>
      <c r="AG22" s="49">
        <v>28</v>
      </c>
      <c r="AH22" s="47">
        <f t="shared" si="2"/>
        <v>15.4</v>
      </c>
      <c r="AI22" s="48">
        <f t="shared" si="3"/>
        <v>14.5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5</v>
      </c>
      <c r="C23" s="45">
        <v>5</v>
      </c>
      <c r="D23" s="45">
        <v>9</v>
      </c>
      <c r="E23" s="45">
        <v>9</v>
      </c>
      <c r="F23" s="45">
        <v>4</v>
      </c>
      <c r="G23" s="45">
        <v>4</v>
      </c>
      <c r="H23" s="45">
        <v>4</v>
      </c>
      <c r="I23" s="45">
        <v>4</v>
      </c>
      <c r="J23" s="45">
        <v>4</v>
      </c>
      <c r="K23" s="45">
        <v>4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4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26.1</v>
      </c>
      <c r="C24" s="45">
        <v>26.1</v>
      </c>
      <c r="D24" s="45">
        <v>26.1</v>
      </c>
      <c r="E24" s="45">
        <v>26.1</v>
      </c>
      <c r="F24" s="45">
        <v>26.1</v>
      </c>
      <c r="G24" s="45">
        <v>26.1</v>
      </c>
      <c r="H24" s="45">
        <v>26.1</v>
      </c>
      <c r="I24" s="45">
        <v>26.1</v>
      </c>
      <c r="J24" s="45">
        <v>26.1</v>
      </c>
      <c r="K24" s="45">
        <v>26.1</v>
      </c>
      <c r="L24" s="45">
        <v>26.1</v>
      </c>
      <c r="M24" s="45">
        <v>26.1</v>
      </c>
      <c r="N24" s="45">
        <v>26.1</v>
      </c>
      <c r="O24" s="45">
        <v>26.1</v>
      </c>
      <c r="P24" s="45">
        <v>24.6</v>
      </c>
      <c r="Q24" s="45">
        <v>24.6</v>
      </c>
      <c r="R24" s="45">
        <v>24.6</v>
      </c>
      <c r="S24" s="45">
        <v>24.6</v>
      </c>
      <c r="T24" s="45">
        <v>24.6</v>
      </c>
      <c r="U24" s="45">
        <v>26.2</v>
      </c>
      <c r="V24" s="45">
        <v>26.2</v>
      </c>
      <c r="W24" s="45">
        <v>26.2</v>
      </c>
      <c r="X24" s="45">
        <v>26.2</v>
      </c>
      <c r="Y24" s="45">
        <v>26.2</v>
      </c>
      <c r="Z24" s="45">
        <v>26.2</v>
      </c>
      <c r="AA24" s="45">
        <v>25.9</v>
      </c>
      <c r="AB24" s="45">
        <v>24.5</v>
      </c>
      <c r="AC24" s="45">
        <v>24.5</v>
      </c>
      <c r="AD24" s="45">
        <v>24.5</v>
      </c>
      <c r="AE24" s="45">
        <v>24.5</v>
      </c>
      <c r="AF24" s="45">
        <v>24.5</v>
      </c>
      <c r="AG24" s="49">
        <v>25</v>
      </c>
      <c r="AH24" s="47">
        <f t="shared" si="2"/>
        <v>26.2</v>
      </c>
      <c r="AI24" s="48">
        <f t="shared" si="3"/>
        <v>24.5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5</v>
      </c>
      <c r="C27" s="45">
        <v>5</v>
      </c>
      <c r="D27" s="45">
        <v>10</v>
      </c>
      <c r="E27" s="45">
        <v>16</v>
      </c>
      <c r="F27" s="45">
        <v>4</v>
      </c>
      <c r="G27" s="45">
        <v>4</v>
      </c>
      <c r="H27" s="45">
        <v>4</v>
      </c>
      <c r="I27" s="45">
        <v>4</v>
      </c>
      <c r="J27" s="45">
        <v>9</v>
      </c>
      <c r="K27" s="45">
        <v>9</v>
      </c>
      <c r="L27" s="45">
        <v>9</v>
      </c>
      <c r="M27" s="45">
        <v>9</v>
      </c>
      <c r="N27" s="45">
        <v>9</v>
      </c>
      <c r="O27" s="45">
        <v>25</v>
      </c>
      <c r="P27" s="45">
        <v>25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20</v>
      </c>
      <c r="W27" s="45">
        <v>15</v>
      </c>
      <c r="X27" s="45">
        <v>15</v>
      </c>
      <c r="Y27" s="45">
        <v>15</v>
      </c>
      <c r="Z27" s="45">
        <v>25</v>
      </c>
      <c r="AA27" s="45">
        <v>15</v>
      </c>
      <c r="AB27" s="45">
        <v>25</v>
      </c>
      <c r="AC27" s="45">
        <v>25</v>
      </c>
      <c r="AD27" s="45">
        <v>25</v>
      </c>
      <c r="AE27" s="45">
        <v>12.5</v>
      </c>
      <c r="AF27" s="45">
        <v>12.5</v>
      </c>
      <c r="AG27" s="49">
        <v>25</v>
      </c>
      <c r="AH27" s="47">
        <f t="shared" si="2"/>
        <v>25</v>
      </c>
      <c r="AI27" s="48">
        <f t="shared" si="3"/>
        <v>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24.8</v>
      </c>
      <c r="C28" s="45">
        <v>24.8</v>
      </c>
      <c r="D28" s="45">
        <v>24.8</v>
      </c>
      <c r="E28" s="45">
        <v>24.8</v>
      </c>
      <c r="F28" s="45">
        <v>24.8</v>
      </c>
      <c r="G28" s="45">
        <v>24.8</v>
      </c>
      <c r="H28" s="45">
        <v>24.8</v>
      </c>
      <c r="I28" s="45">
        <v>24.8</v>
      </c>
      <c r="J28" s="45">
        <v>24.8</v>
      </c>
      <c r="K28" s="45">
        <v>24.8</v>
      </c>
      <c r="L28" s="45">
        <v>24.8</v>
      </c>
      <c r="M28" s="45">
        <v>24.8</v>
      </c>
      <c r="N28" s="45">
        <v>24.8</v>
      </c>
      <c r="O28" s="45">
        <v>24.8</v>
      </c>
      <c r="P28" s="45">
        <v>24.8</v>
      </c>
      <c r="Q28" s="45">
        <v>24.8</v>
      </c>
      <c r="R28" s="45">
        <v>24.8</v>
      </c>
      <c r="S28" s="45">
        <v>24.8</v>
      </c>
      <c r="T28" s="45">
        <v>24.8</v>
      </c>
      <c r="U28" s="45">
        <v>24.8</v>
      </c>
      <c r="V28" s="45">
        <v>24.8</v>
      </c>
      <c r="W28" s="45">
        <v>24.8</v>
      </c>
      <c r="X28" s="45">
        <v>24.8</v>
      </c>
      <c r="Y28" s="45">
        <v>24.8</v>
      </c>
      <c r="Z28" s="45">
        <v>24.8</v>
      </c>
      <c r="AA28" s="45">
        <v>24.8</v>
      </c>
      <c r="AB28" s="45">
        <v>24.8</v>
      </c>
      <c r="AC28" s="45">
        <v>24.8</v>
      </c>
      <c r="AD28" s="45">
        <v>24.8</v>
      </c>
      <c r="AE28" s="45">
        <v>24.8</v>
      </c>
      <c r="AF28" s="45">
        <v>24.8</v>
      </c>
      <c r="AG28" s="49">
        <v>23.5</v>
      </c>
      <c r="AH28" s="47">
        <f t="shared" si="2"/>
        <v>24.8</v>
      </c>
      <c r="AI28" s="48">
        <f t="shared" si="3"/>
        <v>24.8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26</v>
      </c>
      <c r="C32" s="45">
        <v>26</v>
      </c>
      <c r="D32" s="45">
        <v>26</v>
      </c>
      <c r="E32" s="45">
        <v>26</v>
      </c>
      <c r="F32" s="45">
        <v>26</v>
      </c>
      <c r="G32" s="45">
        <v>26</v>
      </c>
      <c r="H32" s="45">
        <v>26</v>
      </c>
      <c r="I32" s="45">
        <v>26</v>
      </c>
      <c r="J32" s="45">
        <v>26</v>
      </c>
      <c r="K32" s="45">
        <v>26</v>
      </c>
      <c r="L32" s="45">
        <v>26</v>
      </c>
      <c r="M32" s="45">
        <v>26</v>
      </c>
      <c r="N32" s="45">
        <v>26</v>
      </c>
      <c r="O32" s="45">
        <v>26</v>
      </c>
      <c r="P32" s="45">
        <v>26</v>
      </c>
      <c r="Q32" s="45">
        <v>26</v>
      </c>
      <c r="R32" s="45">
        <v>26</v>
      </c>
      <c r="S32" s="45">
        <v>26</v>
      </c>
      <c r="T32" s="45">
        <v>26</v>
      </c>
      <c r="U32" s="45">
        <v>26</v>
      </c>
      <c r="V32" s="45">
        <v>26</v>
      </c>
      <c r="W32" s="45">
        <v>26</v>
      </c>
      <c r="X32" s="45">
        <v>26</v>
      </c>
      <c r="Y32" s="45">
        <v>26</v>
      </c>
      <c r="Z32" s="45">
        <v>26</v>
      </c>
      <c r="AA32" s="45">
        <v>24.1</v>
      </c>
      <c r="AB32" s="45">
        <v>26.5</v>
      </c>
      <c r="AC32" s="45">
        <v>26.5</v>
      </c>
      <c r="AD32" s="45">
        <v>26.5</v>
      </c>
      <c r="AE32" s="45">
        <v>26.5</v>
      </c>
      <c r="AF32" s="45">
        <v>26.5</v>
      </c>
      <c r="AG32" s="49">
        <v>22</v>
      </c>
      <c r="AH32" s="47">
        <f t="shared" si="2"/>
        <v>26.5</v>
      </c>
      <c r="AI32" s="48">
        <f t="shared" si="3"/>
        <v>24.1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10</v>
      </c>
      <c r="W33" s="45">
        <v>10</v>
      </c>
      <c r="X33" s="45">
        <v>10</v>
      </c>
      <c r="Y33" s="45">
        <v>10</v>
      </c>
      <c r="Z33" s="45">
        <v>15</v>
      </c>
      <c r="AA33" s="45">
        <v>10</v>
      </c>
      <c r="AB33" s="45">
        <v>10</v>
      </c>
      <c r="AC33" s="45">
        <v>5</v>
      </c>
      <c r="AD33" s="45">
        <v>5</v>
      </c>
      <c r="AE33" s="45">
        <v>5</v>
      </c>
      <c r="AF33" s="45">
        <v>5</v>
      </c>
      <c r="AG33" s="49">
        <v>20</v>
      </c>
      <c r="AH33" s="47">
        <f t="shared" si="2"/>
        <v>15</v>
      </c>
      <c r="AI33" s="48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8</v>
      </c>
      <c r="AB34" s="45">
        <v>8</v>
      </c>
      <c r="AC34" s="45">
        <v>5</v>
      </c>
      <c r="AD34" s="45">
        <v>5</v>
      </c>
      <c r="AE34" s="45">
        <v>5</v>
      </c>
      <c r="AF34" s="45">
        <v>5</v>
      </c>
      <c r="AG34" s="49">
        <v>18</v>
      </c>
      <c r="AH34" s="47">
        <f t="shared" si="2"/>
        <v>8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15.8</v>
      </c>
      <c r="C35" s="45">
        <v>15.8</v>
      </c>
      <c r="D35" s="45">
        <v>15.8</v>
      </c>
      <c r="E35" s="45">
        <v>15.8</v>
      </c>
      <c r="F35" s="45">
        <v>15.8</v>
      </c>
      <c r="G35" s="45">
        <v>15.8</v>
      </c>
      <c r="H35" s="45">
        <v>15.8</v>
      </c>
      <c r="I35" s="45">
        <v>15.8</v>
      </c>
      <c r="J35" s="45">
        <v>15.8</v>
      </c>
      <c r="K35" s="45">
        <v>15.8</v>
      </c>
      <c r="L35" s="45">
        <v>15.8</v>
      </c>
      <c r="M35" s="45">
        <v>15.8</v>
      </c>
      <c r="N35" s="45">
        <v>15.8</v>
      </c>
      <c r="O35" s="45">
        <v>15.8</v>
      </c>
      <c r="P35" s="45">
        <v>15.8</v>
      </c>
      <c r="Q35" s="45">
        <v>15.8</v>
      </c>
      <c r="R35" s="45">
        <v>15.8</v>
      </c>
      <c r="S35" s="45">
        <v>15.8</v>
      </c>
      <c r="T35" s="45">
        <v>15.8</v>
      </c>
      <c r="U35" s="45">
        <v>15.8</v>
      </c>
      <c r="V35" s="45">
        <v>15.8</v>
      </c>
      <c r="W35" s="45">
        <v>15.8</v>
      </c>
      <c r="X35" s="45">
        <v>15.8</v>
      </c>
      <c r="Y35" s="45">
        <v>15.8</v>
      </c>
      <c r="Z35" s="45">
        <v>15.8</v>
      </c>
      <c r="AA35" s="45">
        <v>15.8</v>
      </c>
      <c r="AB35" s="45">
        <v>15.8</v>
      </c>
      <c r="AC35" s="45">
        <v>15.8</v>
      </c>
      <c r="AD35" s="45">
        <v>15.8</v>
      </c>
      <c r="AE35" s="45">
        <v>15.8</v>
      </c>
      <c r="AF35" s="45">
        <v>15.8</v>
      </c>
      <c r="AG35" s="49">
        <v>14.9</v>
      </c>
      <c r="AH35" s="47">
        <f t="shared" si="2"/>
        <v>15.8</v>
      </c>
      <c r="AI35" s="48">
        <f t="shared" si="3"/>
        <v>15.8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12</v>
      </c>
      <c r="C39" s="45">
        <v>12</v>
      </c>
      <c r="D39" s="45">
        <v>12</v>
      </c>
      <c r="E39" s="45">
        <v>8</v>
      </c>
      <c r="F39" s="45">
        <v>2</v>
      </c>
      <c r="G39" s="45">
        <v>2</v>
      </c>
      <c r="H39" s="45">
        <v>2</v>
      </c>
      <c r="I39" s="45">
        <v>2</v>
      </c>
      <c r="J39" s="45">
        <v>2</v>
      </c>
      <c r="K39" s="45">
        <v>2</v>
      </c>
      <c r="L39" s="45">
        <v>12</v>
      </c>
      <c r="M39" s="45">
        <v>8</v>
      </c>
      <c r="N39" s="45">
        <v>8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6</v>
      </c>
      <c r="X39" s="45">
        <v>6</v>
      </c>
      <c r="Y39" s="45">
        <v>6</v>
      </c>
      <c r="Z39" s="45">
        <v>6</v>
      </c>
      <c r="AA39" s="45">
        <v>12</v>
      </c>
      <c r="AB39" s="45">
        <v>12</v>
      </c>
      <c r="AC39" s="45">
        <v>12</v>
      </c>
      <c r="AD39" s="45">
        <v>12</v>
      </c>
      <c r="AE39" s="45">
        <v>6</v>
      </c>
      <c r="AF39" s="45">
        <v>6</v>
      </c>
      <c r="AG39" s="49">
        <v>12</v>
      </c>
      <c r="AH39" s="47">
        <f t="shared" si="2"/>
        <v>12</v>
      </c>
      <c r="AI39" s="48">
        <f t="shared" si="3"/>
        <v>2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11.8</v>
      </c>
      <c r="C43" s="45">
        <v>11.8</v>
      </c>
      <c r="D43" s="45">
        <v>11.8</v>
      </c>
      <c r="E43" s="45">
        <v>11.8</v>
      </c>
      <c r="F43" s="45">
        <v>11.8</v>
      </c>
      <c r="G43" s="45">
        <v>11.8</v>
      </c>
      <c r="H43" s="45">
        <v>11.8</v>
      </c>
      <c r="I43" s="45">
        <v>11.8</v>
      </c>
      <c r="J43" s="45">
        <v>11.8</v>
      </c>
      <c r="K43" s="45">
        <v>11.8</v>
      </c>
      <c r="L43" s="45">
        <v>11.8</v>
      </c>
      <c r="M43" s="45">
        <v>11.8</v>
      </c>
      <c r="N43" s="45">
        <v>11.8</v>
      </c>
      <c r="O43" s="45">
        <v>11.8</v>
      </c>
      <c r="P43" s="45">
        <v>11.8</v>
      </c>
      <c r="Q43" s="45">
        <v>11.8</v>
      </c>
      <c r="R43" s="45">
        <v>11.8</v>
      </c>
      <c r="S43" s="45">
        <v>11.8</v>
      </c>
      <c r="T43" s="45">
        <v>11.8</v>
      </c>
      <c r="U43" s="45">
        <v>11.8</v>
      </c>
      <c r="V43" s="45">
        <v>11.8</v>
      </c>
      <c r="W43" s="45">
        <v>11.8</v>
      </c>
      <c r="X43" s="45">
        <v>11.8</v>
      </c>
      <c r="Y43" s="45">
        <v>11.8</v>
      </c>
      <c r="Z43" s="45">
        <v>11.8</v>
      </c>
      <c r="AA43" s="45">
        <v>11.8</v>
      </c>
      <c r="AB43" s="45">
        <v>11.8</v>
      </c>
      <c r="AC43" s="45">
        <v>11.8</v>
      </c>
      <c r="AD43" s="45">
        <v>11.8</v>
      </c>
      <c r="AE43" s="45">
        <v>11.8</v>
      </c>
      <c r="AF43" s="45">
        <v>11.8</v>
      </c>
      <c r="AG43" s="51">
        <v>11.88</v>
      </c>
      <c r="AH43" s="47">
        <f t="shared" si="2"/>
        <v>11.8</v>
      </c>
      <c r="AI43" s="48">
        <f t="shared" si="3"/>
        <v>11.8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50"/>
    </row>
    <row r="50" spans="1:41" ht="15.75" thickBot="1" x14ac:dyDescent="0.3">
      <c r="A50" s="59" t="s">
        <v>58</v>
      </c>
      <c r="B50" s="60">
        <f t="shared" ref="B50:AF50" si="4">SUM(B11:B48)</f>
        <v>993.5</v>
      </c>
      <c r="C50" s="60">
        <f t="shared" si="4"/>
        <v>993.3</v>
      </c>
      <c r="D50" s="60">
        <f t="shared" si="4"/>
        <v>982.19999999999993</v>
      </c>
      <c r="E50" s="60">
        <f t="shared" si="4"/>
        <v>977.3</v>
      </c>
      <c r="F50" s="60">
        <f t="shared" si="4"/>
        <v>969.69999999999993</v>
      </c>
      <c r="G50" s="60">
        <f t="shared" si="4"/>
        <v>989.69999999999993</v>
      </c>
      <c r="H50" s="60">
        <f t="shared" si="4"/>
        <v>989.69999999999993</v>
      </c>
      <c r="I50" s="60">
        <f t="shared" si="4"/>
        <v>989.69999999999993</v>
      </c>
      <c r="J50" s="60">
        <f t="shared" si="4"/>
        <v>1000.1999999999999</v>
      </c>
      <c r="K50" s="60">
        <f t="shared" si="4"/>
        <v>1000.1999999999999</v>
      </c>
      <c r="L50" s="60">
        <f t="shared" si="4"/>
        <v>1049.1999999999998</v>
      </c>
      <c r="M50" s="60">
        <f t="shared" si="4"/>
        <v>1054.1999999999998</v>
      </c>
      <c r="N50" s="60">
        <f t="shared" si="4"/>
        <v>1049.1999999999998</v>
      </c>
      <c r="O50" s="60">
        <f t="shared" si="4"/>
        <v>1070.1999999999998</v>
      </c>
      <c r="P50" s="60">
        <f t="shared" si="4"/>
        <v>1086.0999999999999</v>
      </c>
      <c r="Q50" s="60">
        <f t="shared" si="4"/>
        <v>1086.0999999999999</v>
      </c>
      <c r="R50" s="60">
        <f t="shared" si="4"/>
        <v>1080.6999999999998</v>
      </c>
      <c r="S50" s="60">
        <f t="shared" si="4"/>
        <v>1046.6999999999998</v>
      </c>
      <c r="T50" s="60">
        <f t="shared" si="4"/>
        <v>1046.5</v>
      </c>
      <c r="U50" s="60">
        <f t="shared" si="4"/>
        <v>1043.9999999999998</v>
      </c>
      <c r="V50" s="60">
        <f t="shared" si="4"/>
        <v>1029.8999999999999</v>
      </c>
      <c r="W50" s="60">
        <f t="shared" si="4"/>
        <v>1028.8999999999999</v>
      </c>
      <c r="X50" s="60">
        <f t="shared" si="4"/>
        <v>1028.8999999999999</v>
      </c>
      <c r="Y50" s="60">
        <f t="shared" si="4"/>
        <v>1028.8999999999999</v>
      </c>
      <c r="Z50" s="60">
        <f t="shared" si="4"/>
        <v>1074</v>
      </c>
      <c r="AA50" s="60">
        <v>1047.8989999999999</v>
      </c>
      <c r="AB50" s="60">
        <f t="shared" si="4"/>
        <v>1093</v>
      </c>
      <c r="AC50" s="60">
        <f t="shared" si="4"/>
        <v>1085</v>
      </c>
      <c r="AD50" s="60">
        <f t="shared" si="4"/>
        <v>1085</v>
      </c>
      <c r="AE50" s="60">
        <f t="shared" si="4"/>
        <v>1051.3999999999999</v>
      </c>
      <c r="AF50" s="60">
        <f t="shared" si="4"/>
        <v>1051.3999999999999</v>
      </c>
      <c r="AG50" s="61">
        <f>SUM(AG13:AG48)</f>
        <v>922.14</v>
      </c>
      <c r="AH50" s="47">
        <f t="shared" si="2"/>
        <v>1093</v>
      </c>
      <c r="AI50" s="48">
        <f t="shared" si="3"/>
        <v>969.69999999999993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60</v>
      </c>
      <c r="S52" s="64">
        <v>60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22.5</v>
      </c>
      <c r="AK53" s="50"/>
    </row>
    <row r="54" spans="1:41" ht="15.75" thickBot="1" x14ac:dyDescent="0.3">
      <c r="A54" s="68" t="s">
        <v>62</v>
      </c>
      <c r="B54" s="60">
        <f t="shared" ref="B54:AG54" si="5">SUM(B51:B53)</f>
        <v>533.5</v>
      </c>
      <c r="C54" s="60">
        <f t="shared" si="5"/>
        <v>533.5</v>
      </c>
      <c r="D54" s="60">
        <f t="shared" si="5"/>
        <v>533.5</v>
      </c>
      <c r="E54" s="60">
        <f t="shared" si="5"/>
        <v>533.5</v>
      </c>
      <c r="F54" s="60">
        <f t="shared" si="5"/>
        <v>533.5</v>
      </c>
      <c r="G54" s="60">
        <f t="shared" si="5"/>
        <v>533.5</v>
      </c>
      <c r="H54" s="60">
        <f t="shared" si="5"/>
        <v>533.5</v>
      </c>
      <c r="I54" s="60">
        <f t="shared" si="5"/>
        <v>533.5</v>
      </c>
      <c r="J54" s="60">
        <f t="shared" si="5"/>
        <v>533.5</v>
      </c>
      <c r="K54" s="60">
        <f t="shared" si="5"/>
        <v>533.5</v>
      </c>
      <c r="L54" s="60">
        <f t="shared" si="5"/>
        <v>533.5</v>
      </c>
      <c r="M54" s="60">
        <f t="shared" si="5"/>
        <v>533.5</v>
      </c>
      <c r="N54" s="60">
        <f t="shared" si="5"/>
        <v>533.5</v>
      </c>
      <c r="O54" s="60">
        <f t="shared" si="5"/>
        <v>533.5</v>
      </c>
      <c r="P54" s="60">
        <f t="shared" si="5"/>
        <v>533.5</v>
      </c>
      <c r="Q54" s="60">
        <f t="shared" si="5"/>
        <v>533.5</v>
      </c>
      <c r="R54" s="60">
        <f t="shared" si="5"/>
        <v>538.5</v>
      </c>
      <c r="S54" s="60">
        <f t="shared" si="5"/>
        <v>538.5</v>
      </c>
      <c r="T54" s="60">
        <f t="shared" si="5"/>
        <v>538.5</v>
      </c>
      <c r="U54" s="60">
        <f t="shared" si="5"/>
        <v>538.5</v>
      </c>
      <c r="V54" s="60">
        <f t="shared" si="5"/>
        <v>538.5</v>
      </c>
      <c r="W54" s="60">
        <f t="shared" si="5"/>
        <v>538.5</v>
      </c>
      <c r="X54" s="60">
        <f t="shared" si="5"/>
        <v>538.5</v>
      </c>
      <c r="Y54" s="60">
        <f t="shared" si="5"/>
        <v>538.5</v>
      </c>
      <c r="Z54" s="60">
        <f t="shared" si="5"/>
        <v>538.5</v>
      </c>
      <c r="AA54" s="60">
        <v>538.5</v>
      </c>
      <c r="AB54" s="60">
        <f t="shared" si="5"/>
        <v>538.5</v>
      </c>
      <c r="AC54" s="60">
        <f t="shared" si="5"/>
        <v>538.5</v>
      </c>
      <c r="AD54" s="60">
        <f t="shared" si="5"/>
        <v>538.5</v>
      </c>
      <c r="AE54" s="60">
        <f t="shared" si="5"/>
        <v>533.5</v>
      </c>
      <c r="AF54" s="60">
        <f t="shared" si="5"/>
        <v>533.5</v>
      </c>
      <c r="AG54" s="61">
        <f t="shared" si="5"/>
        <v>538.1</v>
      </c>
      <c r="AH54" s="47">
        <f t="shared" si="2"/>
        <v>538.5</v>
      </c>
      <c r="AI54" s="48">
        <f t="shared" si="3"/>
        <v>533.5</v>
      </c>
      <c r="AK54" s="50"/>
    </row>
    <row r="55" spans="1:41" x14ac:dyDescent="0.25">
      <c r="A55" s="44" t="s">
        <v>63</v>
      </c>
      <c r="B55" s="45">
        <v>137</v>
      </c>
      <c r="C55" s="45">
        <v>137</v>
      </c>
      <c r="D55" s="45">
        <v>137.30000000000001</v>
      </c>
      <c r="E55" s="45">
        <v>137.30000000000001</v>
      </c>
      <c r="F55" s="45">
        <v>137.30000000000001</v>
      </c>
      <c r="G55" s="45">
        <v>137.30000000000001</v>
      </c>
      <c r="H55" s="45">
        <v>137.30000000000001</v>
      </c>
      <c r="I55" s="45">
        <v>137.30000000000001</v>
      </c>
      <c r="J55" s="45">
        <v>137.30000000000001</v>
      </c>
      <c r="K55" s="45">
        <v>137.30000000000001</v>
      </c>
      <c r="L55" s="45">
        <v>137.30000000000001</v>
      </c>
      <c r="M55" s="45">
        <v>138</v>
      </c>
      <c r="N55" s="45">
        <v>138</v>
      </c>
      <c r="O55" s="45">
        <v>138</v>
      </c>
      <c r="P55" s="45">
        <v>138</v>
      </c>
      <c r="Q55" s="45">
        <v>136</v>
      </c>
      <c r="R55" s="45">
        <v>137</v>
      </c>
      <c r="S55" s="45">
        <v>137</v>
      </c>
      <c r="T55" s="45">
        <v>137</v>
      </c>
      <c r="U55" s="45">
        <v>137</v>
      </c>
      <c r="V55" s="45">
        <v>137</v>
      </c>
      <c r="W55" s="45">
        <v>137</v>
      </c>
      <c r="X55" s="45">
        <v>137</v>
      </c>
      <c r="Y55" s="45">
        <v>137</v>
      </c>
      <c r="Z55" s="45">
        <v>137</v>
      </c>
      <c r="AA55" s="45">
        <v>138</v>
      </c>
      <c r="AB55" s="45">
        <v>138.30000000000001</v>
      </c>
      <c r="AC55" s="45">
        <v>138.30000000000001</v>
      </c>
      <c r="AD55" s="45">
        <v>138.30000000000001</v>
      </c>
      <c r="AE55" s="45">
        <v>138.30000000000001</v>
      </c>
      <c r="AF55" s="45">
        <v>139</v>
      </c>
      <c r="AG55" s="51">
        <v>144</v>
      </c>
      <c r="AH55" s="47">
        <f t="shared" si="2"/>
        <v>139</v>
      </c>
      <c r="AI55" s="48">
        <f t="shared" si="3"/>
        <v>136</v>
      </c>
      <c r="AK55" s="50"/>
    </row>
    <row r="56" spans="1:41" x14ac:dyDescent="0.25">
      <c r="A56" s="53" t="s">
        <v>64</v>
      </c>
      <c r="B56" s="45">
        <v>70.3</v>
      </c>
      <c r="C56" s="45">
        <v>69.8</v>
      </c>
      <c r="D56" s="45">
        <v>69.900000000000006</v>
      </c>
      <c r="E56" s="45">
        <v>69.900000000000006</v>
      </c>
      <c r="F56" s="45">
        <v>69.900000000000006</v>
      </c>
      <c r="G56" s="45">
        <v>69.900000000000006</v>
      </c>
      <c r="H56" s="45">
        <v>69.900000000000006</v>
      </c>
      <c r="I56" s="45">
        <v>69.900000000000006</v>
      </c>
      <c r="J56" s="45">
        <v>69.900000000000006</v>
      </c>
      <c r="K56" s="45">
        <v>69.900000000000006</v>
      </c>
      <c r="L56" s="45">
        <v>69.900000000000006</v>
      </c>
      <c r="M56" s="45">
        <v>50</v>
      </c>
      <c r="N56" s="45">
        <v>70</v>
      </c>
      <c r="O56" s="45">
        <v>70</v>
      </c>
      <c r="P56" s="64">
        <v>71.3</v>
      </c>
      <c r="Q56" s="64">
        <v>71.3</v>
      </c>
      <c r="R56" s="64">
        <v>71.3</v>
      </c>
      <c r="S56" s="64">
        <v>71.3</v>
      </c>
      <c r="T56" s="64">
        <v>71.3</v>
      </c>
      <c r="U56" s="64">
        <v>70.3</v>
      </c>
      <c r="V56" s="64">
        <v>70.3</v>
      </c>
      <c r="W56" s="64">
        <v>70.3</v>
      </c>
      <c r="X56" s="64">
        <v>70.3</v>
      </c>
      <c r="Y56" s="64">
        <v>70.3</v>
      </c>
      <c r="Z56" s="64">
        <v>70.3</v>
      </c>
      <c r="AA56" s="45">
        <v>70.599999999999994</v>
      </c>
      <c r="AB56" s="45">
        <v>71.5</v>
      </c>
      <c r="AC56" s="45">
        <v>71.5</v>
      </c>
      <c r="AD56" s="45">
        <v>71.5</v>
      </c>
      <c r="AE56" s="45">
        <v>71.5</v>
      </c>
      <c r="AF56" s="45">
        <v>71.5</v>
      </c>
      <c r="AG56" s="54">
        <v>70</v>
      </c>
      <c r="AH56" s="47">
        <f t="shared" si="2"/>
        <v>71.5</v>
      </c>
      <c r="AI56" s="48">
        <f t="shared" si="3"/>
        <v>50</v>
      </c>
      <c r="AK56" s="50"/>
    </row>
    <row r="57" spans="1:41" x14ac:dyDescent="0.25">
      <c r="A57" s="53" t="s">
        <v>65</v>
      </c>
      <c r="B57" s="45">
        <v>46</v>
      </c>
      <c r="C57" s="45">
        <v>46</v>
      </c>
      <c r="D57" s="45">
        <v>45</v>
      </c>
      <c r="E57" s="45">
        <v>45</v>
      </c>
      <c r="F57" s="45">
        <v>45</v>
      </c>
      <c r="G57" s="45">
        <v>45</v>
      </c>
      <c r="H57" s="45">
        <v>45</v>
      </c>
      <c r="I57" s="45">
        <v>45</v>
      </c>
      <c r="J57" s="45">
        <v>45</v>
      </c>
      <c r="K57" s="45">
        <v>45</v>
      </c>
      <c r="L57" s="45">
        <v>45</v>
      </c>
      <c r="M57" s="45">
        <v>45</v>
      </c>
      <c r="N57" s="45">
        <v>45</v>
      </c>
      <c r="O57" s="45">
        <v>45</v>
      </c>
      <c r="P57" s="64">
        <v>45.1</v>
      </c>
      <c r="Q57" s="64">
        <v>45.1</v>
      </c>
      <c r="R57" s="64">
        <v>45.1</v>
      </c>
      <c r="S57" s="64">
        <v>45.1</v>
      </c>
      <c r="T57" s="64">
        <v>45.1</v>
      </c>
      <c r="U57" s="64">
        <v>45.2</v>
      </c>
      <c r="V57" s="64">
        <v>45.2</v>
      </c>
      <c r="W57" s="64">
        <v>45.2</v>
      </c>
      <c r="X57" s="64">
        <v>45.2</v>
      </c>
      <c r="Y57" s="64">
        <v>45.2</v>
      </c>
      <c r="Z57" s="64">
        <v>45.2</v>
      </c>
      <c r="AA57" s="45">
        <v>60.2</v>
      </c>
      <c r="AB57" s="45">
        <v>65.5</v>
      </c>
      <c r="AC57" s="45">
        <v>65.5</v>
      </c>
      <c r="AD57" s="45">
        <v>65.5</v>
      </c>
      <c r="AE57" s="45">
        <v>65.5</v>
      </c>
      <c r="AF57" s="45">
        <v>65.5</v>
      </c>
      <c r="AG57" s="54">
        <v>69</v>
      </c>
      <c r="AH57" s="47">
        <f t="shared" si="2"/>
        <v>65.5</v>
      </c>
      <c r="AI57" s="48">
        <f t="shared" si="3"/>
        <v>45</v>
      </c>
      <c r="AK57" s="50"/>
    </row>
    <row r="58" spans="1:41" x14ac:dyDescent="0.25">
      <c r="A58" s="53" t="s">
        <v>66</v>
      </c>
      <c r="B58" s="45">
        <v>59.8</v>
      </c>
      <c r="C58" s="45">
        <v>59.8</v>
      </c>
      <c r="D58" s="45">
        <v>60.4</v>
      </c>
      <c r="E58" s="45">
        <v>60.4</v>
      </c>
      <c r="F58" s="45">
        <v>60.4</v>
      </c>
      <c r="G58" s="45">
        <v>60.4</v>
      </c>
      <c r="H58" s="45">
        <v>60.4</v>
      </c>
      <c r="I58" s="45">
        <v>60.4</v>
      </c>
      <c r="J58" s="45">
        <v>60.4</v>
      </c>
      <c r="K58" s="45">
        <v>60.4</v>
      </c>
      <c r="L58" s="45">
        <v>60.4</v>
      </c>
      <c r="M58" s="45">
        <v>60.4</v>
      </c>
      <c r="N58" s="45">
        <v>60.4</v>
      </c>
      <c r="O58" s="45">
        <v>60.4</v>
      </c>
      <c r="P58" s="64">
        <v>60.4</v>
      </c>
      <c r="Q58" s="64">
        <v>60.4</v>
      </c>
      <c r="R58" s="64">
        <v>60.4</v>
      </c>
      <c r="S58" s="64">
        <v>60.4</v>
      </c>
      <c r="T58" s="64">
        <v>20</v>
      </c>
      <c r="U58" s="64">
        <v>60</v>
      </c>
      <c r="V58" s="64">
        <v>60</v>
      </c>
      <c r="W58" s="64">
        <v>60</v>
      </c>
      <c r="X58" s="64">
        <v>60</v>
      </c>
      <c r="Y58" s="64">
        <v>60</v>
      </c>
      <c r="Z58" s="64">
        <v>60</v>
      </c>
      <c r="AA58" s="45">
        <v>60</v>
      </c>
      <c r="AB58" s="45">
        <v>60.4</v>
      </c>
      <c r="AC58" s="45">
        <v>60.4</v>
      </c>
      <c r="AD58" s="45">
        <v>52.2</v>
      </c>
      <c r="AE58" s="45">
        <v>52.2</v>
      </c>
      <c r="AF58" s="45">
        <v>52.2</v>
      </c>
      <c r="AG58" s="54">
        <v>60</v>
      </c>
      <c r="AH58" s="47">
        <f t="shared" si="2"/>
        <v>60.4</v>
      </c>
      <c r="AI58" s="48">
        <f t="shared" si="3"/>
        <v>20</v>
      </c>
      <c r="AK58" s="50"/>
    </row>
    <row r="59" spans="1:41" x14ac:dyDescent="0.25">
      <c r="A59" s="53" t="s">
        <v>67</v>
      </c>
      <c r="B59" s="45">
        <v>30</v>
      </c>
      <c r="C59" s="45">
        <v>30</v>
      </c>
      <c r="D59" s="45">
        <v>30</v>
      </c>
      <c r="E59" s="45">
        <v>30</v>
      </c>
      <c r="F59" s="45">
        <v>30</v>
      </c>
      <c r="G59" s="45">
        <v>30</v>
      </c>
      <c r="H59" s="45">
        <v>30</v>
      </c>
      <c r="I59" s="45">
        <v>30</v>
      </c>
      <c r="J59" s="45">
        <v>30</v>
      </c>
      <c r="K59" s="45">
        <v>0</v>
      </c>
      <c r="L59" s="45">
        <v>0</v>
      </c>
      <c r="M59" s="45">
        <v>0</v>
      </c>
      <c r="N59" s="45">
        <v>0</v>
      </c>
      <c r="O59" s="45">
        <v>30</v>
      </c>
      <c r="P59" s="64">
        <v>30</v>
      </c>
      <c r="Q59" s="64">
        <v>30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64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0.5</v>
      </c>
      <c r="J60" s="45">
        <v>0.5</v>
      </c>
      <c r="K60" s="45">
        <v>3.3</v>
      </c>
      <c r="L60" s="45">
        <v>3.6</v>
      </c>
      <c r="M60" s="45">
        <v>3.6</v>
      </c>
      <c r="N60" s="45">
        <v>3.6</v>
      </c>
      <c r="O60" s="45">
        <v>3.6</v>
      </c>
      <c r="P60" s="64">
        <v>7.4</v>
      </c>
      <c r="Q60" s="64">
        <v>7.4</v>
      </c>
      <c r="R60" s="64">
        <v>7.4</v>
      </c>
      <c r="S60" s="64">
        <v>6.5</v>
      </c>
      <c r="T60" s="64">
        <v>6.3</v>
      </c>
      <c r="U60" s="64">
        <v>3.4</v>
      </c>
      <c r="V60" s="64">
        <v>1.8</v>
      </c>
      <c r="W60" s="64">
        <v>1.8</v>
      </c>
      <c r="X60" s="64">
        <v>1.8</v>
      </c>
      <c r="Y60" s="64">
        <v>1.8</v>
      </c>
      <c r="Z60" s="64">
        <v>1.8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7.4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4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9</v>
      </c>
      <c r="C63" s="64">
        <v>9.1</v>
      </c>
      <c r="D63" s="64">
        <v>9.1</v>
      </c>
      <c r="E63" s="64">
        <v>9.1</v>
      </c>
      <c r="F63" s="64">
        <v>9.1</v>
      </c>
      <c r="G63" s="64">
        <v>9.1</v>
      </c>
      <c r="H63" s="64">
        <v>9.1</v>
      </c>
      <c r="I63" s="64">
        <v>9.1</v>
      </c>
      <c r="J63" s="64">
        <v>9.1</v>
      </c>
      <c r="K63" s="64">
        <v>9.1</v>
      </c>
      <c r="L63" s="64">
        <v>9.1</v>
      </c>
      <c r="M63" s="64">
        <v>9.1</v>
      </c>
      <c r="N63" s="64">
        <v>9.1</v>
      </c>
      <c r="O63" s="64">
        <v>9.1</v>
      </c>
      <c r="P63" s="64">
        <v>9.1</v>
      </c>
      <c r="Q63" s="64">
        <v>9.1</v>
      </c>
      <c r="R63" s="64">
        <v>9.1</v>
      </c>
      <c r="S63" s="64">
        <v>9.1</v>
      </c>
      <c r="T63" s="64">
        <v>9.1</v>
      </c>
      <c r="U63" s="64">
        <v>9.1</v>
      </c>
      <c r="V63" s="64">
        <v>9.1</v>
      </c>
      <c r="W63" s="64">
        <v>9.1</v>
      </c>
      <c r="X63" s="64">
        <v>9.1</v>
      </c>
      <c r="Y63" s="64">
        <v>9.1</v>
      </c>
      <c r="Z63" s="64">
        <v>9.1</v>
      </c>
      <c r="AA63" s="64">
        <v>10.199999999999999</v>
      </c>
      <c r="AB63" s="64">
        <v>10.199999999999999</v>
      </c>
      <c r="AC63" s="64">
        <v>10.199999999999999</v>
      </c>
      <c r="AD63" s="64">
        <v>10.199999999999999</v>
      </c>
      <c r="AE63" s="64">
        <v>10.199999999999999</v>
      </c>
      <c r="AF63" s="64">
        <v>10.199999999999999</v>
      </c>
      <c r="AG63" s="54">
        <v>14.1</v>
      </c>
      <c r="AH63" s="47">
        <f t="shared" si="2"/>
        <v>10.199999999999999</v>
      </c>
      <c r="AI63" s="48">
        <f t="shared" si="3"/>
        <v>9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</v>
      </c>
      <c r="C64" s="64">
        <v>13.9</v>
      </c>
      <c r="D64" s="64">
        <v>14</v>
      </c>
      <c r="E64" s="64">
        <v>14</v>
      </c>
      <c r="F64" s="64">
        <v>14</v>
      </c>
      <c r="G64" s="64">
        <v>14</v>
      </c>
      <c r="H64" s="64">
        <v>7</v>
      </c>
      <c r="I64" s="64">
        <v>14</v>
      </c>
      <c r="J64" s="64">
        <v>14</v>
      </c>
      <c r="K64" s="64">
        <v>14</v>
      </c>
      <c r="L64" s="64">
        <v>14</v>
      </c>
      <c r="M64" s="64">
        <v>14</v>
      </c>
      <c r="N64" s="64">
        <v>14</v>
      </c>
      <c r="O64" s="64">
        <v>14</v>
      </c>
      <c r="P64" s="64">
        <v>14</v>
      </c>
      <c r="Q64" s="64">
        <v>14</v>
      </c>
      <c r="R64" s="64">
        <v>14</v>
      </c>
      <c r="S64" s="64">
        <v>14</v>
      </c>
      <c r="T64" s="64">
        <v>14</v>
      </c>
      <c r="U64" s="64">
        <v>13.8</v>
      </c>
      <c r="V64" s="64">
        <v>13.8</v>
      </c>
      <c r="W64" s="64">
        <v>13.8</v>
      </c>
      <c r="X64" s="64">
        <v>13.8</v>
      </c>
      <c r="Y64" s="64">
        <v>13.8</v>
      </c>
      <c r="Z64" s="64">
        <v>13.8</v>
      </c>
      <c r="AA64" s="64">
        <v>13.8</v>
      </c>
      <c r="AB64" s="64">
        <v>13.8</v>
      </c>
      <c r="AC64" s="64">
        <v>13.8</v>
      </c>
      <c r="AD64" s="64">
        <v>13.8</v>
      </c>
      <c r="AE64" s="64">
        <v>13.8</v>
      </c>
      <c r="AF64" s="64">
        <v>13.8</v>
      </c>
      <c r="AG64" s="54">
        <v>14</v>
      </c>
      <c r="AH64" s="47">
        <f t="shared" si="2"/>
        <v>14</v>
      </c>
      <c r="AI64" s="48">
        <f t="shared" si="3"/>
        <v>7</v>
      </c>
      <c r="AK64" s="50"/>
    </row>
    <row r="65" spans="1:40" x14ac:dyDescent="0.25">
      <c r="A65" s="53" t="s">
        <v>73</v>
      </c>
      <c r="B65" s="64">
        <v>9.3000000000000007</v>
      </c>
      <c r="C65" s="64">
        <v>9.3000000000000007</v>
      </c>
      <c r="D65" s="64">
        <v>9.3000000000000007</v>
      </c>
      <c r="E65" s="64">
        <v>9.3000000000000007</v>
      </c>
      <c r="F65" s="64">
        <v>9.3000000000000007</v>
      </c>
      <c r="G65" s="64">
        <v>9.3000000000000007</v>
      </c>
      <c r="H65" s="64">
        <v>9.3000000000000007</v>
      </c>
      <c r="I65" s="64">
        <v>9.3000000000000007</v>
      </c>
      <c r="J65" s="64">
        <v>9.3000000000000007</v>
      </c>
      <c r="K65" s="64">
        <v>9.3000000000000007</v>
      </c>
      <c r="L65" s="64">
        <v>9.3000000000000007</v>
      </c>
      <c r="M65" s="64">
        <v>9.3000000000000007</v>
      </c>
      <c r="N65" s="64">
        <v>9.3000000000000007</v>
      </c>
      <c r="O65" s="64">
        <v>9.3000000000000007</v>
      </c>
      <c r="P65" s="64">
        <v>9.3000000000000007</v>
      </c>
      <c r="Q65" s="64">
        <v>9.3000000000000007</v>
      </c>
      <c r="R65" s="64">
        <v>9.3000000000000007</v>
      </c>
      <c r="S65" s="64">
        <v>9.3000000000000007</v>
      </c>
      <c r="T65" s="64">
        <v>9.3000000000000007</v>
      </c>
      <c r="U65" s="64">
        <v>9.3000000000000007</v>
      </c>
      <c r="V65" s="64">
        <v>9.3000000000000007</v>
      </c>
      <c r="W65" s="64">
        <v>9.3000000000000007</v>
      </c>
      <c r="X65" s="64">
        <v>9.3000000000000007</v>
      </c>
      <c r="Y65" s="64">
        <v>9.3000000000000007</v>
      </c>
      <c r="Z65" s="64">
        <v>9.3000000000000007</v>
      </c>
      <c r="AA65" s="64">
        <v>9.3000000000000007</v>
      </c>
      <c r="AB65" s="64">
        <v>9.3000000000000007</v>
      </c>
      <c r="AC65" s="64">
        <v>9.3000000000000007</v>
      </c>
      <c r="AD65" s="64">
        <v>9.3000000000000007</v>
      </c>
      <c r="AE65" s="64">
        <v>9.3000000000000007</v>
      </c>
      <c r="AF65" s="64">
        <v>9.3000000000000007</v>
      </c>
      <c r="AG65" s="54">
        <v>10.050000000000001</v>
      </c>
      <c r="AH65" s="47">
        <f t="shared" si="2"/>
        <v>9.3000000000000007</v>
      </c>
      <c r="AI65" s="48">
        <f t="shared" si="3"/>
        <v>9.3000000000000007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6">SUM(B55:B67)</f>
        <v>403.14000000000004</v>
      </c>
      <c r="C68" s="60">
        <f t="shared" si="6"/>
        <v>403.64000000000004</v>
      </c>
      <c r="D68" s="60">
        <f t="shared" si="6"/>
        <v>403.74000000000007</v>
      </c>
      <c r="E68" s="60">
        <f t="shared" si="6"/>
        <v>403.74000000000007</v>
      </c>
      <c r="F68" s="60">
        <f t="shared" si="6"/>
        <v>403.74000000000007</v>
      </c>
      <c r="G68" s="60">
        <f t="shared" si="6"/>
        <v>403.74000000000007</v>
      </c>
      <c r="H68" s="60">
        <f t="shared" si="6"/>
        <v>396.74000000000007</v>
      </c>
      <c r="I68" s="60">
        <f t="shared" si="6"/>
        <v>404.24000000000007</v>
      </c>
      <c r="J68" s="60">
        <f t="shared" si="6"/>
        <v>404.24000000000007</v>
      </c>
      <c r="K68" s="60">
        <f t="shared" si="6"/>
        <v>377.04000000000008</v>
      </c>
      <c r="L68" s="60">
        <f t="shared" si="6"/>
        <v>377.34000000000009</v>
      </c>
      <c r="M68" s="60">
        <f t="shared" si="6"/>
        <v>358.14000000000004</v>
      </c>
      <c r="N68" s="60">
        <f t="shared" si="6"/>
        <v>378.14000000000004</v>
      </c>
      <c r="O68" s="60">
        <f t="shared" si="6"/>
        <v>408.14000000000004</v>
      </c>
      <c r="P68" s="60">
        <f t="shared" si="6"/>
        <v>413.34000000000003</v>
      </c>
      <c r="Q68" s="60">
        <f t="shared" si="6"/>
        <v>411.34000000000003</v>
      </c>
      <c r="R68" s="60">
        <f t="shared" si="6"/>
        <v>412.34000000000003</v>
      </c>
      <c r="S68" s="60">
        <f t="shared" si="6"/>
        <v>411.44000000000005</v>
      </c>
      <c r="T68" s="60">
        <f t="shared" si="6"/>
        <v>370.84000000000003</v>
      </c>
      <c r="U68" s="60">
        <f t="shared" si="6"/>
        <v>406.84000000000003</v>
      </c>
      <c r="V68" s="60">
        <f t="shared" si="6"/>
        <v>405.24000000000007</v>
      </c>
      <c r="W68" s="60">
        <f t="shared" si="6"/>
        <v>405.24000000000007</v>
      </c>
      <c r="X68" s="60">
        <f t="shared" si="6"/>
        <v>405.24000000000007</v>
      </c>
      <c r="Y68" s="60">
        <f t="shared" si="6"/>
        <v>405.24000000000007</v>
      </c>
      <c r="Z68" s="60">
        <f t="shared" si="6"/>
        <v>405.24000000000007</v>
      </c>
      <c r="AA68" s="60">
        <v>423.44</v>
      </c>
      <c r="AB68" s="60">
        <f t="shared" si="6"/>
        <v>427.74</v>
      </c>
      <c r="AC68" s="60">
        <f t="shared" si="6"/>
        <v>427.74</v>
      </c>
      <c r="AD68" s="60">
        <f t="shared" si="6"/>
        <v>419.54</v>
      </c>
      <c r="AE68" s="60">
        <f t="shared" si="6"/>
        <v>419.54</v>
      </c>
      <c r="AF68" s="60">
        <f t="shared" si="6"/>
        <v>420.24</v>
      </c>
      <c r="AG68" s="61">
        <f t="shared" si="6"/>
        <v>489.91</v>
      </c>
      <c r="AH68" s="47">
        <f t="shared" si="2"/>
        <v>427.74</v>
      </c>
      <c r="AI68" s="48">
        <f t="shared" si="3"/>
        <v>358.14000000000004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25</v>
      </c>
      <c r="P69" s="45">
        <v>30</v>
      </c>
      <c r="Q69" s="45">
        <v>30</v>
      </c>
      <c r="R69" s="45">
        <v>10</v>
      </c>
      <c r="S69" s="45">
        <v>10</v>
      </c>
      <c r="T69" s="45">
        <v>29.4</v>
      </c>
      <c r="U69" s="45">
        <v>19.600000000000001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29.6</v>
      </c>
      <c r="AB69" s="45">
        <v>14.3</v>
      </c>
      <c r="AC69" s="45">
        <v>14.3</v>
      </c>
      <c r="AD69" s="45">
        <v>20.3</v>
      </c>
      <c r="AE69" s="45">
        <v>14</v>
      </c>
      <c r="AF69" s="45">
        <v>0</v>
      </c>
      <c r="AG69" s="51">
        <v>60</v>
      </c>
      <c r="AH69" s="47">
        <f t="shared" si="2"/>
        <v>30</v>
      </c>
      <c r="AI69" s="48">
        <f t="shared" si="3"/>
        <v>0</v>
      </c>
      <c r="AK69" s="50"/>
    </row>
    <row r="70" spans="1:40" x14ac:dyDescent="0.25">
      <c r="A70" s="53" t="s">
        <v>78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4.7</v>
      </c>
      <c r="M70" s="64">
        <v>0</v>
      </c>
      <c r="N70" s="64">
        <v>0</v>
      </c>
      <c r="O70" s="64">
        <v>12</v>
      </c>
      <c r="P70" s="64">
        <v>16.2</v>
      </c>
      <c r="Q70" s="64">
        <v>16.2</v>
      </c>
      <c r="R70" s="64">
        <v>7.3</v>
      </c>
      <c r="S70" s="64">
        <v>6</v>
      </c>
      <c r="T70" s="64">
        <v>5.8</v>
      </c>
      <c r="U70" s="64">
        <v>10.7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6.9</v>
      </c>
      <c r="AB70" s="64">
        <v>7.6</v>
      </c>
      <c r="AC70" s="64">
        <v>7.6</v>
      </c>
      <c r="AD70" s="64">
        <v>15.3</v>
      </c>
      <c r="AE70" s="64">
        <v>6.7</v>
      </c>
      <c r="AF70" s="64">
        <v>0</v>
      </c>
      <c r="AG70" s="54">
        <v>32</v>
      </c>
      <c r="AH70" s="47">
        <f t="shared" si="2"/>
        <v>16.2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66">
        <v>0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1.7</v>
      </c>
      <c r="M71" s="66">
        <v>0</v>
      </c>
      <c r="N71" s="66">
        <v>0</v>
      </c>
      <c r="O71" s="66">
        <v>4.5999999999999996</v>
      </c>
      <c r="P71" s="66">
        <v>4.5999999999999996</v>
      </c>
      <c r="Q71" s="66">
        <v>4.5999999999999996</v>
      </c>
      <c r="R71" s="66">
        <v>2.7</v>
      </c>
      <c r="S71" s="66">
        <v>2.2000000000000002</v>
      </c>
      <c r="T71" s="66">
        <v>2.1</v>
      </c>
      <c r="U71" s="66">
        <v>3.9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2.5</v>
      </c>
      <c r="AB71" s="66">
        <v>2.8</v>
      </c>
      <c r="AC71" s="66">
        <v>2.8</v>
      </c>
      <c r="AD71" s="66">
        <v>5.6</v>
      </c>
      <c r="AE71" s="66">
        <v>2.5</v>
      </c>
      <c r="AF71" s="66">
        <v>0</v>
      </c>
      <c r="AG71" s="67">
        <v>14</v>
      </c>
      <c r="AH71" s="47">
        <f t="shared" si="2"/>
        <v>5.6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 t="shared" ref="B72:D72" si="7">B69+B70+B71</f>
        <v>0</v>
      </c>
      <c r="C72" s="60">
        <f t="shared" si="7"/>
        <v>0</v>
      </c>
      <c r="D72" s="60">
        <f t="shared" si="7"/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6.4</v>
      </c>
      <c r="M72" s="60">
        <f t="shared" ref="M72:AF72" si="8">M69+M70+M71</f>
        <v>0</v>
      </c>
      <c r="N72" s="60">
        <f t="shared" si="8"/>
        <v>0</v>
      </c>
      <c r="O72" s="60">
        <f t="shared" si="8"/>
        <v>41.6</v>
      </c>
      <c r="P72" s="60">
        <f t="shared" si="8"/>
        <v>50.800000000000004</v>
      </c>
      <c r="Q72" s="60">
        <f t="shared" si="8"/>
        <v>50.800000000000004</v>
      </c>
      <c r="R72" s="60">
        <f t="shared" si="8"/>
        <v>20</v>
      </c>
      <c r="S72" s="60">
        <f t="shared" si="8"/>
        <v>18.2</v>
      </c>
      <c r="T72" s="60">
        <f t="shared" si="8"/>
        <v>37.299999999999997</v>
      </c>
      <c r="U72" s="60">
        <f t="shared" si="8"/>
        <v>34.200000000000003</v>
      </c>
      <c r="V72" s="60">
        <f t="shared" si="8"/>
        <v>0</v>
      </c>
      <c r="W72" s="60">
        <f t="shared" si="8"/>
        <v>0</v>
      </c>
      <c r="X72" s="60">
        <f t="shared" si="8"/>
        <v>0</v>
      </c>
      <c r="Y72" s="60">
        <f t="shared" si="8"/>
        <v>0</v>
      </c>
      <c r="Z72" s="60">
        <f t="shared" si="8"/>
        <v>0</v>
      </c>
      <c r="AA72" s="60">
        <v>0</v>
      </c>
      <c r="AB72" s="60">
        <f t="shared" si="8"/>
        <v>24.7</v>
      </c>
      <c r="AC72" s="60">
        <f t="shared" si="8"/>
        <v>24.7</v>
      </c>
      <c r="AD72" s="60">
        <f t="shared" si="8"/>
        <v>41.2</v>
      </c>
      <c r="AE72" s="60">
        <f t="shared" si="8"/>
        <v>23.2</v>
      </c>
      <c r="AF72" s="60">
        <f t="shared" si="8"/>
        <v>0</v>
      </c>
      <c r="AG72" s="61">
        <f>SUM(AG69:AG71)</f>
        <v>106</v>
      </c>
      <c r="AH72" s="47">
        <f t="shared" si="2"/>
        <v>50.800000000000004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14.7</v>
      </c>
      <c r="C73" s="45">
        <v>17.5</v>
      </c>
      <c r="D73" s="45">
        <v>19.7</v>
      </c>
      <c r="E73" s="45">
        <v>18.899999999999999</v>
      </c>
      <c r="F73" s="45">
        <v>8.9</v>
      </c>
      <c r="G73" s="45">
        <v>6.4</v>
      </c>
      <c r="H73" s="45">
        <v>1</v>
      </c>
      <c r="I73" s="45">
        <v>-5</v>
      </c>
      <c r="J73" s="45">
        <v>3</v>
      </c>
      <c r="K73" s="45">
        <v>27</v>
      </c>
      <c r="L73" s="45">
        <v>25.5</v>
      </c>
      <c r="M73" s="45">
        <v>26.5</v>
      </c>
      <c r="N73" s="45">
        <v>26.5</v>
      </c>
      <c r="O73" s="45">
        <v>6</v>
      </c>
      <c r="P73" s="45">
        <v>15.4</v>
      </c>
      <c r="Q73" s="45">
        <v>-5</v>
      </c>
      <c r="R73" s="45">
        <v>12</v>
      </c>
      <c r="S73" s="45">
        <v>1.1000000000000001</v>
      </c>
      <c r="T73" s="45">
        <v>9.9</v>
      </c>
      <c r="U73" s="45">
        <v>11.9</v>
      </c>
      <c r="V73" s="45">
        <v>8.6</v>
      </c>
      <c r="W73" s="45">
        <v>8.6</v>
      </c>
      <c r="X73" s="45">
        <v>8.6</v>
      </c>
      <c r="Y73" s="45">
        <v>8.6</v>
      </c>
      <c r="Z73" s="45">
        <v>8.6</v>
      </c>
      <c r="AA73" s="45">
        <v>19.7</v>
      </c>
      <c r="AB73" s="45">
        <v>28.9</v>
      </c>
      <c r="AC73" s="45">
        <v>27.2</v>
      </c>
      <c r="AD73" s="45">
        <v>36.6</v>
      </c>
      <c r="AE73" s="45">
        <v>45.5</v>
      </c>
      <c r="AF73" s="45">
        <v>-6</v>
      </c>
      <c r="AG73" s="51"/>
      <c r="AH73" s="47">
        <f t="shared" si="2"/>
        <v>45.5</v>
      </c>
      <c r="AI73" s="48">
        <f t="shared" si="3"/>
        <v>-6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-375</v>
      </c>
      <c r="C75" s="64">
        <v>-412</v>
      </c>
      <c r="D75" s="64">
        <v>-416</v>
      </c>
      <c r="E75" s="64">
        <v>-428</v>
      </c>
      <c r="F75" s="64">
        <v>-421</v>
      </c>
      <c r="G75" s="64">
        <v>-433</v>
      </c>
      <c r="H75" s="64">
        <v>-458</v>
      </c>
      <c r="I75" s="64">
        <v>-452</v>
      </c>
      <c r="J75" s="64">
        <v>-457</v>
      </c>
      <c r="K75" s="64">
        <v>-464</v>
      </c>
      <c r="L75" s="64">
        <v>-440</v>
      </c>
      <c r="M75" s="64">
        <v>-447</v>
      </c>
      <c r="N75" s="64">
        <v>-398</v>
      </c>
      <c r="O75" s="64">
        <v>-378</v>
      </c>
      <c r="P75" s="64">
        <v>-390.9</v>
      </c>
      <c r="Q75" s="64">
        <v>-390.9</v>
      </c>
      <c r="R75" s="64">
        <v>-361</v>
      </c>
      <c r="S75" s="64">
        <v>-407</v>
      </c>
      <c r="T75" s="64">
        <v>-420.2</v>
      </c>
      <c r="U75" s="64">
        <v>-398.5</v>
      </c>
      <c r="V75" s="64">
        <v>-458.7</v>
      </c>
      <c r="W75" s="64">
        <v>-469</v>
      </c>
      <c r="X75" s="64">
        <v>-475</v>
      </c>
      <c r="Y75" s="64">
        <v>-460</v>
      </c>
      <c r="Z75" s="64">
        <v>-390</v>
      </c>
      <c r="AA75" s="64">
        <v>-348</v>
      </c>
      <c r="AB75" s="64">
        <v>-348</v>
      </c>
      <c r="AC75" s="64">
        <v>-352</v>
      </c>
      <c r="AD75" s="64">
        <v>-348</v>
      </c>
      <c r="AE75" s="64">
        <v>-351</v>
      </c>
      <c r="AF75" s="64">
        <v>-313</v>
      </c>
      <c r="AG75" s="74"/>
      <c r="AH75" s="47">
        <f t="shared" si="2"/>
        <v>-313</v>
      </c>
      <c r="AI75" s="48">
        <f t="shared" si="3"/>
        <v>-475</v>
      </c>
      <c r="AK75" s="50"/>
    </row>
    <row r="76" spans="1:40" x14ac:dyDescent="0.25">
      <c r="A76" s="53" t="s">
        <v>84</v>
      </c>
      <c r="B76" s="75">
        <v>0</v>
      </c>
      <c r="C76" s="75">
        <v>0</v>
      </c>
      <c r="D76" s="75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9">MAX(B77:AF77)</f>
        <v>0</v>
      </c>
      <c r="AI77" s="48">
        <f t="shared" ref="AI77:AI120" si="10">MIN(B77:AF77)</f>
        <v>0</v>
      </c>
      <c r="AK77" s="50"/>
    </row>
    <row r="78" spans="1:40" x14ac:dyDescent="0.25">
      <c r="A78" s="53" t="s">
        <v>86</v>
      </c>
      <c r="B78" s="76">
        <v>0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74"/>
      <c r="AH78" s="47">
        <f t="shared" si="9"/>
        <v>0</v>
      </c>
      <c r="AI78" s="48">
        <f t="shared" si="10"/>
        <v>0</v>
      </c>
      <c r="AK78" s="50"/>
    </row>
    <row r="79" spans="1:40" ht="15.75" thickBot="1" x14ac:dyDescent="0.3">
      <c r="A79" s="53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9"/>
        <v>0</v>
      </c>
      <c r="AI79" s="48">
        <f t="shared" si="10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76">
        <v>0</v>
      </c>
      <c r="C80" s="76">
        <v>0</v>
      </c>
      <c r="D80" s="76">
        <v>0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76">
        <v>0</v>
      </c>
      <c r="K80" s="76">
        <v>0</v>
      </c>
      <c r="L80" s="76">
        <v>0</v>
      </c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9"/>
        <v>0</v>
      </c>
      <c r="AI80" s="48">
        <f t="shared" si="10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9"/>
        <v>0</v>
      </c>
      <c r="AI81" s="48">
        <f t="shared" si="10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9"/>
        <v>0</v>
      </c>
      <c r="AI82" s="48">
        <f t="shared" si="10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9"/>
        <v>0</v>
      </c>
      <c r="AI83" s="48">
        <f t="shared" si="10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11">SUMIF(B73:B83,"&gt;0")</f>
        <v>14.7</v>
      </c>
      <c r="C84" s="60">
        <f t="shared" si="11"/>
        <v>17.5</v>
      </c>
      <c r="D84" s="60">
        <f t="shared" si="11"/>
        <v>19.7</v>
      </c>
      <c r="E84" s="60">
        <f t="shared" si="11"/>
        <v>18.899999999999999</v>
      </c>
      <c r="F84" s="60">
        <f t="shared" si="11"/>
        <v>8.9</v>
      </c>
      <c r="G84" s="60">
        <f t="shared" si="11"/>
        <v>6.4</v>
      </c>
      <c r="H84" s="60">
        <f t="shared" si="11"/>
        <v>1</v>
      </c>
      <c r="I84" s="60">
        <f t="shared" si="11"/>
        <v>0</v>
      </c>
      <c r="J84" s="60">
        <f t="shared" si="11"/>
        <v>3</v>
      </c>
      <c r="K84" s="60">
        <f t="shared" si="11"/>
        <v>27</v>
      </c>
      <c r="L84" s="60">
        <f t="shared" si="11"/>
        <v>25.5</v>
      </c>
      <c r="M84" s="60">
        <f t="shared" si="11"/>
        <v>26.5</v>
      </c>
      <c r="N84" s="60">
        <f t="shared" si="11"/>
        <v>26.5</v>
      </c>
      <c r="O84" s="60">
        <f t="shared" si="11"/>
        <v>6</v>
      </c>
      <c r="P84" s="60">
        <f t="shared" si="11"/>
        <v>15.4</v>
      </c>
      <c r="Q84" s="60">
        <f t="shared" si="11"/>
        <v>0</v>
      </c>
      <c r="R84" s="60">
        <f t="shared" si="11"/>
        <v>12</v>
      </c>
      <c r="S84" s="60">
        <f t="shared" si="11"/>
        <v>1.1000000000000001</v>
      </c>
      <c r="T84" s="60">
        <f t="shared" si="11"/>
        <v>9.9</v>
      </c>
      <c r="U84" s="60">
        <f t="shared" si="11"/>
        <v>11.9</v>
      </c>
      <c r="V84" s="60">
        <f t="shared" si="11"/>
        <v>8.6</v>
      </c>
      <c r="W84" s="60">
        <f t="shared" si="11"/>
        <v>8.6</v>
      </c>
      <c r="X84" s="60">
        <f t="shared" si="11"/>
        <v>8.6</v>
      </c>
      <c r="Y84" s="60">
        <f t="shared" si="11"/>
        <v>8.6</v>
      </c>
      <c r="Z84" s="60">
        <f t="shared" si="11"/>
        <v>8.6</v>
      </c>
      <c r="AA84" s="60">
        <v>19.7</v>
      </c>
      <c r="AB84" s="60">
        <f t="shared" si="11"/>
        <v>28.9</v>
      </c>
      <c r="AC84" s="60">
        <f t="shared" si="11"/>
        <v>27.2</v>
      </c>
      <c r="AD84" s="60">
        <f t="shared" si="11"/>
        <v>36.6</v>
      </c>
      <c r="AE84" s="60">
        <f t="shared" si="11"/>
        <v>45.5</v>
      </c>
      <c r="AF84" s="60">
        <f t="shared" si="11"/>
        <v>0</v>
      </c>
      <c r="AG84" s="87">
        <f>SUM(AG73:AG83)</f>
        <v>0</v>
      </c>
      <c r="AH84" s="47">
        <f t="shared" si="9"/>
        <v>45.5</v>
      </c>
      <c r="AI84" s="48">
        <f t="shared" si="10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9"/>
        <v>0</v>
      </c>
      <c r="AI85" s="48">
        <f t="shared" si="10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9"/>
        <v>0</v>
      </c>
      <c r="AI86" s="48">
        <f t="shared" si="10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9"/>
        <v>0</v>
      </c>
      <c r="AI87" s="48">
        <f t="shared" si="10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>
        <v>0</v>
      </c>
      <c r="AB88" s="60"/>
      <c r="AC88" s="60"/>
      <c r="AD88" s="60"/>
      <c r="AE88" s="60"/>
      <c r="AF88" s="60"/>
      <c r="AG88" s="87">
        <f>SUM(AG85:AG87)</f>
        <v>55.4</v>
      </c>
      <c r="AH88" s="47">
        <f t="shared" si="9"/>
        <v>0</v>
      </c>
      <c r="AI88" s="48">
        <f t="shared" si="10"/>
        <v>0</v>
      </c>
    </row>
    <row r="89" spans="1:40" ht="15.75" thickBot="1" x14ac:dyDescent="0.3">
      <c r="A89" s="73" t="s">
        <v>100</v>
      </c>
      <c r="B89" s="94">
        <f t="shared" ref="B89:AG89" si="12">B50+B54+B72+B68+B84+B88</f>
        <v>1944.8400000000001</v>
      </c>
      <c r="C89" s="94">
        <f t="shared" si="12"/>
        <v>1947.94</v>
      </c>
      <c r="D89" s="94">
        <f t="shared" si="12"/>
        <v>1939.1399999999999</v>
      </c>
      <c r="E89" s="94">
        <f t="shared" si="12"/>
        <v>1933.44</v>
      </c>
      <c r="F89" s="94">
        <f t="shared" si="12"/>
        <v>1915.84</v>
      </c>
      <c r="G89" s="94">
        <f t="shared" si="12"/>
        <v>1933.34</v>
      </c>
      <c r="H89" s="94">
        <f t="shared" si="12"/>
        <v>1920.9399999999998</v>
      </c>
      <c r="I89" s="94">
        <f t="shared" si="12"/>
        <v>1927.4399999999998</v>
      </c>
      <c r="J89" s="94">
        <f t="shared" si="12"/>
        <v>1940.9399999999998</v>
      </c>
      <c r="K89" s="94">
        <f t="shared" si="12"/>
        <v>1937.7399999999998</v>
      </c>
      <c r="L89" s="94">
        <f t="shared" si="12"/>
        <v>1991.94</v>
      </c>
      <c r="M89" s="94">
        <f t="shared" si="12"/>
        <v>1972.34</v>
      </c>
      <c r="N89" s="94">
        <f t="shared" si="12"/>
        <v>1987.34</v>
      </c>
      <c r="O89" s="94">
        <f t="shared" si="12"/>
        <v>2059.4399999999996</v>
      </c>
      <c r="P89" s="94">
        <f t="shared" si="12"/>
        <v>2099.14</v>
      </c>
      <c r="Q89" s="94">
        <f t="shared" si="12"/>
        <v>2081.7399999999998</v>
      </c>
      <c r="R89" s="94">
        <f t="shared" si="12"/>
        <v>2063.54</v>
      </c>
      <c r="S89" s="94">
        <f t="shared" si="12"/>
        <v>2015.9399999999998</v>
      </c>
      <c r="T89" s="94">
        <f t="shared" si="12"/>
        <v>2003.04</v>
      </c>
      <c r="U89" s="94">
        <f t="shared" si="12"/>
        <v>2035.44</v>
      </c>
      <c r="V89" s="94">
        <f t="shared" si="12"/>
        <v>1982.2399999999998</v>
      </c>
      <c r="W89" s="94">
        <f t="shared" si="12"/>
        <v>1981.2399999999998</v>
      </c>
      <c r="X89" s="94">
        <f t="shared" si="12"/>
        <v>1981.2399999999998</v>
      </c>
      <c r="Y89" s="94">
        <f t="shared" si="12"/>
        <v>1981.2399999999998</v>
      </c>
      <c r="Z89" s="94">
        <f t="shared" si="12"/>
        <v>2026.34</v>
      </c>
      <c r="AA89" s="94">
        <v>2029.539</v>
      </c>
      <c r="AB89" s="94">
        <f t="shared" si="12"/>
        <v>2112.84</v>
      </c>
      <c r="AC89" s="94">
        <f t="shared" si="12"/>
        <v>2103.14</v>
      </c>
      <c r="AD89" s="94">
        <f t="shared" si="12"/>
        <v>2120.84</v>
      </c>
      <c r="AE89" s="94">
        <f t="shared" si="12"/>
        <v>2073.14</v>
      </c>
      <c r="AF89" s="94">
        <f t="shared" si="12"/>
        <v>2005.1399999999999</v>
      </c>
      <c r="AG89" s="61">
        <f t="shared" si="12"/>
        <v>2111.5500000000002</v>
      </c>
      <c r="AH89" s="47">
        <f t="shared" si="9"/>
        <v>2120.84</v>
      </c>
      <c r="AI89" s="48">
        <f t="shared" si="10"/>
        <v>1915.84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9"/>
        <v>0</v>
      </c>
      <c r="AI90" s="48">
        <f t="shared" si="10"/>
        <v>0</v>
      </c>
    </row>
    <row r="91" spans="1:40" ht="15.75" thickBot="1" x14ac:dyDescent="0.3">
      <c r="A91" s="73" t="s">
        <v>102</v>
      </c>
      <c r="B91" s="94">
        <f t="shared" ref="B91:AF91" si="13">B89+B90</f>
        <v>1944.8400000000001</v>
      </c>
      <c r="C91" s="94">
        <f t="shared" si="13"/>
        <v>1947.94</v>
      </c>
      <c r="D91" s="94">
        <f t="shared" si="13"/>
        <v>1939.1399999999999</v>
      </c>
      <c r="E91" s="94">
        <f t="shared" si="13"/>
        <v>1933.44</v>
      </c>
      <c r="F91" s="94">
        <f t="shared" si="13"/>
        <v>1915.84</v>
      </c>
      <c r="G91" s="94">
        <f t="shared" si="13"/>
        <v>1933.34</v>
      </c>
      <c r="H91" s="94">
        <f t="shared" si="13"/>
        <v>1920.9399999999998</v>
      </c>
      <c r="I91" s="94">
        <f t="shared" si="13"/>
        <v>1927.4399999999998</v>
      </c>
      <c r="J91" s="94">
        <f t="shared" si="13"/>
        <v>1940.9399999999998</v>
      </c>
      <c r="K91" s="94">
        <f t="shared" si="13"/>
        <v>1937.7399999999998</v>
      </c>
      <c r="L91" s="94">
        <f t="shared" si="13"/>
        <v>1991.94</v>
      </c>
      <c r="M91" s="94">
        <f t="shared" si="13"/>
        <v>1972.34</v>
      </c>
      <c r="N91" s="94">
        <f t="shared" si="13"/>
        <v>1987.34</v>
      </c>
      <c r="O91" s="94">
        <f t="shared" si="13"/>
        <v>2059.4399999999996</v>
      </c>
      <c r="P91" s="94">
        <f t="shared" si="13"/>
        <v>2099.14</v>
      </c>
      <c r="Q91" s="94">
        <f t="shared" si="13"/>
        <v>2081.7399999999998</v>
      </c>
      <c r="R91" s="94">
        <f t="shared" si="13"/>
        <v>2063.54</v>
      </c>
      <c r="S91" s="94">
        <f t="shared" si="13"/>
        <v>2015.9399999999998</v>
      </c>
      <c r="T91" s="94">
        <f t="shared" si="13"/>
        <v>2003.04</v>
      </c>
      <c r="U91" s="94">
        <f t="shared" si="13"/>
        <v>2035.44</v>
      </c>
      <c r="V91" s="94">
        <f t="shared" si="13"/>
        <v>1982.2399999999998</v>
      </c>
      <c r="W91" s="94">
        <f t="shared" si="13"/>
        <v>1981.2399999999998</v>
      </c>
      <c r="X91" s="94">
        <f t="shared" si="13"/>
        <v>1981.2399999999998</v>
      </c>
      <c r="Y91" s="94">
        <f t="shared" si="13"/>
        <v>1981.2399999999998</v>
      </c>
      <c r="Z91" s="94">
        <f t="shared" si="13"/>
        <v>2026.34</v>
      </c>
      <c r="AA91" s="94">
        <v>2029.539</v>
      </c>
      <c r="AB91" s="94">
        <f t="shared" si="13"/>
        <v>2112.84</v>
      </c>
      <c r="AC91" s="94">
        <f t="shared" si="13"/>
        <v>2103.14</v>
      </c>
      <c r="AD91" s="94">
        <f t="shared" si="13"/>
        <v>2120.84</v>
      </c>
      <c r="AE91" s="94">
        <f t="shared" si="13"/>
        <v>2073.14</v>
      </c>
      <c r="AF91" s="94">
        <f t="shared" si="13"/>
        <v>2005.1399999999999</v>
      </c>
      <c r="AG91" s="87">
        <f>AG88+AG84+AG72+AG68+AG50+AG90</f>
        <v>1573.45</v>
      </c>
      <c r="AH91" s="47">
        <f t="shared" si="9"/>
        <v>2120.84</v>
      </c>
      <c r="AI91" s="48">
        <f t="shared" si="10"/>
        <v>1915.84</v>
      </c>
    </row>
    <row r="92" spans="1:40" ht="15.75" thickBot="1" x14ac:dyDescent="0.3">
      <c r="A92" s="73" t="s">
        <v>103</v>
      </c>
      <c r="B92" s="94">
        <f t="shared" ref="B92:AF92" si="14">B91-B99</f>
        <v>1944.8400000000001</v>
      </c>
      <c r="C92" s="94">
        <f t="shared" si="14"/>
        <v>1947.94</v>
      </c>
      <c r="D92" s="94">
        <f t="shared" si="14"/>
        <v>1939.1399999999999</v>
      </c>
      <c r="E92" s="94">
        <f t="shared" si="14"/>
        <v>1933.44</v>
      </c>
      <c r="F92" s="94">
        <f t="shared" si="14"/>
        <v>1915.84</v>
      </c>
      <c r="G92" s="94">
        <f t="shared" si="14"/>
        <v>1933.34</v>
      </c>
      <c r="H92" s="94">
        <f t="shared" si="14"/>
        <v>1920.9399999999998</v>
      </c>
      <c r="I92" s="94">
        <f t="shared" si="14"/>
        <v>1927.4399999999998</v>
      </c>
      <c r="J92" s="94">
        <f t="shared" si="14"/>
        <v>1940.9399999999998</v>
      </c>
      <c r="K92" s="94">
        <f t="shared" si="14"/>
        <v>1937.7399999999998</v>
      </c>
      <c r="L92" s="94">
        <f t="shared" si="14"/>
        <v>1991.94</v>
      </c>
      <c r="M92" s="94">
        <f t="shared" si="14"/>
        <v>1972.34</v>
      </c>
      <c r="N92" s="94">
        <f t="shared" si="14"/>
        <v>1987.34</v>
      </c>
      <c r="O92" s="94">
        <f t="shared" si="14"/>
        <v>2059.4399999999996</v>
      </c>
      <c r="P92" s="94">
        <f t="shared" si="14"/>
        <v>2099.14</v>
      </c>
      <c r="Q92" s="94">
        <f t="shared" si="14"/>
        <v>2081.7399999999998</v>
      </c>
      <c r="R92" s="94">
        <f t="shared" si="14"/>
        <v>2063.54</v>
      </c>
      <c r="S92" s="94">
        <f t="shared" si="14"/>
        <v>2015.9399999999998</v>
      </c>
      <c r="T92" s="94">
        <f t="shared" si="14"/>
        <v>2003.04</v>
      </c>
      <c r="U92" s="94">
        <f t="shared" si="14"/>
        <v>2035.44</v>
      </c>
      <c r="V92" s="94">
        <f t="shared" si="14"/>
        <v>1982.2399999999998</v>
      </c>
      <c r="W92" s="94">
        <f t="shared" si="14"/>
        <v>1981.2399999999998</v>
      </c>
      <c r="X92" s="94">
        <f t="shared" si="14"/>
        <v>1981.2399999999998</v>
      </c>
      <c r="Y92" s="94">
        <f t="shared" si="14"/>
        <v>1981.2399999999998</v>
      </c>
      <c r="Z92" s="94">
        <f t="shared" si="14"/>
        <v>2026.34</v>
      </c>
      <c r="AA92" s="94">
        <v>2029.539</v>
      </c>
      <c r="AB92" s="94">
        <f t="shared" si="14"/>
        <v>2112.84</v>
      </c>
      <c r="AC92" s="94">
        <f t="shared" si="14"/>
        <v>2103.14</v>
      </c>
      <c r="AD92" s="94">
        <f t="shared" si="14"/>
        <v>2120.84</v>
      </c>
      <c r="AE92" s="94">
        <f t="shared" si="14"/>
        <v>2073.14</v>
      </c>
      <c r="AF92" s="94">
        <f t="shared" si="14"/>
        <v>2005.1399999999999</v>
      </c>
      <c r="AG92" s="87"/>
      <c r="AH92" s="47">
        <f t="shared" si="9"/>
        <v>2120.84</v>
      </c>
      <c r="AI92" s="48">
        <f t="shared" si="10"/>
        <v>1915.84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9"/>
        <v>0</v>
      </c>
      <c r="AI93" s="48">
        <f t="shared" si="10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9"/>
        <v>0</v>
      </c>
      <c r="AI94" s="48">
        <f t="shared" si="10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9"/>
        <v>0</v>
      </c>
      <c r="AI95" s="48">
        <f t="shared" si="10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9"/>
        <v>0</v>
      </c>
      <c r="AI96" s="48">
        <f t="shared" si="10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9"/>
        <v>0</v>
      </c>
      <c r="AI97" s="48">
        <f t="shared" si="10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9"/>
        <v>0</v>
      </c>
      <c r="AI98" s="48">
        <f t="shared" si="10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v>0</v>
      </c>
      <c r="AB99" s="60"/>
      <c r="AC99" s="60"/>
      <c r="AD99" s="60"/>
      <c r="AE99" s="60"/>
      <c r="AF99" s="60"/>
      <c r="AG99" s="87"/>
      <c r="AH99" s="47">
        <f t="shared" si="9"/>
        <v>0</v>
      </c>
      <c r="AI99" s="48">
        <f t="shared" si="10"/>
        <v>0</v>
      </c>
      <c r="AK99" s="50"/>
    </row>
    <row r="100" spans="1:37" ht="15.75" thickBot="1" x14ac:dyDescent="0.3">
      <c r="A100" s="73" t="s">
        <v>108</v>
      </c>
      <c r="B100" s="60">
        <f t="shared" ref="B100:AF100" si="15">B84-B99</f>
        <v>14.7</v>
      </c>
      <c r="C100" s="60">
        <f t="shared" si="15"/>
        <v>17.5</v>
      </c>
      <c r="D100" s="60">
        <f t="shared" si="15"/>
        <v>19.7</v>
      </c>
      <c r="E100" s="60">
        <f t="shared" si="15"/>
        <v>18.899999999999999</v>
      </c>
      <c r="F100" s="60">
        <f t="shared" si="15"/>
        <v>8.9</v>
      </c>
      <c r="G100" s="60">
        <f t="shared" si="15"/>
        <v>6.4</v>
      </c>
      <c r="H100" s="60">
        <f t="shared" si="15"/>
        <v>1</v>
      </c>
      <c r="I100" s="60">
        <f t="shared" si="15"/>
        <v>0</v>
      </c>
      <c r="J100" s="60">
        <f t="shared" si="15"/>
        <v>3</v>
      </c>
      <c r="K100" s="60">
        <f t="shared" si="15"/>
        <v>27</v>
      </c>
      <c r="L100" s="60">
        <f t="shared" si="15"/>
        <v>25.5</v>
      </c>
      <c r="M100" s="60">
        <f t="shared" si="15"/>
        <v>26.5</v>
      </c>
      <c r="N100" s="60">
        <f t="shared" si="15"/>
        <v>26.5</v>
      </c>
      <c r="O100" s="60">
        <f t="shared" si="15"/>
        <v>6</v>
      </c>
      <c r="P100" s="60">
        <f t="shared" si="15"/>
        <v>15.4</v>
      </c>
      <c r="Q100" s="60">
        <f t="shared" si="15"/>
        <v>0</v>
      </c>
      <c r="R100" s="60">
        <f t="shared" si="15"/>
        <v>12</v>
      </c>
      <c r="S100" s="60">
        <f t="shared" si="15"/>
        <v>1.1000000000000001</v>
      </c>
      <c r="T100" s="60">
        <f t="shared" si="15"/>
        <v>9.9</v>
      </c>
      <c r="U100" s="60">
        <f t="shared" si="15"/>
        <v>11.9</v>
      </c>
      <c r="V100" s="60">
        <f t="shared" si="15"/>
        <v>8.6</v>
      </c>
      <c r="W100" s="60">
        <f t="shared" si="15"/>
        <v>8.6</v>
      </c>
      <c r="X100" s="60">
        <f t="shared" si="15"/>
        <v>8.6</v>
      </c>
      <c r="Y100" s="60">
        <f t="shared" si="15"/>
        <v>8.6</v>
      </c>
      <c r="Z100" s="60">
        <f t="shared" si="15"/>
        <v>8.6</v>
      </c>
      <c r="AA100" s="60">
        <v>19.7</v>
      </c>
      <c r="AB100" s="60">
        <f t="shared" si="15"/>
        <v>28.9</v>
      </c>
      <c r="AC100" s="60">
        <f t="shared" si="15"/>
        <v>27.2</v>
      </c>
      <c r="AD100" s="60">
        <f t="shared" si="15"/>
        <v>36.6</v>
      </c>
      <c r="AE100" s="60">
        <f t="shared" si="15"/>
        <v>45.5</v>
      </c>
      <c r="AF100" s="60">
        <f t="shared" si="15"/>
        <v>0</v>
      </c>
      <c r="AG100" s="87"/>
      <c r="AH100" s="47">
        <f t="shared" si="9"/>
        <v>45.5</v>
      </c>
      <c r="AI100" s="48">
        <f t="shared" si="10"/>
        <v>0</v>
      </c>
    </row>
    <row r="101" spans="1:37" x14ac:dyDescent="0.25">
      <c r="A101" s="99" t="s">
        <v>109</v>
      </c>
      <c r="B101" s="100">
        <v>50</v>
      </c>
      <c r="C101" s="100">
        <v>50.03</v>
      </c>
      <c r="D101" s="100">
        <v>50.01</v>
      </c>
      <c r="E101" s="100">
        <v>49.968000000000004</v>
      </c>
      <c r="F101" s="100">
        <v>49.988999999999997</v>
      </c>
      <c r="G101" s="100">
        <v>49.975000000000001</v>
      </c>
      <c r="H101" s="100">
        <v>50.018999999999998</v>
      </c>
      <c r="I101" s="100">
        <v>49.99</v>
      </c>
      <c r="J101" s="100">
        <v>49.933999999999997</v>
      </c>
      <c r="K101" s="100">
        <v>50.014000000000003</v>
      </c>
      <c r="L101" s="100">
        <v>50.015000000000001</v>
      </c>
      <c r="M101" s="100">
        <v>50.006999999999998</v>
      </c>
      <c r="N101" s="100">
        <v>50.097000000000001</v>
      </c>
      <c r="O101" s="100">
        <v>50.097000000000001</v>
      </c>
      <c r="P101" s="100">
        <v>19.98</v>
      </c>
      <c r="Q101" s="100">
        <v>49.911999999999999</v>
      </c>
      <c r="R101" s="100">
        <v>49.972000000000001</v>
      </c>
      <c r="S101" s="100">
        <v>49.92</v>
      </c>
      <c r="T101" s="100">
        <v>49.98</v>
      </c>
      <c r="U101" s="100">
        <v>49.939</v>
      </c>
      <c r="V101" s="100">
        <v>49.9</v>
      </c>
      <c r="W101" s="100">
        <v>49.96</v>
      </c>
      <c r="X101" s="100">
        <v>50.06</v>
      </c>
      <c r="Y101" s="100">
        <v>50.06</v>
      </c>
      <c r="Z101" s="100">
        <v>50.02</v>
      </c>
      <c r="AA101" s="100">
        <v>50.01</v>
      </c>
      <c r="AB101" s="100">
        <v>50.001300000000001</v>
      </c>
      <c r="AC101" s="100">
        <v>49.97</v>
      </c>
      <c r="AD101" s="100">
        <v>49.908999999999999</v>
      </c>
      <c r="AE101" s="100">
        <v>49.973999999999997</v>
      </c>
      <c r="AF101" s="100">
        <v>50.073</v>
      </c>
      <c r="AG101" s="101"/>
      <c r="AH101" s="47">
        <f t="shared" si="9"/>
        <v>50.097000000000001</v>
      </c>
      <c r="AI101" s="48">
        <f t="shared" si="10"/>
        <v>19.98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9"/>
        <v>0</v>
      </c>
      <c r="AI102" s="48">
        <f t="shared" si="10"/>
        <v>0</v>
      </c>
    </row>
    <row r="103" spans="1:37" x14ac:dyDescent="0.25">
      <c r="A103" s="102" t="s">
        <v>111</v>
      </c>
      <c r="B103" s="64">
        <v>131.5</v>
      </c>
      <c r="C103" s="64">
        <v>131.5</v>
      </c>
      <c r="D103" s="64">
        <v>130.69999999999999</v>
      </c>
      <c r="E103" s="64">
        <v>131.1</v>
      </c>
      <c r="F103" s="64">
        <v>130.30000000000001</v>
      </c>
      <c r="G103" s="64">
        <v>130.19999999999999</v>
      </c>
      <c r="H103" s="64">
        <v>129.19999999999999</v>
      </c>
      <c r="I103" s="64">
        <v>129</v>
      </c>
      <c r="J103" s="64">
        <v>129.4</v>
      </c>
      <c r="K103" s="64">
        <v>127.5</v>
      </c>
      <c r="L103" s="64">
        <v>126.1</v>
      </c>
      <c r="M103" s="64">
        <v>126.8</v>
      </c>
      <c r="N103" s="64">
        <v>125.6</v>
      </c>
      <c r="O103" s="64">
        <v>125.6</v>
      </c>
      <c r="P103" s="64">
        <v>125.4</v>
      </c>
      <c r="Q103" s="64">
        <v>125.6</v>
      </c>
      <c r="R103" s="64">
        <v>125.1</v>
      </c>
      <c r="S103" s="64">
        <v>123.9</v>
      </c>
      <c r="T103" s="64">
        <v>126.2</v>
      </c>
      <c r="U103" s="64">
        <v>125.9</v>
      </c>
      <c r="V103" s="64">
        <v>126.7</v>
      </c>
      <c r="W103" s="64">
        <v>128.30000000000001</v>
      </c>
      <c r="X103" s="64">
        <v>128.9</v>
      </c>
      <c r="Y103" s="64">
        <v>128.9</v>
      </c>
      <c r="Z103" s="64">
        <v>128.9</v>
      </c>
      <c r="AA103" s="64">
        <v>128.5</v>
      </c>
      <c r="AB103" s="64">
        <v>128.69999999999999</v>
      </c>
      <c r="AC103" s="64">
        <v>127.8</v>
      </c>
      <c r="AD103" s="64">
        <v>128.80000000000001</v>
      </c>
      <c r="AE103" s="64">
        <v>128.80000000000001</v>
      </c>
      <c r="AF103" s="64">
        <v>128.80000000000001</v>
      </c>
      <c r="AG103" s="103"/>
      <c r="AH103" s="47">
        <f t="shared" si="9"/>
        <v>131.5</v>
      </c>
      <c r="AI103" s="48">
        <f t="shared" si="10"/>
        <v>123.9</v>
      </c>
    </row>
    <row r="104" spans="1:37" x14ac:dyDescent="0.25">
      <c r="A104" s="102" t="s">
        <v>112</v>
      </c>
      <c r="B104" s="64">
        <v>129.69999999999999</v>
      </c>
      <c r="C104" s="64">
        <v>130.6</v>
      </c>
      <c r="D104" s="64">
        <v>130.4</v>
      </c>
      <c r="E104" s="64">
        <v>131.30000000000001</v>
      </c>
      <c r="F104" s="64">
        <v>131.4</v>
      </c>
      <c r="G104" s="64">
        <v>128.69999999999999</v>
      </c>
      <c r="H104" s="64">
        <v>130.30000000000001</v>
      </c>
      <c r="I104" s="64">
        <v>129.19999999999999</v>
      </c>
      <c r="J104" s="64">
        <v>128.69999999999999</v>
      </c>
      <c r="K104" s="64">
        <v>130.30000000000001</v>
      </c>
      <c r="L104" s="64">
        <v>127.1</v>
      </c>
      <c r="M104" s="64">
        <v>127.8</v>
      </c>
      <c r="N104" s="64">
        <v>126.5</v>
      </c>
      <c r="O104" s="64">
        <v>126.5</v>
      </c>
      <c r="P104" s="64">
        <v>125.3</v>
      </c>
      <c r="Q104" s="64">
        <v>129.19999999999999</v>
      </c>
      <c r="R104" s="64">
        <v>129.1</v>
      </c>
      <c r="S104" s="64">
        <v>127.3</v>
      </c>
      <c r="T104" s="64">
        <v>128.19999999999999</v>
      </c>
      <c r="U104" s="64">
        <v>129.6</v>
      </c>
      <c r="V104" s="64">
        <v>130</v>
      </c>
      <c r="W104" s="64">
        <v>130.19999999999999</v>
      </c>
      <c r="X104" s="64">
        <v>129.5</v>
      </c>
      <c r="Y104" s="64">
        <v>129.5</v>
      </c>
      <c r="Z104" s="64">
        <v>128.30000000000001</v>
      </c>
      <c r="AA104" s="64">
        <v>127.5</v>
      </c>
      <c r="AB104" s="64">
        <v>128.1</v>
      </c>
      <c r="AC104" s="64">
        <v>123</v>
      </c>
      <c r="AD104" s="64">
        <v>127.1</v>
      </c>
      <c r="AE104" s="64">
        <v>127.1</v>
      </c>
      <c r="AF104" s="64">
        <v>127.1</v>
      </c>
      <c r="AG104" s="103"/>
      <c r="AH104" s="47">
        <f t="shared" si="9"/>
        <v>131.4</v>
      </c>
      <c r="AI104" s="48">
        <f t="shared" si="10"/>
        <v>123</v>
      </c>
    </row>
    <row r="105" spans="1:37" x14ac:dyDescent="0.25">
      <c r="A105" s="104" t="s">
        <v>113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3"/>
      <c r="AH105" s="47">
        <f t="shared" si="9"/>
        <v>0</v>
      </c>
      <c r="AI105" s="48">
        <f t="shared" si="10"/>
        <v>0</v>
      </c>
    </row>
    <row r="106" spans="1:37" x14ac:dyDescent="0.25">
      <c r="A106" s="104" t="s">
        <v>114</v>
      </c>
      <c r="B106" s="105">
        <v>135.19999999999999</v>
      </c>
      <c r="C106" s="105">
        <v>133.19999999999999</v>
      </c>
      <c r="D106" s="105">
        <v>132.30000000000001</v>
      </c>
      <c r="E106" s="105">
        <v>134.5</v>
      </c>
      <c r="F106" s="105">
        <v>132.6</v>
      </c>
      <c r="G106" s="105">
        <v>133.19999999999999</v>
      </c>
      <c r="H106" s="105">
        <v>132.6</v>
      </c>
      <c r="I106" s="105">
        <v>132.80000000000001</v>
      </c>
      <c r="J106" s="105">
        <v>131.6</v>
      </c>
      <c r="K106" s="105">
        <v>131.1</v>
      </c>
      <c r="L106" s="105">
        <v>128.4</v>
      </c>
      <c r="M106" s="105">
        <v>131.1</v>
      </c>
      <c r="N106" s="105">
        <v>132.9</v>
      </c>
      <c r="O106" s="105">
        <v>132.9</v>
      </c>
      <c r="P106" s="105">
        <v>132.4</v>
      </c>
      <c r="Q106" s="105">
        <v>131.6</v>
      </c>
      <c r="R106" s="105">
        <v>131.1</v>
      </c>
      <c r="S106" s="105">
        <v>131.69999999999999</v>
      </c>
      <c r="T106" s="105">
        <v>134</v>
      </c>
      <c r="U106" s="105">
        <v>131.19999999999999</v>
      </c>
      <c r="V106" s="105">
        <v>132.80000000000001</v>
      </c>
      <c r="W106" s="105">
        <v>128</v>
      </c>
      <c r="X106" s="105">
        <v>134.5</v>
      </c>
      <c r="Y106" s="105">
        <v>134.5</v>
      </c>
      <c r="Z106" s="105">
        <v>160.30000000000001</v>
      </c>
      <c r="AA106" s="105">
        <v>132.5</v>
      </c>
      <c r="AB106" s="105">
        <v>132.6</v>
      </c>
      <c r="AC106" s="105">
        <v>132.4</v>
      </c>
      <c r="AD106" s="105">
        <v>133.1</v>
      </c>
      <c r="AE106" s="105">
        <v>133.1</v>
      </c>
      <c r="AF106" s="105">
        <v>133.1</v>
      </c>
      <c r="AG106" s="106"/>
      <c r="AH106" s="47">
        <f t="shared" si="9"/>
        <v>160.30000000000001</v>
      </c>
      <c r="AI106" s="48">
        <f t="shared" si="10"/>
        <v>128</v>
      </c>
    </row>
    <row r="107" spans="1:37" x14ac:dyDescent="0.25">
      <c r="A107" s="102" t="s">
        <v>115</v>
      </c>
      <c r="B107" s="64">
        <v>128</v>
      </c>
      <c r="C107" s="64">
        <v>135.19999999999999</v>
      </c>
      <c r="D107" s="64">
        <v>131.80000000000001</v>
      </c>
      <c r="E107" s="64">
        <v>136.80000000000001</v>
      </c>
      <c r="F107" s="64">
        <v>132.6</v>
      </c>
      <c r="G107" s="64">
        <v>134.19999999999999</v>
      </c>
      <c r="H107" s="64">
        <v>133.19999999999999</v>
      </c>
      <c r="I107" s="64">
        <v>131.6</v>
      </c>
      <c r="J107" s="64">
        <v>130.1</v>
      </c>
      <c r="K107" s="64">
        <v>133.1</v>
      </c>
      <c r="L107" s="64">
        <v>129</v>
      </c>
      <c r="M107" s="64">
        <v>127.3</v>
      </c>
      <c r="N107" s="64"/>
      <c r="O107" s="64"/>
      <c r="P107" s="64">
        <v>126.2</v>
      </c>
      <c r="Q107" s="64">
        <v>130.4</v>
      </c>
      <c r="R107" s="64">
        <v>126.5</v>
      </c>
      <c r="S107" s="64">
        <v>127.2</v>
      </c>
      <c r="T107" s="64">
        <v>128</v>
      </c>
      <c r="U107" s="64">
        <v>129.1</v>
      </c>
      <c r="V107" s="64">
        <v>129.4</v>
      </c>
      <c r="W107" s="64">
        <v>134.19999999999999</v>
      </c>
      <c r="X107" s="64">
        <v>128</v>
      </c>
      <c r="Y107" s="64">
        <v>128</v>
      </c>
      <c r="Z107" s="64">
        <v>134.4</v>
      </c>
      <c r="AA107" s="64">
        <v>131.30000000000001</v>
      </c>
      <c r="AB107" s="64">
        <v>126.4</v>
      </c>
      <c r="AC107" s="64">
        <v>126.3</v>
      </c>
      <c r="AD107" s="64">
        <v>122</v>
      </c>
      <c r="AE107" s="64">
        <v>122</v>
      </c>
      <c r="AF107" s="64">
        <v>122</v>
      </c>
      <c r="AG107" s="103"/>
      <c r="AH107" s="47">
        <f t="shared" si="9"/>
        <v>136.80000000000001</v>
      </c>
      <c r="AI107" s="48">
        <f t="shared" si="10"/>
        <v>122</v>
      </c>
    </row>
    <row r="108" spans="1:37" ht="15.75" thickBot="1" x14ac:dyDescent="0.3">
      <c r="A108" s="102" t="s">
        <v>116</v>
      </c>
      <c r="B108" s="91">
        <v>66.099999999999994</v>
      </c>
      <c r="C108" s="91">
        <v>65.7</v>
      </c>
      <c r="D108" s="91">
        <v>65.5</v>
      </c>
      <c r="E108" s="91">
        <v>65.599999999999994</v>
      </c>
      <c r="F108" s="91">
        <v>65.3</v>
      </c>
      <c r="G108" s="91">
        <v>65.2</v>
      </c>
      <c r="H108" s="91">
        <v>64.7</v>
      </c>
      <c r="I108" s="91">
        <v>65.099999999999994</v>
      </c>
      <c r="J108" s="91">
        <v>64.8</v>
      </c>
      <c r="K108" s="91">
        <v>63.7</v>
      </c>
      <c r="L108" s="91">
        <v>63</v>
      </c>
      <c r="M108" s="91">
        <v>63.8</v>
      </c>
      <c r="N108" s="91">
        <v>62.9</v>
      </c>
      <c r="O108" s="91">
        <v>62.9</v>
      </c>
      <c r="P108" s="91">
        <v>62.8</v>
      </c>
      <c r="Q108" s="91">
        <v>62.8</v>
      </c>
      <c r="R108" s="91">
        <v>63</v>
      </c>
      <c r="S108" s="91">
        <v>62.1</v>
      </c>
      <c r="T108" s="91">
        <v>63.4</v>
      </c>
      <c r="U108" s="91">
        <v>63.2</v>
      </c>
      <c r="V108" s="91">
        <v>63.7</v>
      </c>
      <c r="W108" s="91">
        <v>64.3</v>
      </c>
      <c r="X108" s="91">
        <v>64.599999999999994</v>
      </c>
      <c r="Y108" s="91">
        <v>64.599999999999994</v>
      </c>
      <c r="Z108" s="91">
        <v>64.5</v>
      </c>
      <c r="AA108" s="91">
        <v>65.400000000000006</v>
      </c>
      <c r="AB108" s="91">
        <v>64.5</v>
      </c>
      <c r="AC108" s="91">
        <v>64.2</v>
      </c>
      <c r="AD108" s="91">
        <v>64.900000000000006</v>
      </c>
      <c r="AE108" s="91">
        <v>64.900000000000006</v>
      </c>
      <c r="AF108" s="91">
        <v>64.900000000000006</v>
      </c>
      <c r="AG108" s="107"/>
      <c r="AH108" s="47">
        <f t="shared" si="9"/>
        <v>66.099999999999994</v>
      </c>
      <c r="AI108" s="48">
        <f t="shared" si="10"/>
        <v>62.1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 t="s">
        <v>117</v>
      </c>
      <c r="AB109" s="91"/>
      <c r="AC109" s="91"/>
      <c r="AD109" s="91"/>
      <c r="AE109" s="91"/>
      <c r="AF109" s="91"/>
      <c r="AG109" s="107"/>
      <c r="AH109" s="47">
        <f t="shared" si="9"/>
        <v>0</v>
      </c>
      <c r="AI109" s="48">
        <f t="shared" si="10"/>
        <v>0</v>
      </c>
    </row>
    <row r="110" spans="1:37" ht="15.75" thickBot="1" x14ac:dyDescent="0.3">
      <c r="A110" s="109" t="s">
        <v>118</v>
      </c>
      <c r="B110" s="110">
        <f t="shared" ref="B110:O110" si="16">SUM(B20,B26,B29:B30,B58,B60:B61,B63,B65,B111:B115,B138,B144,B150,B159,B161,B173,B180,B183:B184,B191,B193,B195,B199:B201,B203:B205,B210,B216:B217,B219:B221,B229,B234)</f>
        <v>33.60000000000003</v>
      </c>
      <c r="C110" s="110">
        <f t="shared" si="16"/>
        <v>30.540000000000003</v>
      </c>
      <c r="D110" s="110">
        <f t="shared" si="16"/>
        <v>72.64</v>
      </c>
      <c r="E110" s="110">
        <f t="shared" si="16"/>
        <v>65.040000000000006</v>
      </c>
      <c r="F110" s="110">
        <f t="shared" si="16"/>
        <v>17.640000000000018</v>
      </c>
      <c r="G110" s="110">
        <f t="shared" si="16"/>
        <v>40.240000000000023</v>
      </c>
      <c r="H110" s="110">
        <f t="shared" si="16"/>
        <v>51.54000000000002</v>
      </c>
      <c r="I110" s="110">
        <f t="shared" si="16"/>
        <v>69.040000000000035</v>
      </c>
      <c r="J110" s="110">
        <f t="shared" si="16"/>
        <v>110.14000000000003</v>
      </c>
      <c r="K110" s="110">
        <f t="shared" si="16"/>
        <v>147.84</v>
      </c>
      <c r="L110" s="110">
        <f t="shared" si="16"/>
        <v>181.33999999999997</v>
      </c>
      <c r="M110" s="110">
        <f t="shared" si="16"/>
        <v>191.33999999999997</v>
      </c>
      <c r="N110" s="110">
        <f t="shared" si="16"/>
        <v>216.64000000000001</v>
      </c>
      <c r="O110" s="110">
        <f t="shared" si="16"/>
        <v>221.64000000000001</v>
      </c>
      <c r="P110" s="110">
        <v>42</v>
      </c>
      <c r="Q110" s="110">
        <f t="shared" ref="Q110:AF110" si="17">SUM(Q20,Q26,Q29:Q30,Q58,Q60:Q61,Q63,Q65,Q111:Q115,Q138,Q144,Q150,Q159,Q161,Q173,Q180,Q183:Q184,Q191,Q193,Q195,Q199:Q201,Q203:Q205,Q210,Q216:Q217,Q219:Q221,Q229,Q234)</f>
        <v>204.4</v>
      </c>
      <c r="R110" s="110">
        <f t="shared" si="17"/>
        <v>221.50000000000003</v>
      </c>
      <c r="S110" s="110">
        <f t="shared" si="17"/>
        <v>190.50000000000006</v>
      </c>
      <c r="T110" s="110">
        <f t="shared" si="17"/>
        <v>194.8</v>
      </c>
      <c r="U110" s="110">
        <f t="shared" si="17"/>
        <v>224.90000000000003</v>
      </c>
      <c r="V110" s="110">
        <f t="shared" si="17"/>
        <v>180.10000000000002</v>
      </c>
      <c r="W110" s="110">
        <f t="shared" si="17"/>
        <v>198.6</v>
      </c>
      <c r="X110" s="110">
        <f t="shared" si="17"/>
        <v>207.60000000000002</v>
      </c>
      <c r="Y110" s="110">
        <f t="shared" si="17"/>
        <v>207.60000000000002</v>
      </c>
      <c r="Z110" s="110">
        <f t="shared" si="17"/>
        <v>434.40000000000003</v>
      </c>
      <c r="AA110" s="110">
        <v>241.84</v>
      </c>
      <c r="AB110" s="110">
        <f t="shared" si="17"/>
        <v>202.89999999999998</v>
      </c>
      <c r="AC110" s="110">
        <f t="shared" si="17"/>
        <v>192.1</v>
      </c>
      <c r="AD110" s="110"/>
      <c r="AE110" s="110">
        <f t="shared" si="17"/>
        <v>89.799999999999983</v>
      </c>
      <c r="AF110" s="110">
        <f t="shared" si="17"/>
        <v>48.399999999999977</v>
      </c>
      <c r="AG110" s="111"/>
      <c r="AH110" s="47">
        <f t="shared" si="9"/>
        <v>434.40000000000003</v>
      </c>
      <c r="AI110" s="48">
        <f t="shared" si="10"/>
        <v>17.640000000000018</v>
      </c>
    </row>
    <row r="111" spans="1:37" x14ac:dyDescent="0.25">
      <c r="A111" s="99" t="s">
        <v>119</v>
      </c>
      <c r="B111" s="112">
        <v>16.399999999999999</v>
      </c>
      <c r="C111" s="112">
        <v>15</v>
      </c>
      <c r="D111" s="112">
        <v>22.7</v>
      </c>
      <c r="E111" s="112">
        <v>19.600000000000001</v>
      </c>
      <c r="F111" s="112">
        <v>11.6</v>
      </c>
      <c r="G111" s="112">
        <v>13.4</v>
      </c>
      <c r="H111" s="112">
        <v>17.3</v>
      </c>
      <c r="I111" s="112">
        <v>20.3</v>
      </c>
      <c r="J111" s="112">
        <v>25.4</v>
      </c>
      <c r="K111" s="112">
        <v>34.6</v>
      </c>
      <c r="L111" s="112">
        <v>39</v>
      </c>
      <c r="M111" s="112">
        <v>36.799999999999997</v>
      </c>
      <c r="N111" s="112">
        <v>51.5</v>
      </c>
      <c r="O111" s="112">
        <v>51.5</v>
      </c>
      <c r="P111" s="112">
        <v>57.3</v>
      </c>
      <c r="Q111" s="112">
        <v>60.9</v>
      </c>
      <c r="R111" s="112">
        <v>58.2</v>
      </c>
      <c r="S111" s="112">
        <v>56</v>
      </c>
      <c r="T111" s="112">
        <v>59.3</v>
      </c>
      <c r="U111" s="112">
        <v>54.4</v>
      </c>
      <c r="V111" s="112">
        <v>55.6</v>
      </c>
      <c r="W111" s="112">
        <v>57.8</v>
      </c>
      <c r="X111" s="112">
        <v>57.7</v>
      </c>
      <c r="Y111" s="112">
        <v>57.7</v>
      </c>
      <c r="Z111" s="112">
        <v>41.7</v>
      </c>
      <c r="AA111" s="112">
        <v>51.8</v>
      </c>
      <c r="AB111" s="112">
        <v>52.8</v>
      </c>
      <c r="AC111" s="112">
        <v>46.8</v>
      </c>
      <c r="AD111" s="112">
        <v>46.2</v>
      </c>
      <c r="AE111" s="112">
        <v>42</v>
      </c>
      <c r="AF111" s="112">
        <v>26.7</v>
      </c>
      <c r="AG111" s="113">
        <v>75</v>
      </c>
      <c r="AH111" s="47">
        <f t="shared" si="9"/>
        <v>60.9</v>
      </c>
      <c r="AI111" s="48">
        <f t="shared" si="10"/>
        <v>11.6</v>
      </c>
    </row>
    <row r="112" spans="1:37" x14ac:dyDescent="0.25">
      <c r="A112" s="102" t="s">
        <v>120</v>
      </c>
      <c r="B112" s="114">
        <v>28.7</v>
      </c>
      <c r="C112" s="114">
        <v>25.6</v>
      </c>
      <c r="D112" s="114">
        <v>37.799999999999997</v>
      </c>
      <c r="E112" s="114">
        <v>33.799999999999997</v>
      </c>
      <c r="F112" s="114">
        <v>23.3</v>
      </c>
      <c r="G112" s="114">
        <v>22.3</v>
      </c>
      <c r="H112" s="114">
        <v>27</v>
      </c>
      <c r="I112" s="114">
        <v>30.8</v>
      </c>
      <c r="J112" s="114">
        <v>38.200000000000003</v>
      </c>
      <c r="K112" s="114">
        <v>54.8</v>
      </c>
      <c r="L112" s="114">
        <v>60</v>
      </c>
      <c r="M112" s="114">
        <v>57.7</v>
      </c>
      <c r="N112" s="114">
        <v>77.2</v>
      </c>
      <c r="O112" s="114">
        <v>77.2</v>
      </c>
      <c r="P112" s="114">
        <v>85.8</v>
      </c>
      <c r="Q112" s="114">
        <v>95.3</v>
      </c>
      <c r="R112" s="114">
        <v>87.5</v>
      </c>
      <c r="S112" s="114">
        <v>83.9</v>
      </c>
      <c r="T112" s="114">
        <v>89.7</v>
      </c>
      <c r="U112" s="114">
        <v>82</v>
      </c>
      <c r="V112" s="114">
        <v>83.4</v>
      </c>
      <c r="W112" s="114">
        <v>84.5</v>
      </c>
      <c r="X112" s="114">
        <v>84.8</v>
      </c>
      <c r="Y112" s="114">
        <v>84.8</v>
      </c>
      <c r="Z112" s="114">
        <v>63.6</v>
      </c>
      <c r="AA112" s="114">
        <v>78.400000000000006</v>
      </c>
      <c r="AB112" s="114">
        <v>79.2</v>
      </c>
      <c r="AC112" s="114">
        <v>70.2</v>
      </c>
      <c r="AD112" s="114">
        <v>64.3</v>
      </c>
      <c r="AE112" s="114">
        <v>65.5</v>
      </c>
      <c r="AF112" s="114">
        <v>43</v>
      </c>
      <c r="AG112" s="113">
        <v>240</v>
      </c>
      <c r="AH112" s="47">
        <f t="shared" si="9"/>
        <v>95.3</v>
      </c>
      <c r="AI112" s="48">
        <f t="shared" si="10"/>
        <v>22.3</v>
      </c>
    </row>
    <row r="113" spans="1:37" x14ac:dyDescent="0.25">
      <c r="A113" s="102" t="s">
        <v>121</v>
      </c>
      <c r="B113" s="114">
        <f>-73.1-77.6</f>
        <v>-150.69999999999999</v>
      </c>
      <c r="C113" s="114">
        <f>-71.8-77.5</f>
        <v>-149.30000000000001</v>
      </c>
      <c r="D113" s="114">
        <f>-65.5-69.8</f>
        <v>-135.30000000000001</v>
      </c>
      <c r="E113" s="114">
        <v>-148</v>
      </c>
      <c r="F113" s="114">
        <v>-155</v>
      </c>
      <c r="G113" s="114">
        <v>-138</v>
      </c>
      <c r="H113" s="114">
        <v>-141</v>
      </c>
      <c r="I113" s="114">
        <v>-131</v>
      </c>
      <c r="J113" s="114">
        <v>-118</v>
      </c>
      <c r="K113" s="114">
        <v>-117</v>
      </c>
      <c r="L113" s="114">
        <v>-118</v>
      </c>
      <c r="M113" s="114">
        <v>-106</v>
      </c>
      <c r="N113" s="114">
        <v>-130</v>
      </c>
      <c r="O113" s="114">
        <v>-130</v>
      </c>
      <c r="P113" s="114">
        <v>-149.19999999999999</v>
      </c>
      <c r="Q113" s="114">
        <v>-166</v>
      </c>
      <c r="R113" s="114">
        <v>-166</v>
      </c>
      <c r="S113" s="114">
        <f>-91.8-90.2</f>
        <v>-182</v>
      </c>
      <c r="T113" s="114">
        <v>-155.9</v>
      </c>
      <c r="U113" s="114">
        <v>-146.69999999999999</v>
      </c>
      <c r="V113" s="114">
        <v>-178.6</v>
      </c>
      <c r="W113" s="114">
        <f>-76.2-82</f>
        <v>-158.19999999999999</v>
      </c>
      <c r="X113" s="114">
        <f>-72.7-78.3</f>
        <v>-151</v>
      </c>
      <c r="Y113" s="114">
        <f t="shared" ref="Y113" si="18">-72.7-78.3</f>
        <v>-151</v>
      </c>
      <c r="Z113" s="114">
        <f>45+48.7</f>
        <v>93.7</v>
      </c>
      <c r="AA113" s="114">
        <v>-147.80000000000001</v>
      </c>
      <c r="AB113" s="114">
        <v>-171.6</v>
      </c>
      <c r="AC113" s="114">
        <v>-167</v>
      </c>
      <c r="AD113" s="114">
        <v>-176.2</v>
      </c>
      <c r="AE113" s="114">
        <v>-185</v>
      </c>
      <c r="AF113" s="114">
        <v>-176</v>
      </c>
      <c r="AG113" s="113">
        <v>240</v>
      </c>
      <c r="AH113" s="47">
        <f t="shared" si="9"/>
        <v>93.7</v>
      </c>
      <c r="AI113" s="48">
        <f t="shared" si="10"/>
        <v>-185</v>
      </c>
    </row>
    <row r="114" spans="1:37" x14ac:dyDescent="0.25">
      <c r="A114" s="102" t="s">
        <v>122</v>
      </c>
      <c r="B114" s="114">
        <v>-9.1999999999999993</v>
      </c>
      <c r="C114" s="114">
        <v>-10.199999999999999</v>
      </c>
      <c r="D114" s="114">
        <v>-8.6</v>
      </c>
      <c r="E114" s="114">
        <v>-8</v>
      </c>
      <c r="F114" s="114">
        <v>-12</v>
      </c>
      <c r="G114" s="114">
        <v>-7</v>
      </c>
      <c r="H114" s="114">
        <v>-7</v>
      </c>
      <c r="I114" s="114">
        <v>-6.3</v>
      </c>
      <c r="J114" s="114">
        <v>-3</v>
      </c>
      <c r="K114" s="114">
        <v>2.4</v>
      </c>
      <c r="L114" s="114">
        <v>2</v>
      </c>
      <c r="M114" s="114">
        <v>4.5</v>
      </c>
      <c r="N114" s="114">
        <v>21.5</v>
      </c>
      <c r="O114" s="114">
        <v>21.5</v>
      </c>
      <c r="P114" s="114">
        <v>24.8</v>
      </c>
      <c r="Q114" s="114">
        <v>19.5</v>
      </c>
      <c r="R114" s="114">
        <v>15</v>
      </c>
      <c r="S114" s="114">
        <v>7.9</v>
      </c>
      <c r="T114" s="114">
        <v>17.8</v>
      </c>
      <c r="U114" s="114">
        <v>12.6</v>
      </c>
      <c r="V114" s="114">
        <v>2.9</v>
      </c>
      <c r="W114" s="114">
        <v>0.4</v>
      </c>
      <c r="X114" s="114">
        <v>1.1000000000000001</v>
      </c>
      <c r="Y114" s="114">
        <v>1.1000000000000001</v>
      </c>
      <c r="Z114" s="114">
        <v>8.6999999999999993</v>
      </c>
      <c r="AA114" s="114">
        <v>23.3</v>
      </c>
      <c r="AB114" s="114">
        <v>9.1999999999999993</v>
      </c>
      <c r="AC114" s="114">
        <v>8.1</v>
      </c>
      <c r="AD114" s="114">
        <v>11.9</v>
      </c>
      <c r="AE114" s="114">
        <v>-7.5</v>
      </c>
      <c r="AF114" s="114">
        <v>-10.8</v>
      </c>
      <c r="AG114" s="113">
        <v>60</v>
      </c>
      <c r="AH114" s="47">
        <f t="shared" si="9"/>
        <v>24.8</v>
      </c>
      <c r="AI114" s="48">
        <f t="shared" si="10"/>
        <v>-12</v>
      </c>
    </row>
    <row r="115" spans="1:37" x14ac:dyDescent="0.25">
      <c r="A115" s="115" t="s">
        <v>123</v>
      </c>
      <c r="B115" s="116">
        <v>2.2999999999999998</v>
      </c>
      <c r="C115" s="116">
        <v>2.2999999999999998</v>
      </c>
      <c r="D115" s="116">
        <v>2.2999999999999998</v>
      </c>
      <c r="E115" s="116">
        <v>4.8</v>
      </c>
      <c r="F115" s="116">
        <v>2.5</v>
      </c>
      <c r="G115" s="116">
        <v>2.2999999999999998</v>
      </c>
      <c r="H115" s="116">
        <v>8</v>
      </c>
      <c r="I115" s="116">
        <v>7.5</v>
      </c>
      <c r="J115" s="116">
        <v>14.3</v>
      </c>
      <c r="K115" s="116">
        <v>17</v>
      </c>
      <c r="L115" s="116">
        <v>23</v>
      </c>
      <c r="M115" s="116">
        <v>23</v>
      </c>
      <c r="N115" s="116">
        <v>26.1</v>
      </c>
      <c r="O115" s="116">
        <v>26.1</v>
      </c>
      <c r="P115" s="116">
        <v>26.2</v>
      </c>
      <c r="Q115" s="116">
        <v>26.1</v>
      </c>
      <c r="R115" s="116">
        <v>63.6</v>
      </c>
      <c r="S115" s="116">
        <v>62.4</v>
      </c>
      <c r="T115" s="116">
        <v>62.2</v>
      </c>
      <c r="U115" s="116">
        <v>63.8</v>
      </c>
      <c r="V115" s="116">
        <v>63.7</v>
      </c>
      <c r="W115" s="116">
        <v>61</v>
      </c>
      <c r="X115" s="116">
        <v>61.9</v>
      </c>
      <c r="Y115" s="116">
        <v>61.9</v>
      </c>
      <c r="Z115" s="116">
        <v>59.5</v>
      </c>
      <c r="AA115" s="116">
        <v>57.4</v>
      </c>
      <c r="AB115" s="116">
        <v>61.3</v>
      </c>
      <c r="AC115" s="116">
        <v>62</v>
      </c>
      <c r="AD115" s="116">
        <v>46</v>
      </c>
      <c r="AE115" s="116">
        <v>26.1</v>
      </c>
      <c r="AF115" s="116">
        <v>16.8</v>
      </c>
      <c r="AG115" s="117">
        <v>120</v>
      </c>
      <c r="AH115" s="47">
        <f t="shared" si="9"/>
        <v>63.8</v>
      </c>
      <c r="AI115" s="48">
        <f t="shared" si="10"/>
        <v>2.2999999999999998</v>
      </c>
    </row>
    <row r="116" spans="1:37" x14ac:dyDescent="0.25">
      <c r="A116" s="115" t="s">
        <v>124</v>
      </c>
      <c r="B116" s="116">
        <v>28.3</v>
      </c>
      <c r="C116" s="116">
        <v>38.200000000000003</v>
      </c>
      <c r="D116" s="116">
        <v>45.5</v>
      </c>
      <c r="E116" s="116">
        <v>26.2</v>
      </c>
      <c r="F116" s="116">
        <v>29</v>
      </c>
      <c r="G116" s="116">
        <v>39</v>
      </c>
      <c r="H116" s="116">
        <v>29</v>
      </c>
      <c r="I116" s="116">
        <v>31</v>
      </c>
      <c r="J116" s="116">
        <v>25</v>
      </c>
      <c r="K116" s="116">
        <v>33</v>
      </c>
      <c r="L116" s="116">
        <v>27</v>
      </c>
      <c r="M116" s="116">
        <v>40</v>
      </c>
      <c r="N116" s="116">
        <v>56.1</v>
      </c>
      <c r="O116" s="116">
        <v>56.1</v>
      </c>
      <c r="P116" s="116">
        <v>39</v>
      </c>
      <c r="Q116" s="116">
        <v>25.7</v>
      </c>
      <c r="R116" s="116">
        <v>44</v>
      </c>
      <c r="S116" s="116">
        <v>36.299999999999997</v>
      </c>
      <c r="T116" s="116">
        <v>23.3</v>
      </c>
      <c r="U116" s="116">
        <v>34.700000000000003</v>
      </c>
      <c r="V116" s="116">
        <v>17.8</v>
      </c>
      <c r="W116" s="116">
        <v>23.6</v>
      </c>
      <c r="X116" s="116">
        <v>20.2</v>
      </c>
      <c r="Y116" s="116">
        <v>20.2</v>
      </c>
      <c r="Z116" s="116">
        <v>38.799999999999997</v>
      </c>
      <c r="AA116" s="116">
        <v>37</v>
      </c>
      <c r="AB116" s="116">
        <v>37.4</v>
      </c>
      <c r="AC116" s="116">
        <v>45.6</v>
      </c>
      <c r="AD116" s="116">
        <v>19.2</v>
      </c>
      <c r="AE116" s="116">
        <v>27.1</v>
      </c>
      <c r="AF116" s="116">
        <v>55.5</v>
      </c>
      <c r="AG116" s="117"/>
      <c r="AH116" s="47">
        <f t="shared" si="9"/>
        <v>56.1</v>
      </c>
      <c r="AI116" s="48">
        <f t="shared" si="10"/>
        <v>17.8</v>
      </c>
    </row>
    <row r="117" spans="1:37" x14ac:dyDescent="0.25">
      <c r="A117" s="115" t="s">
        <v>125</v>
      </c>
      <c r="B117" s="116">
        <v>-4.4000000000000004</v>
      </c>
      <c r="C117" s="116">
        <v>-8.6</v>
      </c>
      <c r="D117" s="116">
        <v>-7.2</v>
      </c>
      <c r="E117" s="116">
        <v>-5</v>
      </c>
      <c r="F117" s="116">
        <v>-3.3</v>
      </c>
      <c r="G117" s="116">
        <v>-4</v>
      </c>
      <c r="H117" s="116">
        <v>-2</v>
      </c>
      <c r="I117" s="116">
        <v>5.0999999999999996</v>
      </c>
      <c r="J117" s="116">
        <v>2</v>
      </c>
      <c r="K117" s="116">
        <v>4</v>
      </c>
      <c r="L117" s="116">
        <v>9.4</v>
      </c>
      <c r="M117" s="116">
        <v>10.5</v>
      </c>
      <c r="N117" s="116">
        <v>-1.2</v>
      </c>
      <c r="O117" s="116">
        <v>-1.2</v>
      </c>
      <c r="P117" s="116">
        <v>4.3</v>
      </c>
      <c r="Q117" s="116">
        <v>6.1</v>
      </c>
      <c r="R117" s="116">
        <v>1.4</v>
      </c>
      <c r="S117" s="116">
        <v>-0.9</v>
      </c>
      <c r="T117" s="116">
        <v>-4.5</v>
      </c>
      <c r="U117" s="116">
        <v>1</v>
      </c>
      <c r="V117" s="116">
        <v>1.2</v>
      </c>
      <c r="W117" s="116">
        <v>5</v>
      </c>
      <c r="X117" s="116">
        <v>5.8</v>
      </c>
      <c r="Y117" s="116">
        <v>5.8</v>
      </c>
      <c r="Z117" s="116">
        <v>3.9</v>
      </c>
      <c r="AA117" s="116">
        <v>-11.1</v>
      </c>
      <c r="AB117" s="116">
        <v>-10.3</v>
      </c>
      <c r="AC117" s="116">
        <v>-19.600000000000001</v>
      </c>
      <c r="AD117" s="116">
        <v>-15</v>
      </c>
      <c r="AE117" s="116">
        <v>-12.1</v>
      </c>
      <c r="AF117" s="116">
        <v>-27.3</v>
      </c>
      <c r="AG117" s="118"/>
      <c r="AH117" s="47">
        <f t="shared" si="9"/>
        <v>10.5</v>
      </c>
      <c r="AI117" s="48">
        <f t="shared" si="10"/>
        <v>-27.3</v>
      </c>
    </row>
    <row r="118" spans="1:37" x14ac:dyDescent="0.25">
      <c r="A118" s="119" t="s">
        <v>126</v>
      </c>
      <c r="B118" s="105">
        <v>41.9</v>
      </c>
      <c r="C118" s="105">
        <v>43.8</v>
      </c>
      <c r="D118" s="105">
        <v>34.9</v>
      </c>
      <c r="E118" s="105">
        <v>35.700000000000003</v>
      </c>
      <c r="F118" s="105">
        <v>38</v>
      </c>
      <c r="G118" s="105">
        <v>41</v>
      </c>
      <c r="H118" s="105">
        <v>40</v>
      </c>
      <c r="I118" s="105">
        <v>40</v>
      </c>
      <c r="J118" s="105">
        <v>38</v>
      </c>
      <c r="K118" s="105">
        <v>37</v>
      </c>
      <c r="L118" s="105">
        <v>21</v>
      </c>
      <c r="M118" s="105">
        <v>36.1</v>
      </c>
      <c r="N118" s="105">
        <v>30</v>
      </c>
      <c r="O118" s="105">
        <v>30</v>
      </c>
      <c r="P118" s="105">
        <v>27.5</v>
      </c>
      <c r="Q118" s="105">
        <v>23.6</v>
      </c>
      <c r="R118" s="105">
        <v>19.600000000000001</v>
      </c>
      <c r="S118" s="105">
        <v>19.7</v>
      </c>
      <c r="T118" s="105">
        <v>17</v>
      </c>
      <c r="U118" s="105">
        <v>33.200000000000003</v>
      </c>
      <c r="V118" s="105">
        <v>34.299999999999997</v>
      </c>
      <c r="W118" s="105">
        <v>32</v>
      </c>
      <c r="X118" s="105">
        <v>31.3</v>
      </c>
      <c r="Y118" s="105">
        <v>31.3</v>
      </c>
      <c r="Z118" s="105">
        <v>22</v>
      </c>
      <c r="AA118" s="105">
        <v>16.7</v>
      </c>
      <c r="AB118" s="105">
        <v>18.899999999999999</v>
      </c>
      <c r="AC118" s="105">
        <v>16.899999999999999</v>
      </c>
      <c r="AD118" s="105">
        <v>18.2</v>
      </c>
      <c r="AE118" s="105">
        <v>27.8</v>
      </c>
      <c r="AF118" s="105">
        <v>30.9</v>
      </c>
      <c r="AG118" s="118"/>
      <c r="AH118" s="47">
        <f t="shared" si="9"/>
        <v>43.8</v>
      </c>
      <c r="AI118" s="48">
        <f t="shared" si="10"/>
        <v>16.7</v>
      </c>
    </row>
    <row r="119" spans="1:37" x14ac:dyDescent="0.25">
      <c r="A119" s="120" t="s">
        <v>127</v>
      </c>
      <c r="B119" s="105">
        <v>100</v>
      </c>
      <c r="C119" s="105">
        <v>100.5</v>
      </c>
      <c r="D119" s="105">
        <v>96.7</v>
      </c>
      <c r="E119" s="105">
        <v>100.7</v>
      </c>
      <c r="F119" s="105">
        <v>104</v>
      </c>
      <c r="G119" s="105">
        <v>92</v>
      </c>
      <c r="H119" s="105">
        <v>98</v>
      </c>
      <c r="I119" s="105">
        <v>96</v>
      </c>
      <c r="J119" s="105">
        <v>88</v>
      </c>
      <c r="K119" s="105">
        <v>86</v>
      </c>
      <c r="L119" s="105">
        <v>96</v>
      </c>
      <c r="M119" s="105">
        <v>78.5</v>
      </c>
      <c r="N119" s="105">
        <v>73</v>
      </c>
      <c r="O119" s="105">
        <v>73</v>
      </c>
      <c r="P119" s="105">
        <v>89.6</v>
      </c>
      <c r="Q119" s="105">
        <v>92.5</v>
      </c>
      <c r="R119" s="105">
        <v>92.3</v>
      </c>
      <c r="S119" s="105">
        <v>89.8</v>
      </c>
      <c r="T119" s="105">
        <v>83.8</v>
      </c>
      <c r="U119" s="105">
        <v>85.6</v>
      </c>
      <c r="V119" s="105">
        <v>84</v>
      </c>
      <c r="W119" s="105">
        <v>75.5</v>
      </c>
      <c r="X119" s="105">
        <v>72.900000000000006</v>
      </c>
      <c r="Y119" s="105">
        <v>72.900000000000006</v>
      </c>
      <c r="Z119" s="105">
        <v>74</v>
      </c>
      <c r="AA119" s="105">
        <v>73</v>
      </c>
      <c r="AB119" s="105">
        <v>84.1</v>
      </c>
      <c r="AC119" s="105">
        <v>81.8</v>
      </c>
      <c r="AD119" s="105">
        <v>80</v>
      </c>
      <c r="AE119" s="105">
        <v>98.3</v>
      </c>
      <c r="AF119" s="105">
        <v>91.9</v>
      </c>
      <c r="AG119" s="118"/>
      <c r="AH119" s="47">
        <f t="shared" si="9"/>
        <v>104</v>
      </c>
      <c r="AI119" s="48">
        <f t="shared" si="10"/>
        <v>72.900000000000006</v>
      </c>
    </row>
    <row r="120" spans="1:37" ht="15.75" thickBot="1" x14ac:dyDescent="0.3">
      <c r="A120" s="119" t="s">
        <v>128</v>
      </c>
      <c r="B120" s="105">
        <v>11.5</v>
      </c>
      <c r="C120" s="105">
        <v>9.3000000000000007</v>
      </c>
      <c r="D120" s="105">
        <v>11</v>
      </c>
      <c r="E120" s="105">
        <v>5</v>
      </c>
      <c r="F120" s="105">
        <v>4</v>
      </c>
      <c r="G120" s="105">
        <v>3</v>
      </c>
      <c r="H120" s="105">
        <v>-8</v>
      </c>
      <c r="I120" s="105">
        <v>-3</v>
      </c>
      <c r="J120" s="105">
        <v>-4.4000000000000004</v>
      </c>
      <c r="K120" s="105">
        <v>-2</v>
      </c>
      <c r="L120" s="105">
        <v>15</v>
      </c>
      <c r="M120" s="105">
        <v>3.5</v>
      </c>
      <c r="N120" s="105">
        <v>25.8</v>
      </c>
      <c r="O120" s="105">
        <v>25.8</v>
      </c>
      <c r="P120" s="105">
        <v>23</v>
      </c>
      <c r="Q120" s="105">
        <v>23.6</v>
      </c>
      <c r="R120" s="105">
        <v>23.6</v>
      </c>
      <c r="S120" s="105">
        <v>20.100000000000001</v>
      </c>
      <c r="T120" s="105">
        <v>24.1</v>
      </c>
      <c r="U120" s="105">
        <v>14.7</v>
      </c>
      <c r="V120" s="105">
        <v>8.9</v>
      </c>
      <c r="W120" s="105">
        <v>4.0999999999999996</v>
      </c>
      <c r="X120" s="105">
        <v>7.4</v>
      </c>
      <c r="Y120" s="105">
        <v>7.4</v>
      </c>
      <c r="Z120" s="105">
        <v>25.7</v>
      </c>
      <c r="AA120" s="105">
        <v>39.700000000000003</v>
      </c>
      <c r="AB120" s="105">
        <v>40.700000000000003</v>
      </c>
      <c r="AC120" s="105">
        <v>41.3</v>
      </c>
      <c r="AD120" s="105">
        <v>45.9</v>
      </c>
      <c r="AE120" s="105">
        <v>39.200000000000003</v>
      </c>
      <c r="AF120" s="105">
        <v>33.6</v>
      </c>
      <c r="AG120" s="118"/>
      <c r="AH120" s="47">
        <f t="shared" si="9"/>
        <v>45.9</v>
      </c>
      <c r="AI120" s="48">
        <f t="shared" si="10"/>
        <v>-8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19">SUM(B122:B226)</f>
        <v>0</v>
      </c>
      <c r="C227" s="136">
        <f t="shared" si="19"/>
        <v>0</v>
      </c>
      <c r="D227" s="136">
        <f t="shared" si="19"/>
        <v>0</v>
      </c>
      <c r="E227" s="136">
        <f t="shared" si="19"/>
        <v>0</v>
      </c>
      <c r="F227" s="136">
        <f t="shared" si="19"/>
        <v>0</v>
      </c>
      <c r="G227" s="136">
        <f t="shared" si="19"/>
        <v>0</v>
      </c>
      <c r="H227" s="136">
        <f t="shared" si="19"/>
        <v>0</v>
      </c>
      <c r="I227" s="136">
        <f t="shared" si="19"/>
        <v>0</v>
      </c>
      <c r="J227" s="136">
        <f t="shared" si="19"/>
        <v>0</v>
      </c>
      <c r="K227" s="136">
        <f t="shared" si="19"/>
        <v>0</v>
      </c>
      <c r="L227" s="136">
        <f t="shared" si="19"/>
        <v>0</v>
      </c>
      <c r="M227" s="136">
        <f t="shared" si="19"/>
        <v>0</v>
      </c>
      <c r="N227" s="136">
        <f t="shared" si="19"/>
        <v>0</v>
      </c>
      <c r="O227" s="136">
        <f t="shared" si="19"/>
        <v>0</v>
      </c>
      <c r="P227" s="136">
        <f t="shared" si="19"/>
        <v>0</v>
      </c>
      <c r="Q227" s="136">
        <f t="shared" si="19"/>
        <v>0</v>
      </c>
      <c r="R227" s="136">
        <f t="shared" si="19"/>
        <v>0</v>
      </c>
      <c r="S227" s="136">
        <f t="shared" si="19"/>
        <v>0</v>
      </c>
      <c r="T227" s="136">
        <f t="shared" si="19"/>
        <v>0</v>
      </c>
      <c r="U227" s="136">
        <f t="shared" si="19"/>
        <v>0</v>
      </c>
      <c r="V227" s="136">
        <f t="shared" si="19"/>
        <v>0</v>
      </c>
      <c r="W227" s="136">
        <f t="shared" si="19"/>
        <v>0</v>
      </c>
      <c r="X227" s="136">
        <f t="shared" si="19"/>
        <v>0</v>
      </c>
      <c r="Y227" s="136">
        <f t="shared" si="19"/>
        <v>0</v>
      </c>
      <c r="Z227" s="136">
        <f t="shared" si="19"/>
        <v>0</v>
      </c>
      <c r="AA227" s="136">
        <f t="shared" si="19"/>
        <v>0</v>
      </c>
      <c r="AB227" s="136">
        <f t="shared" si="19"/>
        <v>0</v>
      </c>
      <c r="AC227" s="136">
        <f t="shared" si="19"/>
        <v>0</v>
      </c>
      <c r="AD227" s="136">
        <f t="shared" si="19"/>
        <v>0</v>
      </c>
      <c r="AE227" s="136">
        <f t="shared" si="19"/>
        <v>0</v>
      </c>
      <c r="AF227" s="137">
        <f t="shared" si="19"/>
        <v>0</v>
      </c>
      <c r="AG227" s="138">
        <f t="shared" si="19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20">AF229</f>
        <v>0</v>
      </c>
      <c r="C229" s="140">
        <v>0.3</v>
      </c>
      <c r="D229" s="140">
        <f t="shared" ref="D229:P234" si="21">C229</f>
        <v>0.3</v>
      </c>
      <c r="E229" s="140">
        <f t="shared" si="21"/>
        <v>0.3</v>
      </c>
      <c r="F229" s="140">
        <f t="shared" si="21"/>
        <v>0.3</v>
      </c>
      <c r="G229" s="140">
        <f t="shared" si="21"/>
        <v>0.3</v>
      </c>
      <c r="H229" s="140">
        <f t="shared" si="21"/>
        <v>0.3</v>
      </c>
      <c r="I229" s="140">
        <f t="shared" si="21"/>
        <v>0.3</v>
      </c>
      <c r="J229" s="140">
        <f t="shared" si="21"/>
        <v>0.3</v>
      </c>
      <c r="K229" s="140">
        <f t="shared" si="21"/>
        <v>0.3</v>
      </c>
      <c r="L229" s="140">
        <f t="shared" si="21"/>
        <v>0.3</v>
      </c>
      <c r="M229" s="140">
        <f t="shared" si="21"/>
        <v>0.3</v>
      </c>
      <c r="N229" s="140">
        <f t="shared" si="21"/>
        <v>0.3</v>
      </c>
      <c r="O229" s="140">
        <f t="shared" si="21"/>
        <v>0.3</v>
      </c>
      <c r="P229" s="140">
        <f t="shared" si="21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20"/>
        <v>0</v>
      </c>
      <c r="C230" s="128">
        <v>0.4</v>
      </c>
      <c r="D230" s="128">
        <f t="shared" si="21"/>
        <v>0.4</v>
      </c>
      <c r="E230" s="128">
        <f t="shared" si="21"/>
        <v>0.4</v>
      </c>
      <c r="F230" s="128">
        <f t="shared" si="21"/>
        <v>0.4</v>
      </c>
      <c r="G230" s="128">
        <f t="shared" si="21"/>
        <v>0.4</v>
      </c>
      <c r="H230" s="128">
        <f t="shared" si="21"/>
        <v>0.4</v>
      </c>
      <c r="I230" s="128">
        <f t="shared" si="21"/>
        <v>0.4</v>
      </c>
      <c r="J230" s="128">
        <f t="shared" si="21"/>
        <v>0.4</v>
      </c>
      <c r="K230" s="128">
        <f t="shared" si="21"/>
        <v>0.4</v>
      </c>
      <c r="L230" s="128">
        <f t="shared" si="21"/>
        <v>0.4</v>
      </c>
      <c r="M230" s="128">
        <f t="shared" si="21"/>
        <v>0.4</v>
      </c>
      <c r="N230" s="128">
        <f t="shared" si="21"/>
        <v>0.4</v>
      </c>
      <c r="O230" s="128">
        <f t="shared" si="21"/>
        <v>0.4</v>
      </c>
      <c r="P230" s="128">
        <f t="shared" si="21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20"/>
        <v>0</v>
      </c>
      <c r="C231" s="128">
        <v>1.5</v>
      </c>
      <c r="D231" s="128">
        <f t="shared" si="21"/>
        <v>1.5</v>
      </c>
      <c r="E231" s="128">
        <f t="shared" si="21"/>
        <v>1.5</v>
      </c>
      <c r="F231" s="128">
        <f t="shared" si="21"/>
        <v>1.5</v>
      </c>
      <c r="G231" s="128">
        <f t="shared" si="21"/>
        <v>1.5</v>
      </c>
      <c r="H231" s="128">
        <f t="shared" si="21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21"/>
        <v>123.21900000000009</v>
      </c>
      <c r="K231" s="128">
        <f t="shared" ca="1" si="21"/>
        <v>123.21900000000009</v>
      </c>
      <c r="L231" s="128">
        <f t="shared" ca="1" si="21"/>
        <v>123.21900000000009</v>
      </c>
      <c r="M231" s="128">
        <f t="shared" ca="1" si="21"/>
        <v>119.19900000000008</v>
      </c>
      <c r="N231" s="128">
        <f t="shared" ca="1" si="21"/>
        <v>119.19900000000008</v>
      </c>
      <c r="O231" s="128">
        <f t="shared" ca="1" si="21"/>
        <v>119.19900000000008</v>
      </c>
      <c r="P231" s="128">
        <f t="shared" ca="1" si="21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20"/>
        <v>0</v>
      </c>
      <c r="C232" s="128">
        <v>0.3</v>
      </c>
      <c r="D232" s="128">
        <f t="shared" si="21"/>
        <v>0.3</v>
      </c>
      <c r="E232" s="128">
        <f t="shared" si="21"/>
        <v>0.3</v>
      </c>
      <c r="F232" s="128">
        <f t="shared" si="21"/>
        <v>0.3</v>
      </c>
      <c r="G232" s="128">
        <f t="shared" si="21"/>
        <v>0.3</v>
      </c>
      <c r="H232" s="128">
        <f t="shared" si="21"/>
        <v>0.3</v>
      </c>
      <c r="I232" s="128">
        <f t="shared" si="21"/>
        <v>0.3</v>
      </c>
      <c r="J232" s="128">
        <f t="shared" si="21"/>
        <v>0.3</v>
      </c>
      <c r="K232" s="128">
        <f t="shared" si="21"/>
        <v>0.3</v>
      </c>
      <c r="L232" s="128">
        <f t="shared" si="21"/>
        <v>0.3</v>
      </c>
      <c r="M232" s="128">
        <f t="shared" si="21"/>
        <v>0.3</v>
      </c>
      <c r="N232" s="128">
        <f t="shared" si="21"/>
        <v>0.3</v>
      </c>
      <c r="O232" s="128">
        <f t="shared" si="21"/>
        <v>0.3</v>
      </c>
      <c r="P232" s="128">
        <f t="shared" si="21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20"/>
        <v>0</v>
      </c>
      <c r="C233" s="128">
        <v>0.4</v>
      </c>
      <c r="D233" s="128">
        <f t="shared" si="21"/>
        <v>0.4</v>
      </c>
      <c r="E233" s="128">
        <f t="shared" si="21"/>
        <v>0.4</v>
      </c>
      <c r="F233" s="128">
        <f t="shared" si="21"/>
        <v>0.4</v>
      </c>
      <c r="G233" s="128">
        <f t="shared" si="21"/>
        <v>0.4</v>
      </c>
      <c r="H233" s="128">
        <f t="shared" si="21"/>
        <v>0.4</v>
      </c>
      <c r="I233" s="128">
        <f t="shared" si="21"/>
        <v>0.4</v>
      </c>
      <c r="J233" s="128">
        <f t="shared" si="21"/>
        <v>0.4</v>
      </c>
      <c r="K233" s="128">
        <f t="shared" si="21"/>
        <v>0.4</v>
      </c>
      <c r="L233" s="128">
        <f t="shared" si="21"/>
        <v>0.4</v>
      </c>
      <c r="M233" s="128">
        <f t="shared" si="21"/>
        <v>0.4</v>
      </c>
      <c r="N233" s="128">
        <f t="shared" si="21"/>
        <v>0.4</v>
      </c>
      <c r="O233" s="128">
        <f t="shared" si="21"/>
        <v>0.4</v>
      </c>
      <c r="P233" s="128">
        <f t="shared" si="21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20"/>
        <v>0</v>
      </c>
      <c r="C234" s="132">
        <v>0.64</v>
      </c>
      <c r="D234" s="132">
        <f t="shared" si="21"/>
        <v>0.64</v>
      </c>
      <c r="E234" s="132">
        <f t="shared" si="21"/>
        <v>0.64</v>
      </c>
      <c r="F234" s="132">
        <f t="shared" si="21"/>
        <v>0.64</v>
      </c>
      <c r="G234" s="132">
        <f t="shared" si="21"/>
        <v>0.64</v>
      </c>
      <c r="H234" s="132">
        <f t="shared" si="21"/>
        <v>0.64</v>
      </c>
      <c r="I234" s="132">
        <f t="shared" si="21"/>
        <v>0.64</v>
      </c>
      <c r="J234" s="132">
        <f t="shared" si="21"/>
        <v>0.64</v>
      </c>
      <c r="K234" s="132">
        <f t="shared" si="21"/>
        <v>0.64</v>
      </c>
      <c r="L234" s="132">
        <f t="shared" si="21"/>
        <v>0.64</v>
      </c>
      <c r="M234" s="132">
        <f t="shared" si="21"/>
        <v>0.64</v>
      </c>
      <c r="N234" s="132">
        <f t="shared" si="21"/>
        <v>0.64</v>
      </c>
      <c r="O234" s="132">
        <f t="shared" si="21"/>
        <v>0.64</v>
      </c>
      <c r="P234" s="132">
        <f t="shared" si="21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22">SUM(B229:B234)</f>
        <v>0</v>
      </c>
      <c r="C235" s="136">
        <f t="shared" si="22"/>
        <v>3.54</v>
      </c>
      <c r="D235" s="136">
        <f t="shared" si="22"/>
        <v>3.54</v>
      </c>
      <c r="E235" s="136">
        <f t="shared" si="22"/>
        <v>3.54</v>
      </c>
      <c r="F235" s="136">
        <f t="shared" si="22"/>
        <v>3.54</v>
      </c>
      <c r="G235" s="136">
        <f t="shared" si="22"/>
        <v>3.54</v>
      </c>
      <c r="H235" s="136">
        <f t="shared" si="22"/>
        <v>3.54</v>
      </c>
      <c r="I235" s="136">
        <f t="shared" ca="1" si="22"/>
        <v>121.23900000000009</v>
      </c>
      <c r="J235" s="136">
        <f t="shared" ca="1" si="22"/>
        <v>121.23900000000009</v>
      </c>
      <c r="K235" s="136">
        <f t="shared" ca="1" si="22"/>
        <v>121.23900000000009</v>
      </c>
      <c r="L235" s="136">
        <f t="shared" ca="1" si="22"/>
        <v>125.2590000000001</v>
      </c>
      <c r="M235" s="136">
        <f t="shared" ca="1" si="22"/>
        <v>121.23900000000009</v>
      </c>
      <c r="N235" s="136">
        <f t="shared" ca="1" si="22"/>
        <v>121.23900000000009</v>
      </c>
      <c r="O235" s="136">
        <f t="shared" ca="1" si="22"/>
        <v>121.23900000000009</v>
      </c>
      <c r="P235" s="136">
        <f t="shared" ca="1" si="22"/>
        <v>121.23900000000009</v>
      </c>
      <c r="Q235" s="136">
        <f t="shared" si="22"/>
        <v>0</v>
      </c>
      <c r="R235" s="136">
        <f t="shared" si="22"/>
        <v>0</v>
      </c>
      <c r="S235" s="136">
        <f t="shared" si="22"/>
        <v>0</v>
      </c>
      <c r="T235" s="136">
        <f t="shared" si="22"/>
        <v>0</v>
      </c>
      <c r="U235" s="136">
        <f t="shared" si="22"/>
        <v>0</v>
      </c>
      <c r="V235" s="136">
        <f t="shared" si="22"/>
        <v>0</v>
      </c>
      <c r="W235" s="136">
        <f t="shared" si="22"/>
        <v>0</v>
      </c>
      <c r="X235" s="136">
        <f t="shared" si="22"/>
        <v>0</v>
      </c>
      <c r="Y235" s="136">
        <f t="shared" si="22"/>
        <v>0</v>
      </c>
      <c r="Z235" s="136">
        <f t="shared" si="22"/>
        <v>0</v>
      </c>
      <c r="AA235" s="136">
        <f t="shared" si="22"/>
        <v>0</v>
      </c>
      <c r="AB235" s="136">
        <f t="shared" si="22"/>
        <v>0</v>
      </c>
      <c r="AC235" s="136">
        <f t="shared" si="22"/>
        <v>0</v>
      </c>
      <c r="AD235" s="136">
        <f t="shared" si="22"/>
        <v>0</v>
      </c>
      <c r="AE235" s="136">
        <f t="shared" si="22"/>
        <v>0</v>
      </c>
      <c r="AF235" s="136">
        <f t="shared" si="22"/>
        <v>0</v>
      </c>
      <c r="AG235" s="145">
        <f t="shared" si="2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1991.94</v>
      </c>
      <c r="C244" s="161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0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2080/03/0)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2080/03/0)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23">B91</f>
        <v>1944.8400000000001</v>
      </c>
      <c r="U249" s="170">
        <f t="shared" si="23"/>
        <v>1947.94</v>
      </c>
      <c r="V249" s="170">
        <f t="shared" si="23"/>
        <v>1939.1399999999999</v>
      </c>
      <c r="W249" s="170">
        <f t="shared" si="23"/>
        <v>1933.44</v>
      </c>
      <c r="X249" s="170">
        <f t="shared" si="23"/>
        <v>1915.84</v>
      </c>
      <c r="Y249" s="170">
        <f t="shared" si="23"/>
        <v>1933.34</v>
      </c>
      <c r="Z249" s="170">
        <f t="shared" si="23"/>
        <v>1920.9399999999998</v>
      </c>
      <c r="AA249" s="170">
        <f t="shared" si="23"/>
        <v>1927.4399999999998</v>
      </c>
      <c r="AB249" s="170">
        <f t="shared" si="23"/>
        <v>1940.9399999999998</v>
      </c>
      <c r="AC249" s="170">
        <f t="shared" si="23"/>
        <v>1937.7399999999998</v>
      </c>
      <c r="AD249" s="170">
        <f t="shared" si="23"/>
        <v>1991.94</v>
      </c>
      <c r="AE249" s="170">
        <f t="shared" si="23"/>
        <v>1972.34</v>
      </c>
      <c r="AF249" s="170">
        <f t="shared" si="23"/>
        <v>1987.34</v>
      </c>
      <c r="AG249" s="170">
        <f t="shared" si="23"/>
        <v>2059.4399999999996</v>
      </c>
      <c r="AH249" s="170">
        <f t="shared" si="23"/>
        <v>2099.14</v>
      </c>
      <c r="AI249" s="170">
        <f t="shared" si="23"/>
        <v>2081.7399999999998</v>
      </c>
      <c r="AJ249" s="170">
        <f t="shared" si="23"/>
        <v>2063.54</v>
      </c>
      <c r="AK249" s="170">
        <f t="shared" si="23"/>
        <v>2015.9399999999998</v>
      </c>
      <c r="AL249" s="170">
        <f t="shared" si="23"/>
        <v>2003.04</v>
      </c>
      <c r="AM249" s="170">
        <f t="shared" si="23"/>
        <v>2035.44</v>
      </c>
      <c r="AN249" s="170">
        <f t="shared" si="23"/>
        <v>1982.2399999999998</v>
      </c>
      <c r="AO249" s="170">
        <f t="shared" si="23"/>
        <v>1981.2399999999998</v>
      </c>
      <c r="AP249" s="170">
        <f t="shared" si="23"/>
        <v>1981.2399999999998</v>
      </c>
      <c r="AQ249" s="170">
        <f t="shared" si="23"/>
        <v>1981.2399999999998</v>
      </c>
      <c r="AR249" s="170">
        <f t="shared" si="23"/>
        <v>2026.34</v>
      </c>
      <c r="AS249" s="170">
        <f t="shared" si="23"/>
        <v>2029.539</v>
      </c>
      <c r="AT249" s="170">
        <f t="shared" si="23"/>
        <v>2112.84</v>
      </c>
      <c r="AU249" s="170">
        <f t="shared" si="23"/>
        <v>2103.14</v>
      </c>
      <c r="AV249" s="170">
        <f t="shared" si="23"/>
        <v>2120.84</v>
      </c>
      <c r="AW249" s="170">
        <f t="shared" si="23"/>
        <v>2073.14</v>
      </c>
      <c r="AX249" s="170">
        <f t="shared" si="23"/>
        <v>2005.1399999999999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24">C234</f>
        <v>0.64</v>
      </c>
      <c r="C270" s="173">
        <f t="shared" si="24"/>
        <v>0.64</v>
      </c>
      <c r="D270" s="173">
        <f t="shared" si="24"/>
        <v>0.64</v>
      </c>
      <c r="E270" s="173">
        <f t="shared" si="24"/>
        <v>0.64</v>
      </c>
      <c r="F270" s="173">
        <f t="shared" si="24"/>
        <v>0.64</v>
      </c>
      <c r="G270" s="173">
        <f t="shared" si="24"/>
        <v>0.64</v>
      </c>
      <c r="H270" s="173">
        <f t="shared" si="24"/>
        <v>0.64</v>
      </c>
      <c r="I270" s="173">
        <f t="shared" si="24"/>
        <v>0.64</v>
      </c>
      <c r="J270" s="173">
        <f t="shared" si="24"/>
        <v>0.64</v>
      </c>
      <c r="K270" s="173">
        <f t="shared" si="24"/>
        <v>0.64</v>
      </c>
      <c r="L270" s="173">
        <f t="shared" si="24"/>
        <v>0.64</v>
      </c>
      <c r="M270" s="173">
        <f t="shared" si="24"/>
        <v>0.64</v>
      </c>
      <c r="N270" s="173">
        <f t="shared" si="24"/>
        <v>0.64</v>
      </c>
      <c r="O270" s="173">
        <f t="shared" si="24"/>
        <v>0.64</v>
      </c>
      <c r="P270" s="173">
        <f t="shared" si="24"/>
        <v>0</v>
      </c>
      <c r="Q270" s="173">
        <f t="shared" si="24"/>
        <v>0</v>
      </c>
      <c r="R270" s="173">
        <f t="shared" si="24"/>
        <v>0</v>
      </c>
      <c r="S270" s="173">
        <f t="shared" si="24"/>
        <v>0</v>
      </c>
      <c r="T270" s="173">
        <f t="shared" si="24"/>
        <v>0</v>
      </c>
      <c r="U270" s="173">
        <f t="shared" si="24"/>
        <v>0</v>
      </c>
      <c r="V270" s="173">
        <f t="shared" si="24"/>
        <v>0</v>
      </c>
      <c r="W270" s="173">
        <f t="shared" si="24"/>
        <v>0</v>
      </c>
      <c r="X270" s="173">
        <f t="shared" si="24"/>
        <v>0</v>
      </c>
      <c r="Y270" s="173">
        <f t="shared" si="24"/>
        <v>0</v>
      </c>
      <c r="Z270" s="173">
        <f t="shared" si="24"/>
        <v>0</v>
      </c>
      <c r="AA270" s="173">
        <f t="shared" si="24"/>
        <v>0</v>
      </c>
      <c r="AB270" s="173">
        <f t="shared" si="24"/>
        <v>0</v>
      </c>
      <c r="AC270" s="173">
        <f t="shared" si="24"/>
        <v>0</v>
      </c>
      <c r="AD270" s="173">
        <f t="shared" si="24"/>
        <v>0</v>
      </c>
      <c r="AE270" s="173">
        <f t="shared" si="24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5">IF(B238&lt;100,"",B238-520)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6">IF(B239&lt;100,"",B239-620)</f>
        <v/>
      </c>
      <c r="C272" s="174" t="str">
        <f t="shared" si="26"/>
        <v/>
      </c>
      <c r="D272" s="174" t="str">
        <f t="shared" si="26"/>
        <v/>
      </c>
      <c r="E272" s="174" t="str">
        <f t="shared" si="26"/>
        <v/>
      </c>
      <c r="F272" s="174" t="str">
        <f t="shared" si="26"/>
        <v/>
      </c>
      <c r="G272" s="174" t="str">
        <f t="shared" si="26"/>
        <v/>
      </c>
      <c r="H272" s="174" t="str">
        <f t="shared" si="26"/>
        <v/>
      </c>
      <c r="I272" s="174" t="str">
        <f t="shared" si="26"/>
        <v/>
      </c>
      <c r="J272" s="174" t="str">
        <f t="shared" si="26"/>
        <v/>
      </c>
      <c r="K272" s="174" t="str">
        <f t="shared" si="26"/>
        <v/>
      </c>
      <c r="L272" s="174" t="str">
        <f t="shared" si="26"/>
        <v/>
      </c>
      <c r="M272" s="174" t="str">
        <f t="shared" si="26"/>
        <v/>
      </c>
      <c r="N272" s="174" t="str">
        <f t="shared" si="26"/>
        <v/>
      </c>
      <c r="O272" s="174" t="str">
        <f t="shared" si="26"/>
        <v/>
      </c>
      <c r="P272" s="174" t="str">
        <f t="shared" si="26"/>
        <v/>
      </c>
      <c r="Q272" s="174" t="str">
        <f t="shared" si="26"/>
        <v/>
      </c>
      <c r="R272" s="174" t="str">
        <f t="shared" si="26"/>
        <v/>
      </c>
      <c r="S272" s="174" t="str">
        <f t="shared" si="26"/>
        <v/>
      </c>
      <c r="T272" s="174" t="str">
        <f t="shared" si="26"/>
        <v/>
      </c>
      <c r="U272" s="174" t="str">
        <f t="shared" si="26"/>
        <v/>
      </c>
      <c r="V272" s="174" t="str">
        <f t="shared" si="26"/>
        <v/>
      </c>
      <c r="W272" s="174" t="str">
        <f t="shared" si="26"/>
        <v/>
      </c>
      <c r="X272" s="174" t="str">
        <f t="shared" si="26"/>
        <v/>
      </c>
      <c r="Y272" s="174" t="str">
        <f t="shared" si="26"/>
        <v/>
      </c>
      <c r="Z272" s="174" t="str">
        <f t="shared" si="26"/>
        <v/>
      </c>
      <c r="AA272" s="174" t="str">
        <f t="shared" si="26"/>
        <v/>
      </c>
      <c r="AB272" s="174" t="str">
        <f t="shared" si="26"/>
        <v/>
      </c>
      <c r="AC272" s="174" t="str">
        <f t="shared" si="26"/>
        <v/>
      </c>
      <c r="AD272" s="174" t="str">
        <f t="shared" si="26"/>
        <v/>
      </c>
      <c r="AE272" s="174" t="str">
        <f t="shared" si="26"/>
        <v/>
      </c>
      <c r="AF272" s="174" t="str">
        <f t="shared" si="26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7">IF(B240&lt;100,"",B240-330)</f>
        <v/>
      </c>
      <c r="C273" s="174" t="str">
        <f t="shared" si="27"/>
        <v/>
      </c>
      <c r="D273" s="174" t="str">
        <f t="shared" si="27"/>
        <v/>
      </c>
      <c r="E273" s="174" t="str">
        <f t="shared" si="27"/>
        <v/>
      </c>
      <c r="F273" s="174" t="str">
        <f t="shared" si="27"/>
        <v/>
      </c>
      <c r="G273" s="174" t="str">
        <f t="shared" si="27"/>
        <v/>
      </c>
      <c r="H273" s="174" t="str">
        <f t="shared" si="27"/>
        <v/>
      </c>
      <c r="I273" s="174" t="str">
        <f t="shared" si="27"/>
        <v/>
      </c>
      <c r="J273" s="174" t="str">
        <f t="shared" si="27"/>
        <v/>
      </c>
      <c r="K273" s="174" t="str">
        <f t="shared" si="27"/>
        <v/>
      </c>
      <c r="L273" s="174" t="str">
        <f t="shared" si="27"/>
        <v/>
      </c>
      <c r="M273" s="174" t="str">
        <f t="shared" si="27"/>
        <v/>
      </c>
      <c r="N273" s="174" t="str">
        <f t="shared" si="27"/>
        <v/>
      </c>
      <c r="O273" s="174" t="str">
        <f t="shared" si="27"/>
        <v/>
      </c>
      <c r="P273" s="174" t="str">
        <f t="shared" si="27"/>
        <v/>
      </c>
      <c r="Q273" s="174" t="str">
        <f t="shared" si="27"/>
        <v/>
      </c>
      <c r="R273" s="174" t="str">
        <f t="shared" si="27"/>
        <v/>
      </c>
      <c r="S273" s="174" t="str">
        <f t="shared" si="27"/>
        <v/>
      </c>
      <c r="T273" s="174" t="str">
        <f t="shared" si="27"/>
        <v/>
      </c>
      <c r="U273" s="174" t="str">
        <f t="shared" si="27"/>
        <v/>
      </c>
      <c r="V273" s="174" t="str">
        <f t="shared" si="27"/>
        <v/>
      </c>
      <c r="W273" s="174" t="str">
        <f t="shared" si="27"/>
        <v/>
      </c>
      <c r="X273" s="174" t="str">
        <f t="shared" si="27"/>
        <v/>
      </c>
      <c r="Y273" s="174" t="str">
        <f t="shared" si="27"/>
        <v/>
      </c>
      <c r="Z273" s="174" t="str">
        <f t="shared" si="27"/>
        <v/>
      </c>
      <c r="AA273" s="174" t="str">
        <f t="shared" si="27"/>
        <v/>
      </c>
      <c r="AB273" s="174" t="str">
        <f t="shared" si="27"/>
        <v/>
      </c>
      <c r="AC273" s="174" t="str">
        <f t="shared" si="27"/>
        <v/>
      </c>
      <c r="AD273" s="174" t="str">
        <f t="shared" si="27"/>
        <v/>
      </c>
      <c r="AE273" s="174" t="str">
        <f t="shared" si="27"/>
        <v/>
      </c>
      <c r="AF273" s="174" t="str">
        <f t="shared" si="27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8">IF(B241&lt;100,"",B241-1500)</f>
        <v/>
      </c>
      <c r="C274" s="174" t="str">
        <f t="shared" si="28"/>
        <v/>
      </c>
      <c r="D274" s="174" t="str">
        <f t="shared" si="28"/>
        <v/>
      </c>
      <c r="E274" s="174" t="str">
        <f t="shared" si="28"/>
        <v/>
      </c>
      <c r="F274" s="174" t="str">
        <f t="shared" si="28"/>
        <v/>
      </c>
      <c r="G274" s="174" t="str">
        <f t="shared" si="28"/>
        <v/>
      </c>
      <c r="H274" s="174" t="str">
        <f t="shared" si="28"/>
        <v/>
      </c>
      <c r="I274" s="174" t="str">
        <f t="shared" si="28"/>
        <v/>
      </c>
      <c r="J274" s="174" t="str">
        <f t="shared" si="28"/>
        <v/>
      </c>
      <c r="K274" s="174" t="str">
        <f t="shared" si="28"/>
        <v/>
      </c>
      <c r="L274" s="174" t="str">
        <f t="shared" si="28"/>
        <v/>
      </c>
      <c r="M274" s="174" t="str">
        <f t="shared" si="28"/>
        <v/>
      </c>
      <c r="N274" s="174" t="str">
        <f t="shared" si="28"/>
        <v/>
      </c>
      <c r="O274" s="174" t="str">
        <f t="shared" si="28"/>
        <v/>
      </c>
      <c r="P274" s="174" t="str">
        <f t="shared" si="28"/>
        <v/>
      </c>
      <c r="Q274" s="174" t="str">
        <f t="shared" si="28"/>
        <v/>
      </c>
      <c r="R274" s="174" t="str">
        <f t="shared" si="28"/>
        <v/>
      </c>
      <c r="S274" s="174" t="str">
        <f t="shared" si="28"/>
        <v/>
      </c>
      <c r="T274" s="174" t="str">
        <f t="shared" si="28"/>
        <v/>
      </c>
      <c r="U274" s="174" t="str">
        <f t="shared" si="28"/>
        <v/>
      </c>
      <c r="V274" s="174" t="str">
        <f t="shared" si="28"/>
        <v/>
      </c>
      <c r="W274" s="174" t="str">
        <f t="shared" si="28"/>
        <v/>
      </c>
      <c r="X274" s="174" t="str">
        <f t="shared" si="28"/>
        <v/>
      </c>
      <c r="Y274" s="174" t="str">
        <f t="shared" si="28"/>
        <v/>
      </c>
      <c r="Z274" s="174" t="str">
        <f t="shared" si="28"/>
        <v/>
      </c>
      <c r="AA274" s="174" t="str">
        <f t="shared" si="28"/>
        <v/>
      </c>
      <c r="AB274" s="174" t="str">
        <f t="shared" si="28"/>
        <v/>
      </c>
      <c r="AC274" s="174" t="str">
        <f t="shared" si="28"/>
        <v/>
      </c>
      <c r="AD274" s="174" t="str">
        <f t="shared" si="28"/>
        <v/>
      </c>
      <c r="AE274" s="174" t="str">
        <f t="shared" si="28"/>
        <v/>
      </c>
      <c r="AF274" s="174" t="str">
        <f t="shared" si="28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3128" priority="153">
      <formula>$AH11=0</formula>
    </cfRule>
  </conditionalFormatting>
  <conditionalFormatting sqref="B8 M8 S8 AB8">
    <cfRule type="expression" dxfId="3127" priority="357">
      <formula>AND(C$9&gt;=8/24,C$9&lt;14/24)</formula>
    </cfRule>
    <cfRule type="expression" dxfId="3126" priority="358">
      <formula>C$9&lt;8/24</formula>
    </cfRule>
    <cfRule type="expression" dxfId="3125" priority="356">
      <formula>AND(C$9&gt;=14/24,C$9&lt;20/24)</formula>
    </cfRule>
  </conditionalFormatting>
  <conditionalFormatting sqref="B9:AF31">
    <cfRule type="expression" dxfId="3124" priority="2">
      <formula>B$9&gt;=20/24</formula>
    </cfRule>
    <cfRule type="expression" dxfId="3123" priority="3">
      <formula>AND(B$9&gt;=14/24,B$9&lt;20/24)</formula>
    </cfRule>
    <cfRule type="expression" dxfId="3122" priority="4">
      <formula>AND(B$9&gt;=8/24,B$9&lt;14/24)</formula>
    </cfRule>
    <cfRule type="expression" dxfId="3121" priority="5">
      <formula>B$9&lt;8/24</formula>
    </cfRule>
  </conditionalFormatting>
  <conditionalFormatting sqref="B11:AF31">
    <cfRule type="expression" dxfId="3120" priority="1">
      <formula>B11&gt;$AG11</formula>
    </cfRule>
  </conditionalFormatting>
  <conditionalFormatting sqref="B32:AF45">
    <cfRule type="expression" dxfId="3119" priority="19">
      <formula>B$9&lt;8/24</formula>
    </cfRule>
    <cfRule type="expression" dxfId="3118" priority="16">
      <formula>B$9&gt;=20/24</formula>
    </cfRule>
    <cfRule type="expression" dxfId="3117" priority="17">
      <formula>AND(B$9&gt;=14/24,B$9&lt;20/24)</formula>
    </cfRule>
    <cfRule type="expression" dxfId="3116" priority="18">
      <formula>AND(B$9&gt;=8/24,B$9&lt;14/24)</formula>
    </cfRule>
  </conditionalFormatting>
  <conditionalFormatting sqref="B32:AF46">
    <cfRule type="expression" dxfId="3115" priority="14">
      <formula>B32&gt;$AG32</formula>
    </cfRule>
  </conditionalFormatting>
  <conditionalFormatting sqref="B46:AF46">
    <cfRule type="expression" dxfId="3114" priority="10">
      <formula>B$9&gt;=20/24</formula>
    </cfRule>
    <cfRule type="expression" dxfId="3113" priority="11">
      <formula>AND(B$9&gt;=14/24,B$9&lt;20/24)</formula>
    </cfRule>
    <cfRule type="expression" dxfId="3112" priority="13">
      <formula>B$9&lt;8/24</formula>
    </cfRule>
    <cfRule type="expression" dxfId="3111" priority="12">
      <formula>AND(B$9&gt;=8/24,B$9&lt;14/24)</formula>
    </cfRule>
  </conditionalFormatting>
  <conditionalFormatting sqref="B47:AF47">
    <cfRule type="expression" dxfId="3110" priority="49">
      <formula>B47&gt;$AG47</formula>
    </cfRule>
  </conditionalFormatting>
  <conditionalFormatting sqref="B47:AF49">
    <cfRule type="expression" dxfId="3109" priority="32">
      <formula>B$9&gt;=20/24</formula>
    </cfRule>
    <cfRule type="expression" dxfId="3108" priority="33">
      <formula>AND(B$9&gt;=14/24,B$9&lt;20/24)</formula>
    </cfRule>
    <cfRule type="expression" dxfId="3107" priority="34">
      <formula>AND(B$9&gt;=8/24,B$9&lt;14/24)</formula>
    </cfRule>
    <cfRule type="expression" dxfId="3106" priority="35">
      <formula>B$9&lt;8/24</formula>
    </cfRule>
  </conditionalFormatting>
  <conditionalFormatting sqref="B48:AF53">
    <cfRule type="expression" dxfId="3105" priority="30">
      <formula>B48&gt;$AG48</formula>
    </cfRule>
  </conditionalFormatting>
  <conditionalFormatting sqref="B51:AF53">
    <cfRule type="expression" dxfId="3104" priority="90">
      <formula>B$9&lt;8/24</formula>
    </cfRule>
    <cfRule type="expression" dxfId="3103" priority="89">
      <formula>AND(B$9&gt;=8/24,B$9&lt;14/24)</formula>
    </cfRule>
    <cfRule type="expression" dxfId="3102" priority="88">
      <formula>AND(B$9&gt;=14/24,B$9&lt;20/24)</formula>
    </cfRule>
    <cfRule type="expression" dxfId="3101" priority="87">
      <formula>B$9&gt;=20/24</formula>
    </cfRule>
  </conditionalFormatting>
  <conditionalFormatting sqref="B55:AF66">
    <cfRule type="expression" dxfId="3100" priority="50">
      <formula>B55&gt;$AG55</formula>
    </cfRule>
    <cfRule type="expression" dxfId="3099" priority="51">
      <formula>B$9&gt;=20/24</formula>
    </cfRule>
    <cfRule type="expression" dxfId="3098" priority="52">
      <formula>AND(B$9&gt;=14/24,B$9&lt;20/24)</formula>
    </cfRule>
    <cfRule type="expression" dxfId="3097" priority="53">
      <formula>AND(B$9&gt;=8/24,B$9&lt;14/24)</formula>
    </cfRule>
    <cfRule type="expression" dxfId="3096" priority="54">
      <formula>B$9&lt;8/24</formula>
    </cfRule>
  </conditionalFormatting>
  <conditionalFormatting sqref="B69:AF71">
    <cfRule type="expression" dxfId="3095" priority="104">
      <formula>B69&gt;$AG69</formula>
    </cfRule>
    <cfRule type="expression" dxfId="3094" priority="105">
      <formula>B$9&gt;=20/24</formula>
    </cfRule>
    <cfRule type="expression" dxfId="3093" priority="106">
      <formula>AND(B$9&gt;=14/24,B$9&lt;20/24)</formula>
    </cfRule>
    <cfRule type="expression" dxfId="3092" priority="107">
      <formula>AND(B$9&gt;=8/24,B$9&lt;14/24)</formula>
    </cfRule>
    <cfRule type="expression" dxfId="3091" priority="108">
      <formula>B$9&lt;8/24</formula>
    </cfRule>
  </conditionalFormatting>
  <conditionalFormatting sqref="B73:AF91">
    <cfRule type="expression" dxfId="3090" priority="36">
      <formula>B$9&gt;=20/24</formula>
    </cfRule>
    <cfRule type="expression" dxfId="3089" priority="39">
      <formula>B$9&lt;8/24</formula>
    </cfRule>
    <cfRule type="expression" dxfId="3088" priority="38">
      <formula>AND(B$9&gt;=8/24,B$9&lt;14/24)</formula>
    </cfRule>
    <cfRule type="expression" dxfId="3087" priority="37">
      <formula>AND(B$9&gt;=14/24,B$9&lt;20/24)</formula>
    </cfRule>
  </conditionalFormatting>
  <conditionalFormatting sqref="B111:AF120">
    <cfRule type="expression" dxfId="3086" priority="6">
      <formula>B$9&gt;=20/24</formula>
    </cfRule>
    <cfRule type="expression" dxfId="3085" priority="7">
      <formula>AND(B$9&gt;=14/24,B$9&lt;20/24)</formula>
    </cfRule>
    <cfRule type="expression" dxfId="3084" priority="8">
      <formula>AND(B$9&gt;=8/24,B$9&lt;14/24)</formula>
    </cfRule>
    <cfRule type="expression" dxfId="3083" priority="9">
      <formula>B$9&lt;8/24</formula>
    </cfRule>
  </conditionalFormatting>
  <conditionalFormatting sqref="B227:AF227 D229:AF230 B229:B235 D231:H231 J231:AF231 D232:AF235 U248:AF248">
    <cfRule type="expression" dxfId="3082" priority="352">
      <formula>B$9&lt;8/24</formula>
    </cfRule>
    <cfRule type="expression" dxfId="3081" priority="351">
      <formula>AND(B$9&gt;=8/24,B$9&lt;14/24)</formula>
    </cfRule>
    <cfRule type="expression" dxfId="3080" priority="350">
      <formula>AND(B$9&gt;=14/24,B$9&lt;20/24)</formula>
    </cfRule>
    <cfRule type="expression" dxfId="3079" priority="349">
      <formula>B$9&gt;=20/24</formula>
    </cfRule>
  </conditionalFormatting>
  <conditionalFormatting sqref="B54:AG54">
    <cfRule type="expression" dxfId="3078" priority="59">
      <formula>B$9&lt;8/24</formula>
    </cfRule>
    <cfRule type="expression" dxfId="3077" priority="58">
      <formula>AND(B$9&gt;=8/24,B$9&lt;14/24)</formula>
    </cfRule>
    <cfRule type="expression" dxfId="3076" priority="57">
      <formula>AND(B$9&gt;=14/24,B$9&lt;20/24)</formula>
    </cfRule>
    <cfRule type="expression" dxfId="3075" priority="56">
      <formula>B$9&gt;=20/24</formula>
    </cfRule>
    <cfRule type="expression" dxfId="3074" priority="55">
      <formula>B54&gt;$AG54</formula>
    </cfRule>
  </conditionalFormatting>
  <conditionalFormatting sqref="B67:AG68 B72:AG72">
    <cfRule type="expression" dxfId="3073" priority="64">
      <formula>B67&gt;$AG67</formula>
    </cfRule>
  </conditionalFormatting>
  <conditionalFormatting sqref="B72:AG72 B93:AF109">
    <cfRule type="expression" dxfId="3072" priority="65">
      <formula>B$9&gt;=20/24</formula>
    </cfRule>
    <cfRule type="expression" dxfId="3071" priority="66">
      <formula>AND(B$9&gt;=14/24,B$9&lt;20/24)</formula>
    </cfRule>
    <cfRule type="expression" dxfId="3070" priority="67">
      <formula>AND(B$9&gt;=8/24,B$9&lt;14/24)</formula>
    </cfRule>
    <cfRule type="expression" dxfId="3069" priority="68">
      <formula>B$9&lt;8/24</formula>
    </cfRule>
  </conditionalFormatting>
  <conditionalFormatting sqref="O3:P3">
    <cfRule type="iconSet" priority="35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068" priority="355">
      <formula>C$9&gt;=20/24</formula>
    </cfRule>
  </conditionalFormatting>
  <conditionalFormatting sqref="S8">
    <cfRule type="expression" dxfId="3067" priority="331">
      <formula>U$9&lt;8/24</formula>
    </cfRule>
    <cfRule type="expression" dxfId="3066" priority="328">
      <formula>U$9&gt;=20/24</formula>
    </cfRule>
    <cfRule type="expression" dxfId="3065" priority="329">
      <formula>AND(U$9&gt;=14/24,U$9&lt;20/24)</formula>
    </cfRule>
    <cfRule type="expression" dxfId="3064" priority="330">
      <formula>AND(U$9&gt;=8/24,U$9&lt;14/24)</formula>
    </cfRule>
  </conditionalFormatting>
  <conditionalFormatting sqref="T248">
    <cfRule type="expression" dxfId="3063" priority="371">
      <formula>AX$9&lt;8/24</formula>
    </cfRule>
    <cfRule type="expression" dxfId="3062" priority="368">
      <formula>AX$9&gt;=20/24</formula>
    </cfRule>
    <cfRule type="expression" dxfId="3061" priority="369">
      <formula>AND(AX$9&gt;=14/24,AX$9&lt;20/24)</formula>
    </cfRule>
    <cfRule type="expression" dxfId="3060" priority="370">
      <formula>AND(AX$9&gt;=8/24,AX$9&lt;14/24)</formula>
    </cfRule>
  </conditionalFormatting>
  <conditionalFormatting sqref="V3 AB3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059" priority="326">
      <formula>AND(AD$9&gt;=8/24,AD$9&lt;14/24)</formula>
    </cfRule>
    <cfRule type="expression" dxfId="3058" priority="325">
      <formula>AND(AD$9&gt;=14/24,AD$9&lt;20/24)</formula>
    </cfRule>
    <cfRule type="expression" dxfId="3057" priority="324">
      <formula>AD$9&gt;=20/24</formula>
    </cfRule>
    <cfRule type="expression" dxfId="3056" priority="327">
      <formula>AD$9&lt;8/24</formula>
    </cfRule>
  </conditionalFormatting>
  <conditionalFormatting sqref="AG50">
    <cfRule type="expression" dxfId="3055" priority="290">
      <formula>AG50&gt;$AG50</formula>
    </cfRule>
  </conditionalFormatting>
  <conditionalFormatting sqref="AG89">
    <cfRule type="expression" dxfId="3054" priority="292">
      <formula>AND(AG$9&gt;=14/24,AG$9&lt;20/24)</formula>
    </cfRule>
    <cfRule type="expression" dxfId="3053" priority="293">
      <formula>AND(AG$9&gt;=8/24,AG$9&lt;14/24)</formula>
    </cfRule>
    <cfRule type="expression" dxfId="3052" priority="294">
      <formula>AG$9&lt;8/24</formula>
    </cfRule>
    <cfRule type="expression" dxfId="3051" priority="291">
      <formula>AG$9&gt;=20/24</formula>
    </cfRule>
  </conditionalFormatting>
  <conditionalFormatting sqref="AG248">
    <cfRule type="expression" dxfId="3050" priority="360">
      <formula>B$9&gt;=20/24</formula>
    </cfRule>
    <cfRule type="expression" dxfId="3049" priority="361">
      <formula>AND(B$9&gt;=14/24,B$9&lt;20/24)</formula>
    </cfRule>
    <cfRule type="expression" dxfId="3048" priority="362">
      <formula>AND(B$9&gt;=8/24,B$9&lt;14/24)</formula>
    </cfRule>
    <cfRule type="expression" dxfId="3047" priority="363">
      <formula>B$9&lt;8/24</formula>
    </cfRule>
  </conditionalFormatting>
  <conditionalFormatting sqref="AH248:AX248">
    <cfRule type="expression" dxfId="3046" priority="364">
      <formula>AG$9&gt;=20/24</formula>
    </cfRule>
    <cfRule type="expression" dxfId="3045" priority="365">
      <formula>AND(AG$9&gt;=14/24,AG$9&lt;20/24)</formula>
    </cfRule>
    <cfRule type="expression" dxfId="3044" priority="366">
      <formula>AND(AG$9&gt;=8/24,AG$9&lt;14/24)</formula>
    </cfRule>
    <cfRule type="expression" dxfId="3043" priority="367">
      <formula>AG$9&lt;8/24</formula>
    </cfRule>
  </conditionalFormatting>
  <conditionalFormatting sqref="AL4:AL6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59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27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372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042" priority="373">
      <formula>AJ$9&gt;=20/24</formula>
    </cfRule>
    <cfRule type="expression" dxfId="3041" priority="374">
      <formula>AND(AJ$9&gt;=14/24,AJ$9&lt;20/24)</formula>
    </cfRule>
    <cfRule type="expression" dxfId="3040" priority="375">
      <formula>AND(AJ$9&gt;=8/24,AJ$9&lt;14/24)</formula>
    </cfRule>
    <cfRule type="expression" dxfId="3039" priority="376">
      <formula>AJ$9&lt;8/24</formula>
    </cfRule>
  </conditionalFormatting>
  <conditionalFormatting sqref="AL80:AN80 AL86:AN86">
    <cfRule type="expression" dxfId="3038" priority="191">
      <formula>AL$9&gt;=20/24</formula>
    </cfRule>
    <cfRule type="expression" dxfId="3037" priority="192">
      <formula>AND(AL$9&gt;=14/24,AL$9&lt;20/24)</formula>
    </cfRule>
    <cfRule type="expression" dxfId="3036" priority="193">
      <formula>AND(AL$9&gt;=8/24,AL$9&lt;14/24)</formula>
    </cfRule>
    <cfRule type="expression" dxfId="3035" priority="194">
      <formula>AL$9&lt;8/24</formula>
    </cfRule>
  </conditionalFormatting>
  <conditionalFormatting sqref="AN81:AN84">
    <cfRule type="expression" dxfId="3034" priority="187">
      <formula>AN$9&gt;=20/24</formula>
    </cfRule>
    <cfRule type="expression" dxfId="3033" priority="188">
      <formula>AND(AN$9&gt;=14/24,AN$9&lt;20/24)</formula>
    </cfRule>
    <cfRule type="expression" dxfId="3032" priority="189">
      <formula>AND(AN$9&gt;=8/24,AN$9&lt;14/24)</formula>
    </cfRule>
    <cfRule type="expression" dxfId="3031" priority="190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2526-9DDC-4335-A52D-E99FC5470176}">
  <dimension ref="A1:CJ281"/>
  <sheetViews>
    <sheetView zoomScale="98" zoomScaleNormal="98" workbookViewId="0">
      <pane xSplit="1" ySplit="10" topLeftCell="B58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J7" sqref="J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2" width="9.42578125" style="1" customWidth="1"/>
    <col min="23" max="23" width="11" style="1" customWidth="1"/>
    <col min="24" max="24" width="8.7109375" style="1" customWidth="1"/>
    <col min="25" max="25" width="9.7109375" style="1" customWidth="1"/>
    <col min="26" max="26" width="8.71093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2080/04/1</v>
      </c>
      <c r="C4" s="203"/>
      <c r="D4" s="203"/>
      <c r="E4" s="204" t="str">
        <f ca="1">"2079/"&amp;"12/"&amp;INT(MID(CELL("filename",G6),FIND("]",CELL("filename",G6))+1,200))</f>
        <v>2079/12/1</v>
      </c>
      <c r="F4" s="204"/>
      <c r="G4" s="204"/>
      <c r="H4" s="204" t="str">
        <f ca="1">TEXT(E4,"dddd")</f>
        <v>Friday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26.8</v>
      </c>
      <c r="O5" s="30">
        <f t="shared" si="0"/>
        <v>20</v>
      </c>
      <c r="P5" s="30">
        <f t="shared" si="0"/>
        <v>29.6</v>
      </c>
      <c r="Q5" s="30">
        <f t="shared" si="0"/>
        <v>25.9</v>
      </c>
      <c r="R5" s="30">
        <f t="shared" si="0"/>
        <v>36.6</v>
      </c>
      <c r="S5" s="30">
        <f t="shared" si="0"/>
        <v>29.9</v>
      </c>
      <c r="T5" s="30">
        <f t="shared" si="0"/>
        <v>29.9</v>
      </c>
      <c r="U5" s="30">
        <f t="shared" si="0"/>
        <v>5.0999999999999996</v>
      </c>
      <c r="V5" s="30">
        <f t="shared" si="0"/>
        <v>5.0999999999999996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12.4</v>
      </c>
      <c r="AB5" s="30">
        <f t="shared" si="0"/>
        <v>16.3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1985MW at 6:30hr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Load=1863</v>
      </c>
      <c r="B7" s="35">
        <f t="shared" ref="B7:AF7" si="1">B91</f>
        <v>1940.64</v>
      </c>
      <c r="C7" s="35">
        <f t="shared" si="1"/>
        <v>1940.14</v>
      </c>
      <c r="D7" s="35">
        <f t="shared" si="1"/>
        <v>1928.64</v>
      </c>
      <c r="E7" s="35">
        <f t="shared" si="1"/>
        <v>1929.54</v>
      </c>
      <c r="F7" s="35">
        <f t="shared" si="1"/>
        <v>1946.54</v>
      </c>
      <c r="G7" s="35">
        <f t="shared" si="1"/>
        <v>1967.04</v>
      </c>
      <c r="H7" s="35">
        <f t="shared" si="1"/>
        <v>1962.2400000000002</v>
      </c>
      <c r="I7" s="35">
        <f t="shared" si="1"/>
        <v>1973.94</v>
      </c>
      <c r="J7" s="35">
        <f t="shared" si="1"/>
        <v>1984.84</v>
      </c>
      <c r="K7" s="35">
        <f t="shared" si="1"/>
        <v>1978.7399999999998</v>
      </c>
      <c r="L7" s="35">
        <f t="shared" si="1"/>
        <v>1961.6399999999999</v>
      </c>
      <c r="M7" s="35">
        <f t="shared" si="1"/>
        <v>1961.6399999999999</v>
      </c>
      <c r="N7" s="35">
        <f>N91</f>
        <v>1914.54</v>
      </c>
      <c r="O7" s="35">
        <f t="shared" si="1"/>
        <v>1939.34</v>
      </c>
      <c r="P7" s="35">
        <f t="shared" si="1"/>
        <v>1929.54</v>
      </c>
      <c r="Q7" s="35">
        <f t="shared" si="1"/>
        <v>1938.4399999999998</v>
      </c>
      <c r="R7" s="35">
        <f t="shared" si="1"/>
        <v>1913.2400000000002</v>
      </c>
      <c r="S7" s="35">
        <f t="shared" si="1"/>
        <v>1921.44</v>
      </c>
      <c r="T7" s="35">
        <f t="shared" si="1"/>
        <v>1910.14</v>
      </c>
      <c r="U7" s="35">
        <f t="shared" si="1"/>
        <v>1910.14</v>
      </c>
      <c r="V7" s="35">
        <f t="shared" si="1"/>
        <v>1863.1399999999999</v>
      </c>
      <c r="W7" s="35">
        <f t="shared" si="1"/>
        <v>1863.44</v>
      </c>
      <c r="X7" s="35">
        <f t="shared" si="1"/>
        <v>1873.9399999999996</v>
      </c>
      <c r="Y7" s="35">
        <f t="shared" si="1"/>
        <v>1872.7399999999998</v>
      </c>
      <c r="Z7" s="35">
        <f t="shared" si="1"/>
        <v>1925.7399999999998</v>
      </c>
      <c r="AA7" s="35">
        <f t="shared" si="1"/>
        <v>1952.7399999999998</v>
      </c>
      <c r="AB7" s="35">
        <f t="shared" si="1"/>
        <v>1978.6399999999999</v>
      </c>
      <c r="AC7" s="35">
        <f t="shared" si="1"/>
        <v>1978.5399999999997</v>
      </c>
      <c r="AD7" s="35">
        <f t="shared" si="1"/>
        <v>1932.2399999999998</v>
      </c>
      <c r="AE7" s="35">
        <f t="shared" si="1"/>
        <v>1897.34</v>
      </c>
      <c r="AF7" s="35">
        <f t="shared" si="1"/>
        <v>1868.74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86.1</v>
      </c>
      <c r="C11" s="45">
        <v>86.1</v>
      </c>
      <c r="D11" s="45">
        <v>86.1</v>
      </c>
      <c r="E11" s="45">
        <v>86.1</v>
      </c>
      <c r="F11" s="45">
        <v>86.1</v>
      </c>
      <c r="G11" s="45">
        <v>86.1</v>
      </c>
      <c r="H11" s="45">
        <v>86.1</v>
      </c>
      <c r="I11" s="45">
        <v>86.1</v>
      </c>
      <c r="J11" s="45">
        <v>86.1</v>
      </c>
      <c r="K11" s="45">
        <v>86.1</v>
      </c>
      <c r="L11" s="45">
        <v>86</v>
      </c>
      <c r="M11" s="45">
        <v>86</v>
      </c>
      <c r="N11" s="45">
        <v>86</v>
      </c>
      <c r="O11" s="45">
        <v>86</v>
      </c>
      <c r="P11" s="45">
        <v>86</v>
      </c>
      <c r="Q11" s="45">
        <v>86</v>
      </c>
      <c r="R11" s="45">
        <v>90.6</v>
      </c>
      <c r="S11" s="45">
        <v>90.6</v>
      </c>
      <c r="T11" s="45">
        <v>90.6</v>
      </c>
      <c r="U11" s="45">
        <v>90.6</v>
      </c>
      <c r="V11" s="45">
        <v>90.6</v>
      </c>
      <c r="W11" s="45">
        <v>90.6</v>
      </c>
      <c r="X11" s="45">
        <v>90.6</v>
      </c>
      <c r="Y11" s="45">
        <v>90.2</v>
      </c>
      <c r="Z11" s="45">
        <v>90.2</v>
      </c>
      <c r="AA11" s="45">
        <v>90.2</v>
      </c>
      <c r="AB11" s="45">
        <v>90.2</v>
      </c>
      <c r="AC11" s="45">
        <v>90.2</v>
      </c>
      <c r="AD11" s="45">
        <v>90.2</v>
      </c>
      <c r="AE11" s="45">
        <v>90.2</v>
      </c>
      <c r="AF11" s="45">
        <v>90.2</v>
      </c>
      <c r="AG11" s="46">
        <v>86</v>
      </c>
      <c r="AH11" s="47">
        <f t="shared" ref="AH11:AH76" si="2">MAX(B11:AF11)</f>
        <v>90.6</v>
      </c>
      <c r="AI11" s="48">
        <f t="shared" ref="AI11:AI76" si="3">MIN(B11:AF11)</f>
        <v>86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11</v>
      </c>
      <c r="C12" s="45">
        <v>11</v>
      </c>
      <c r="D12" s="45">
        <v>11</v>
      </c>
      <c r="E12" s="45">
        <v>11</v>
      </c>
      <c r="F12" s="45">
        <v>11</v>
      </c>
      <c r="G12" s="45">
        <v>26</v>
      </c>
      <c r="H12" s="45">
        <v>26</v>
      </c>
      <c r="I12" s="45">
        <v>26</v>
      </c>
      <c r="J12" s="45">
        <v>26</v>
      </c>
      <c r="K12" s="45">
        <v>26</v>
      </c>
      <c r="L12" s="45">
        <v>11</v>
      </c>
      <c r="M12" s="45">
        <v>11</v>
      </c>
      <c r="N12" s="45">
        <v>0</v>
      </c>
      <c r="O12" s="45">
        <v>0</v>
      </c>
      <c r="P12" s="45">
        <v>0</v>
      </c>
      <c r="Q12" s="45">
        <v>10.8</v>
      </c>
      <c r="R12" s="45">
        <v>10.8</v>
      </c>
      <c r="S12" s="45">
        <v>10.8</v>
      </c>
      <c r="T12" s="45">
        <v>11.7</v>
      </c>
      <c r="U12" s="45">
        <v>11.7</v>
      </c>
      <c r="V12" s="45">
        <v>11.7</v>
      </c>
      <c r="W12" s="45">
        <v>11.7</v>
      </c>
      <c r="X12" s="45">
        <v>11.7</v>
      </c>
      <c r="Y12" s="45">
        <v>11.7</v>
      </c>
      <c r="Z12" s="45">
        <v>11.7</v>
      </c>
      <c r="AA12" s="45">
        <v>11.7</v>
      </c>
      <c r="AB12" s="45">
        <v>15</v>
      </c>
      <c r="AC12" s="45">
        <v>15</v>
      </c>
      <c r="AD12" s="45">
        <v>10</v>
      </c>
      <c r="AE12" s="45">
        <v>0</v>
      </c>
      <c r="AF12" s="45">
        <v>0</v>
      </c>
      <c r="AG12" s="49">
        <v>54</v>
      </c>
      <c r="AH12" s="47">
        <f t="shared" si="2"/>
        <v>26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55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>
        <v>55</v>
      </c>
      <c r="K13" s="45">
        <v>55</v>
      </c>
      <c r="L13" s="45">
        <v>55</v>
      </c>
      <c r="M13" s="45">
        <v>55</v>
      </c>
      <c r="N13" s="45">
        <v>55</v>
      </c>
      <c r="O13" s="45">
        <v>55</v>
      </c>
      <c r="P13" s="45">
        <v>55</v>
      </c>
      <c r="Q13" s="45">
        <v>55</v>
      </c>
      <c r="R13" s="45">
        <v>55</v>
      </c>
      <c r="S13" s="45">
        <v>55</v>
      </c>
      <c r="T13" s="45">
        <v>55</v>
      </c>
      <c r="U13" s="45">
        <v>55</v>
      </c>
      <c r="V13" s="45">
        <v>55</v>
      </c>
      <c r="W13" s="45">
        <v>55</v>
      </c>
      <c r="X13" s="45">
        <v>55</v>
      </c>
      <c r="Y13" s="45">
        <v>55</v>
      </c>
      <c r="Z13" s="45">
        <v>55</v>
      </c>
      <c r="AA13" s="45">
        <v>55</v>
      </c>
      <c r="AB13" s="45">
        <v>55</v>
      </c>
      <c r="AC13" s="45">
        <v>55</v>
      </c>
      <c r="AD13" s="45">
        <v>55</v>
      </c>
      <c r="AE13" s="45">
        <v>55</v>
      </c>
      <c r="AF13" s="45">
        <v>55</v>
      </c>
      <c r="AG13" s="46">
        <v>52.4</v>
      </c>
      <c r="AH13" s="47">
        <f t="shared" si="2"/>
        <v>55</v>
      </c>
      <c r="AI13" s="48">
        <f t="shared" si="3"/>
        <v>55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50.5</v>
      </c>
      <c r="C14" s="45">
        <v>50.5</v>
      </c>
      <c r="D14" s="45">
        <v>50.5</v>
      </c>
      <c r="E14" s="45">
        <v>50.5</v>
      </c>
      <c r="F14" s="45">
        <v>50.5</v>
      </c>
      <c r="G14" s="45">
        <v>50.5</v>
      </c>
      <c r="H14" s="45">
        <v>50.5</v>
      </c>
      <c r="I14" s="45">
        <v>50.5</v>
      </c>
      <c r="J14" s="45">
        <v>50.5</v>
      </c>
      <c r="K14" s="45">
        <v>50.5</v>
      </c>
      <c r="L14" s="45">
        <v>50.5</v>
      </c>
      <c r="M14" s="45">
        <v>50.5</v>
      </c>
      <c r="N14" s="45">
        <v>50.5</v>
      </c>
      <c r="O14" s="45">
        <v>50.5</v>
      </c>
      <c r="P14" s="45">
        <v>50.5</v>
      </c>
      <c r="Q14" s="45">
        <v>50.5</v>
      </c>
      <c r="R14" s="45">
        <v>50.5</v>
      </c>
      <c r="S14" s="45">
        <v>50.5</v>
      </c>
      <c r="T14" s="45">
        <v>50.5</v>
      </c>
      <c r="U14" s="45">
        <v>50.5</v>
      </c>
      <c r="V14" s="45">
        <v>50.5</v>
      </c>
      <c r="W14" s="45">
        <v>50.5</v>
      </c>
      <c r="X14" s="45">
        <v>50.5</v>
      </c>
      <c r="Y14" s="45">
        <v>50.5</v>
      </c>
      <c r="Z14" s="45">
        <v>50.5</v>
      </c>
      <c r="AA14" s="45">
        <v>50.5</v>
      </c>
      <c r="AB14" s="45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49">
        <v>50</v>
      </c>
      <c r="AH14" s="47">
        <f t="shared" si="2"/>
        <v>50.5</v>
      </c>
      <c r="AI14" s="48">
        <f t="shared" si="3"/>
        <v>50.5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46.1</v>
      </c>
      <c r="C15" s="45">
        <v>46.1</v>
      </c>
      <c r="D15" s="45">
        <v>46.1</v>
      </c>
      <c r="E15" s="45">
        <v>36</v>
      </c>
      <c r="F15" s="45">
        <v>36</v>
      </c>
      <c r="G15" s="45">
        <v>36</v>
      </c>
      <c r="H15" s="45">
        <v>36</v>
      </c>
      <c r="I15" s="45">
        <v>36</v>
      </c>
      <c r="J15" s="45">
        <v>36</v>
      </c>
      <c r="K15" s="45">
        <v>36</v>
      </c>
      <c r="L15" s="45">
        <v>36</v>
      </c>
      <c r="M15" s="45">
        <v>36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46</v>
      </c>
      <c r="AD15" s="45">
        <v>36</v>
      </c>
      <c r="AE15" s="45">
        <v>36</v>
      </c>
      <c r="AF15" s="45">
        <v>36</v>
      </c>
      <c r="AG15" s="49">
        <v>45</v>
      </c>
      <c r="AH15" s="47">
        <f t="shared" si="2"/>
        <v>46.1</v>
      </c>
      <c r="AI15" s="48">
        <f t="shared" si="3"/>
        <v>36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36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43</v>
      </c>
      <c r="O16" s="45">
        <v>35</v>
      </c>
      <c r="P16" s="45">
        <v>35</v>
      </c>
      <c r="Q16" s="45">
        <v>27</v>
      </c>
      <c r="R16" s="45">
        <v>0</v>
      </c>
      <c r="S16" s="45">
        <v>0</v>
      </c>
      <c r="T16" s="45">
        <v>0</v>
      </c>
      <c r="U16" s="45">
        <v>0</v>
      </c>
      <c r="V16" s="45">
        <v>35</v>
      </c>
      <c r="W16" s="45">
        <v>35</v>
      </c>
      <c r="X16" s="45">
        <v>40</v>
      </c>
      <c r="Y16" s="45">
        <v>40</v>
      </c>
      <c r="Z16" s="45">
        <v>40</v>
      </c>
      <c r="AA16" s="45">
        <v>40</v>
      </c>
      <c r="AB16" s="45">
        <v>40</v>
      </c>
      <c r="AC16" s="45">
        <v>40</v>
      </c>
      <c r="AD16" s="45">
        <v>40</v>
      </c>
      <c r="AE16" s="45">
        <v>40</v>
      </c>
      <c r="AF16" s="45">
        <v>40</v>
      </c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</v>
      </c>
      <c r="C17" s="45">
        <v>28</v>
      </c>
      <c r="D17" s="45">
        <v>28</v>
      </c>
      <c r="E17" s="45">
        <v>32</v>
      </c>
      <c r="F17" s="45">
        <v>32</v>
      </c>
      <c r="G17" s="45">
        <v>32</v>
      </c>
      <c r="H17" s="45">
        <v>32</v>
      </c>
      <c r="I17" s="45">
        <v>32</v>
      </c>
      <c r="J17" s="45">
        <v>32</v>
      </c>
      <c r="K17" s="45">
        <v>32</v>
      </c>
      <c r="L17" s="45">
        <v>32</v>
      </c>
      <c r="M17" s="45">
        <v>32</v>
      </c>
      <c r="N17" s="45">
        <v>29</v>
      </c>
      <c r="O17" s="45">
        <v>29</v>
      </c>
      <c r="P17" s="45">
        <v>29</v>
      </c>
      <c r="Q17" s="45">
        <v>29</v>
      </c>
      <c r="R17" s="45">
        <v>29</v>
      </c>
      <c r="S17" s="45">
        <v>29</v>
      </c>
      <c r="T17" s="45">
        <v>29</v>
      </c>
      <c r="U17" s="45">
        <v>29</v>
      </c>
      <c r="V17" s="45">
        <v>26</v>
      </c>
      <c r="W17" s="45">
        <v>26</v>
      </c>
      <c r="X17" s="45">
        <v>26</v>
      </c>
      <c r="Y17" s="45">
        <v>26</v>
      </c>
      <c r="Z17" s="45">
        <v>26</v>
      </c>
      <c r="AA17" s="45">
        <v>32</v>
      </c>
      <c r="AB17" s="45">
        <v>32</v>
      </c>
      <c r="AC17" s="45">
        <v>28</v>
      </c>
      <c r="AD17" s="45">
        <v>28</v>
      </c>
      <c r="AE17" s="45">
        <v>28</v>
      </c>
      <c r="AF17" s="45">
        <v>28</v>
      </c>
      <c r="AG17" s="49">
        <v>42</v>
      </c>
      <c r="AH17" s="47">
        <f t="shared" si="2"/>
        <v>32</v>
      </c>
      <c r="AI17" s="48">
        <f t="shared" si="3"/>
        <v>26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36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6</v>
      </c>
      <c r="C20" s="45">
        <v>6</v>
      </c>
      <c r="D20" s="45">
        <v>6</v>
      </c>
      <c r="E20" s="45">
        <v>10</v>
      </c>
      <c r="F20" s="45">
        <v>10</v>
      </c>
      <c r="G20" s="45">
        <v>12</v>
      </c>
      <c r="H20" s="45">
        <v>15</v>
      </c>
      <c r="I20" s="45">
        <v>30</v>
      </c>
      <c r="J20" s="45">
        <v>15</v>
      </c>
      <c r="K20" s="45">
        <v>15</v>
      </c>
      <c r="L20" s="45">
        <v>8.1999999999999993</v>
      </c>
      <c r="M20" s="45">
        <v>8.1999999999999993</v>
      </c>
      <c r="N20" s="45">
        <v>0</v>
      </c>
      <c r="O20" s="45">
        <v>0</v>
      </c>
      <c r="P20" s="45">
        <v>0</v>
      </c>
      <c r="Q20" s="45">
        <v>6</v>
      </c>
      <c r="R20" s="45">
        <v>6</v>
      </c>
      <c r="S20" s="45">
        <v>6</v>
      </c>
      <c r="T20" s="45">
        <v>6.7</v>
      </c>
      <c r="U20" s="45">
        <v>6.7</v>
      </c>
      <c r="V20" s="45">
        <v>6.7</v>
      </c>
      <c r="W20" s="45">
        <v>6.7</v>
      </c>
      <c r="X20" s="45">
        <v>15</v>
      </c>
      <c r="Y20" s="45">
        <v>15</v>
      </c>
      <c r="Z20" s="45">
        <v>15</v>
      </c>
      <c r="AA20" s="45">
        <v>15</v>
      </c>
      <c r="AB20" s="45">
        <v>15</v>
      </c>
      <c r="AC20" s="45">
        <v>15</v>
      </c>
      <c r="AD20" s="45">
        <v>10</v>
      </c>
      <c r="AE20" s="45">
        <v>5</v>
      </c>
      <c r="AF20" s="45">
        <v>0</v>
      </c>
      <c r="AG20" s="51">
        <v>30</v>
      </c>
      <c r="AH20" s="47">
        <f t="shared" si="2"/>
        <v>30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24.8</v>
      </c>
      <c r="C21" s="45">
        <v>24.8</v>
      </c>
      <c r="D21" s="45">
        <v>24.8</v>
      </c>
      <c r="E21" s="45">
        <v>24.8</v>
      </c>
      <c r="F21" s="45">
        <v>24.8</v>
      </c>
      <c r="G21" s="45">
        <v>24.8</v>
      </c>
      <c r="H21" s="45">
        <v>24.8</v>
      </c>
      <c r="I21" s="45">
        <v>24.8</v>
      </c>
      <c r="J21" s="45">
        <v>24.8</v>
      </c>
      <c r="K21" s="45">
        <v>24.8</v>
      </c>
      <c r="L21" s="45">
        <v>24.8</v>
      </c>
      <c r="M21" s="45">
        <v>24.8</v>
      </c>
      <c r="N21" s="45">
        <v>23</v>
      </c>
      <c r="O21" s="45">
        <v>23</v>
      </c>
      <c r="P21" s="45">
        <v>23</v>
      </c>
      <c r="Q21" s="45">
        <v>23</v>
      </c>
      <c r="R21" s="45">
        <v>23</v>
      </c>
      <c r="S21" s="45">
        <v>23</v>
      </c>
      <c r="T21" s="45">
        <v>23</v>
      </c>
      <c r="U21" s="45">
        <v>23</v>
      </c>
      <c r="V21" s="45">
        <v>23</v>
      </c>
      <c r="W21" s="45">
        <v>23</v>
      </c>
      <c r="X21" s="45">
        <v>23</v>
      </c>
      <c r="Y21" s="45">
        <v>23</v>
      </c>
      <c r="Z21" s="45">
        <v>23</v>
      </c>
      <c r="AA21" s="45">
        <v>23</v>
      </c>
      <c r="AB21" s="45">
        <v>23</v>
      </c>
      <c r="AC21" s="45">
        <v>23</v>
      </c>
      <c r="AD21" s="45">
        <v>23</v>
      </c>
      <c r="AE21" s="45">
        <v>23</v>
      </c>
      <c r="AF21" s="45">
        <v>23</v>
      </c>
      <c r="AG21" s="49">
        <v>24.2</v>
      </c>
      <c r="AH21" s="47">
        <f t="shared" si="2"/>
        <v>24.8</v>
      </c>
      <c r="AI21" s="48">
        <f t="shared" si="3"/>
        <v>23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15.3</v>
      </c>
      <c r="C22" s="45">
        <v>15.3</v>
      </c>
      <c r="D22" s="45">
        <v>15.3</v>
      </c>
      <c r="E22" s="45">
        <v>15.3</v>
      </c>
      <c r="F22" s="45">
        <v>15.3</v>
      </c>
      <c r="G22" s="45">
        <v>15.3</v>
      </c>
      <c r="H22" s="45">
        <v>15.3</v>
      </c>
      <c r="I22" s="45">
        <v>15.3</v>
      </c>
      <c r="J22" s="45">
        <v>15.3</v>
      </c>
      <c r="K22" s="45">
        <v>15.3</v>
      </c>
      <c r="L22" s="45">
        <v>15.3</v>
      </c>
      <c r="M22" s="45">
        <v>15.3</v>
      </c>
      <c r="N22" s="45">
        <v>14.5</v>
      </c>
      <c r="O22" s="45">
        <v>14.5</v>
      </c>
      <c r="P22" s="45">
        <v>14.5</v>
      </c>
      <c r="Q22" s="45">
        <v>14.5</v>
      </c>
      <c r="R22" s="45">
        <v>14.5</v>
      </c>
      <c r="S22" s="45">
        <v>14.5</v>
      </c>
      <c r="T22" s="45">
        <v>14.5</v>
      </c>
      <c r="U22" s="45">
        <v>14.5</v>
      </c>
      <c r="V22" s="45">
        <v>14.5</v>
      </c>
      <c r="W22" s="45">
        <v>14.5</v>
      </c>
      <c r="X22" s="45">
        <v>14.5</v>
      </c>
      <c r="Y22" s="45">
        <v>14.5</v>
      </c>
      <c r="Z22" s="45">
        <v>14.5</v>
      </c>
      <c r="AA22" s="45">
        <v>14.5</v>
      </c>
      <c r="AB22" s="45">
        <v>14.5</v>
      </c>
      <c r="AC22" s="45">
        <v>14.5</v>
      </c>
      <c r="AD22" s="45">
        <v>14.5</v>
      </c>
      <c r="AE22" s="45">
        <v>14.5</v>
      </c>
      <c r="AF22" s="45">
        <v>14.5</v>
      </c>
      <c r="AG22" s="49">
        <v>28</v>
      </c>
      <c r="AH22" s="47">
        <f t="shared" si="2"/>
        <v>15.3</v>
      </c>
      <c r="AI22" s="48">
        <f t="shared" si="3"/>
        <v>14.5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5</v>
      </c>
      <c r="C23" s="45">
        <v>5</v>
      </c>
      <c r="D23" s="45">
        <v>5</v>
      </c>
      <c r="E23" s="45">
        <v>5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2</v>
      </c>
      <c r="O23" s="45">
        <v>2</v>
      </c>
      <c r="P23" s="45">
        <v>2</v>
      </c>
      <c r="Q23" s="45">
        <v>5.4</v>
      </c>
      <c r="R23" s="45">
        <v>5.4</v>
      </c>
      <c r="S23" s="45">
        <v>5.4</v>
      </c>
      <c r="T23" s="45">
        <v>5.4</v>
      </c>
      <c r="U23" s="45">
        <v>5.4</v>
      </c>
      <c r="V23" s="45">
        <v>5.4</v>
      </c>
      <c r="W23" s="45">
        <v>5.4</v>
      </c>
      <c r="X23" s="45">
        <v>5.4</v>
      </c>
      <c r="Y23" s="45">
        <v>5.4</v>
      </c>
      <c r="Z23" s="45">
        <v>5.4</v>
      </c>
      <c r="AA23" s="45">
        <v>5.4</v>
      </c>
      <c r="AB23" s="45">
        <v>5.4</v>
      </c>
      <c r="AC23" s="45">
        <v>5.4</v>
      </c>
      <c r="AD23" s="45">
        <v>5.4</v>
      </c>
      <c r="AE23" s="45">
        <v>0</v>
      </c>
      <c r="AF23" s="45">
        <v>0</v>
      </c>
      <c r="AG23" s="51">
        <v>30</v>
      </c>
      <c r="AH23" s="47">
        <f t="shared" si="2"/>
        <v>9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26.1</v>
      </c>
      <c r="C24" s="45">
        <v>26.1</v>
      </c>
      <c r="D24" s="45">
        <v>26.1</v>
      </c>
      <c r="E24" s="45">
        <v>26.1</v>
      </c>
      <c r="F24" s="45">
        <v>26.1</v>
      </c>
      <c r="G24" s="45">
        <v>26.1</v>
      </c>
      <c r="H24" s="45">
        <v>26.1</v>
      </c>
      <c r="I24" s="45">
        <v>26.1</v>
      </c>
      <c r="J24" s="45">
        <v>26.1</v>
      </c>
      <c r="K24" s="45">
        <v>26.1</v>
      </c>
      <c r="L24" s="45">
        <v>26.1</v>
      </c>
      <c r="M24" s="45">
        <v>26.1</v>
      </c>
      <c r="N24" s="45">
        <v>26.1</v>
      </c>
      <c r="O24" s="45">
        <v>26.1</v>
      </c>
      <c r="P24" s="45">
        <v>26.1</v>
      </c>
      <c r="Q24" s="45">
        <v>26.1</v>
      </c>
      <c r="R24" s="45">
        <v>26.1</v>
      </c>
      <c r="S24" s="45">
        <v>26.1</v>
      </c>
      <c r="T24" s="45">
        <v>26.1</v>
      </c>
      <c r="U24" s="45">
        <v>26.1</v>
      </c>
      <c r="V24" s="45">
        <v>26.1</v>
      </c>
      <c r="W24" s="45">
        <v>26.1</v>
      </c>
      <c r="X24" s="45">
        <v>26.1</v>
      </c>
      <c r="Y24" s="45">
        <v>26.1</v>
      </c>
      <c r="Z24" s="45">
        <v>26.1</v>
      </c>
      <c r="AA24" s="45">
        <v>26.1</v>
      </c>
      <c r="AB24" s="45">
        <v>26.1</v>
      </c>
      <c r="AC24" s="45">
        <v>26.1</v>
      </c>
      <c r="AD24" s="45">
        <v>26.1</v>
      </c>
      <c r="AE24" s="45">
        <v>24</v>
      </c>
      <c r="AF24" s="45">
        <v>24</v>
      </c>
      <c r="AG24" s="49">
        <v>25</v>
      </c>
      <c r="AH24" s="47">
        <f t="shared" si="2"/>
        <v>26.1</v>
      </c>
      <c r="AI24" s="48">
        <f t="shared" si="3"/>
        <v>24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5</v>
      </c>
      <c r="C27" s="45">
        <v>5</v>
      </c>
      <c r="D27" s="45">
        <v>5</v>
      </c>
      <c r="E27" s="45">
        <v>5</v>
      </c>
      <c r="F27" s="45">
        <v>10</v>
      </c>
      <c r="G27" s="45">
        <v>10</v>
      </c>
      <c r="H27" s="45">
        <v>10</v>
      </c>
      <c r="I27" s="45">
        <v>15</v>
      </c>
      <c r="J27" s="45">
        <v>15</v>
      </c>
      <c r="K27" s="45">
        <v>15</v>
      </c>
      <c r="L27" s="45">
        <v>15</v>
      </c>
      <c r="M27" s="45">
        <v>15</v>
      </c>
      <c r="N27" s="45">
        <v>0</v>
      </c>
      <c r="O27" s="45">
        <v>0</v>
      </c>
      <c r="P27" s="45">
        <v>0</v>
      </c>
      <c r="Q27" s="45">
        <v>5</v>
      </c>
      <c r="R27" s="45">
        <v>5</v>
      </c>
      <c r="S27" s="45">
        <v>5</v>
      </c>
      <c r="T27" s="45">
        <v>5.5</v>
      </c>
      <c r="U27" s="45">
        <v>5.5</v>
      </c>
      <c r="V27" s="45">
        <v>5.5</v>
      </c>
      <c r="W27" s="45">
        <v>5.5</v>
      </c>
      <c r="X27" s="45">
        <v>10</v>
      </c>
      <c r="Y27" s="45">
        <v>10</v>
      </c>
      <c r="Z27" s="45">
        <v>10</v>
      </c>
      <c r="AA27" s="45">
        <v>10</v>
      </c>
      <c r="AB27" s="45">
        <v>10</v>
      </c>
      <c r="AC27" s="45">
        <v>10</v>
      </c>
      <c r="AD27" s="45">
        <v>10</v>
      </c>
      <c r="AE27" s="45">
        <v>0</v>
      </c>
      <c r="AF27" s="45">
        <v>0</v>
      </c>
      <c r="AG27" s="49">
        <v>25</v>
      </c>
      <c r="AH27" s="47">
        <f t="shared" si="2"/>
        <v>15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24.8</v>
      </c>
      <c r="C28" s="45">
        <v>24.8</v>
      </c>
      <c r="D28" s="45">
        <v>24.8</v>
      </c>
      <c r="E28" s="45">
        <v>24.8</v>
      </c>
      <c r="F28" s="45">
        <v>24.8</v>
      </c>
      <c r="G28" s="45">
        <v>24.8</v>
      </c>
      <c r="H28" s="45">
        <v>24.8</v>
      </c>
      <c r="I28" s="45">
        <v>24.8</v>
      </c>
      <c r="J28" s="45">
        <v>24.8</v>
      </c>
      <c r="K28" s="45">
        <v>24.8</v>
      </c>
      <c r="L28" s="45">
        <v>24.8</v>
      </c>
      <c r="M28" s="45">
        <v>24.8</v>
      </c>
      <c r="N28" s="45">
        <v>24.8</v>
      </c>
      <c r="O28" s="45">
        <v>24.8</v>
      </c>
      <c r="P28" s="45">
        <v>24.8</v>
      </c>
      <c r="Q28" s="45">
        <v>24.8</v>
      </c>
      <c r="R28" s="45">
        <v>24.8</v>
      </c>
      <c r="S28" s="45">
        <v>24.8</v>
      </c>
      <c r="T28" s="45">
        <v>24.8</v>
      </c>
      <c r="U28" s="45">
        <v>24.8</v>
      </c>
      <c r="V28" s="45">
        <v>24.8</v>
      </c>
      <c r="W28" s="45">
        <v>24.8</v>
      </c>
      <c r="X28" s="45">
        <v>24.8</v>
      </c>
      <c r="Y28" s="45">
        <v>24.8</v>
      </c>
      <c r="Z28" s="45">
        <v>24.8</v>
      </c>
      <c r="AA28" s="45">
        <v>24.8</v>
      </c>
      <c r="AB28" s="45">
        <v>24.8</v>
      </c>
      <c r="AC28" s="45">
        <v>24.8</v>
      </c>
      <c r="AD28" s="45">
        <v>24.8</v>
      </c>
      <c r="AE28" s="45">
        <v>24.8</v>
      </c>
      <c r="AF28" s="45">
        <v>24.8</v>
      </c>
      <c r="AG28" s="49">
        <v>23.5</v>
      </c>
      <c r="AH28" s="47">
        <f t="shared" si="2"/>
        <v>24.8</v>
      </c>
      <c r="AI28" s="48">
        <f t="shared" si="3"/>
        <v>24.8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26</v>
      </c>
      <c r="C32" s="45">
        <v>26</v>
      </c>
      <c r="D32" s="45">
        <v>26</v>
      </c>
      <c r="E32" s="45">
        <v>26</v>
      </c>
      <c r="F32" s="45">
        <v>26</v>
      </c>
      <c r="G32" s="45">
        <v>27.3</v>
      </c>
      <c r="H32" s="45">
        <v>27.3</v>
      </c>
      <c r="I32" s="45">
        <v>27.3</v>
      </c>
      <c r="J32" s="45">
        <v>27.3</v>
      </c>
      <c r="K32" s="45">
        <v>27.3</v>
      </c>
      <c r="L32" s="45">
        <v>27.3</v>
      </c>
      <c r="M32" s="45">
        <v>27.3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27.3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>
        <v>10</v>
      </c>
      <c r="AB33" s="45">
        <v>10</v>
      </c>
      <c r="AC33" s="45">
        <v>10</v>
      </c>
      <c r="AD33" s="45">
        <v>5</v>
      </c>
      <c r="AE33" s="45">
        <v>5</v>
      </c>
      <c r="AF33" s="45">
        <v>5</v>
      </c>
      <c r="AG33" s="49">
        <v>20</v>
      </c>
      <c r="AH33" s="47">
        <f t="shared" si="2"/>
        <v>10</v>
      </c>
      <c r="AI33" s="48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4.5</v>
      </c>
      <c r="C34" s="45">
        <v>13</v>
      </c>
      <c r="D34" s="45">
        <v>4.5</v>
      </c>
      <c r="E34" s="45">
        <v>4.5</v>
      </c>
      <c r="F34" s="45">
        <v>4.5</v>
      </c>
      <c r="G34" s="45">
        <v>4.5</v>
      </c>
      <c r="H34" s="45">
        <v>4.5</v>
      </c>
      <c r="I34" s="45">
        <v>4.5</v>
      </c>
      <c r="J34" s="45">
        <v>4.5</v>
      </c>
      <c r="K34" s="45">
        <v>4.5</v>
      </c>
      <c r="L34" s="45">
        <v>4.5</v>
      </c>
      <c r="M34" s="45">
        <v>4.5</v>
      </c>
      <c r="N34" s="45">
        <v>4.5</v>
      </c>
      <c r="O34" s="45">
        <v>0</v>
      </c>
      <c r="P34" s="45">
        <v>0</v>
      </c>
      <c r="Q34" s="45">
        <v>4</v>
      </c>
      <c r="R34" s="45">
        <v>4</v>
      </c>
      <c r="S34" s="45">
        <v>4</v>
      </c>
      <c r="T34" s="45">
        <v>4</v>
      </c>
      <c r="U34" s="45">
        <v>4</v>
      </c>
      <c r="V34" s="45">
        <v>4</v>
      </c>
      <c r="W34" s="45">
        <v>4</v>
      </c>
      <c r="X34" s="45">
        <v>4</v>
      </c>
      <c r="Y34" s="45">
        <v>4</v>
      </c>
      <c r="Z34" s="45">
        <v>4</v>
      </c>
      <c r="AA34" s="45">
        <v>4</v>
      </c>
      <c r="AB34" s="45">
        <v>4</v>
      </c>
      <c r="AC34" s="45">
        <v>4</v>
      </c>
      <c r="AD34" s="45">
        <v>4</v>
      </c>
      <c r="AE34" s="45">
        <v>4</v>
      </c>
      <c r="AF34" s="45">
        <v>4</v>
      </c>
      <c r="AG34" s="49">
        <v>18</v>
      </c>
      <c r="AH34" s="47">
        <f t="shared" si="2"/>
        <v>13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15.8</v>
      </c>
      <c r="C35" s="45">
        <v>15.8</v>
      </c>
      <c r="D35" s="45">
        <v>15.8</v>
      </c>
      <c r="E35" s="45">
        <v>15.8</v>
      </c>
      <c r="F35" s="45">
        <v>15.8</v>
      </c>
      <c r="G35" s="45">
        <v>15.8</v>
      </c>
      <c r="H35" s="45">
        <v>0</v>
      </c>
      <c r="I35" s="45">
        <v>0</v>
      </c>
      <c r="J35" s="45">
        <v>15.8</v>
      </c>
      <c r="K35" s="45">
        <v>15.8</v>
      </c>
      <c r="L35" s="45">
        <v>15.8</v>
      </c>
      <c r="M35" s="45">
        <v>15.8</v>
      </c>
      <c r="N35" s="45">
        <v>15.8</v>
      </c>
      <c r="O35" s="45">
        <v>15.8</v>
      </c>
      <c r="P35" s="45">
        <v>15.8</v>
      </c>
      <c r="Q35" s="45">
        <v>15.8</v>
      </c>
      <c r="R35" s="45">
        <v>15.8</v>
      </c>
      <c r="S35" s="45">
        <v>15.8</v>
      </c>
      <c r="T35" s="45">
        <v>15.8</v>
      </c>
      <c r="U35" s="45">
        <v>15.8</v>
      </c>
      <c r="V35" s="45">
        <v>15.8</v>
      </c>
      <c r="W35" s="45">
        <v>15.8</v>
      </c>
      <c r="X35" s="45">
        <v>15.8</v>
      </c>
      <c r="Y35" s="45">
        <v>15.8</v>
      </c>
      <c r="Z35" s="45">
        <v>15.8</v>
      </c>
      <c r="AA35" s="45">
        <v>15.8</v>
      </c>
      <c r="AB35" s="45">
        <v>15.8</v>
      </c>
      <c r="AC35" s="45">
        <v>15.8</v>
      </c>
      <c r="AD35" s="45">
        <v>15.8</v>
      </c>
      <c r="AE35" s="45">
        <v>15.8</v>
      </c>
      <c r="AF35" s="45">
        <v>15.8</v>
      </c>
      <c r="AG35" s="49">
        <v>14.9</v>
      </c>
      <c r="AH35" s="47">
        <f t="shared" si="2"/>
        <v>15.8</v>
      </c>
      <c r="AI35" s="48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12</v>
      </c>
      <c r="C39" s="45">
        <v>6</v>
      </c>
      <c r="D39" s="45">
        <v>6</v>
      </c>
      <c r="E39" s="45">
        <v>5</v>
      </c>
      <c r="F39" s="45">
        <v>5</v>
      </c>
      <c r="G39" s="45">
        <v>6</v>
      </c>
      <c r="H39" s="45">
        <v>6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2</v>
      </c>
      <c r="O39" s="45">
        <v>2</v>
      </c>
      <c r="P39" s="45">
        <v>2</v>
      </c>
      <c r="Q39" s="45">
        <v>2.4</v>
      </c>
      <c r="R39" s="45">
        <v>2.4</v>
      </c>
      <c r="S39" s="45">
        <v>2.4</v>
      </c>
      <c r="T39" s="45">
        <v>2.4</v>
      </c>
      <c r="U39" s="45">
        <v>2.4</v>
      </c>
      <c r="V39" s="45">
        <v>2.4</v>
      </c>
      <c r="W39" s="45">
        <v>2.4</v>
      </c>
      <c r="X39" s="45">
        <v>2.4</v>
      </c>
      <c r="Y39" s="45">
        <v>2.4</v>
      </c>
      <c r="Z39" s="45">
        <v>2.4</v>
      </c>
      <c r="AA39" s="45">
        <v>2.4</v>
      </c>
      <c r="AB39" s="45">
        <v>2.4</v>
      </c>
      <c r="AC39" s="45">
        <v>2.4</v>
      </c>
      <c r="AD39" s="45">
        <v>2.4</v>
      </c>
      <c r="AE39" s="45">
        <v>0</v>
      </c>
      <c r="AF39" s="45">
        <v>0</v>
      </c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6</v>
      </c>
      <c r="C41" s="45">
        <v>3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9">
        <v>12</v>
      </c>
      <c r="AH41" s="47">
        <f t="shared" si="2"/>
        <v>6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11.8</v>
      </c>
      <c r="C43" s="45">
        <v>11.8</v>
      </c>
      <c r="D43" s="45">
        <v>11.8</v>
      </c>
      <c r="E43" s="45">
        <v>11.8</v>
      </c>
      <c r="F43" s="45">
        <v>11.8</v>
      </c>
      <c r="G43" s="45">
        <v>11.8</v>
      </c>
      <c r="H43" s="45">
        <v>11.8</v>
      </c>
      <c r="I43" s="45">
        <v>11.8</v>
      </c>
      <c r="J43" s="45">
        <v>11.8</v>
      </c>
      <c r="K43" s="45">
        <v>11.8</v>
      </c>
      <c r="L43" s="45">
        <v>11.8</v>
      </c>
      <c r="M43" s="45">
        <v>11.8</v>
      </c>
      <c r="N43" s="45">
        <v>11.8</v>
      </c>
      <c r="O43" s="45">
        <v>11.8</v>
      </c>
      <c r="P43" s="45">
        <v>11.8</v>
      </c>
      <c r="Q43" s="45">
        <v>11.8</v>
      </c>
      <c r="R43" s="45">
        <v>11.8</v>
      </c>
      <c r="S43" s="45">
        <v>11.8</v>
      </c>
      <c r="T43" s="45">
        <v>11.8</v>
      </c>
      <c r="U43" s="45">
        <v>11.8</v>
      </c>
      <c r="V43" s="45">
        <v>11.8</v>
      </c>
      <c r="W43" s="45">
        <v>11.8</v>
      </c>
      <c r="X43" s="45">
        <v>11.8</v>
      </c>
      <c r="Y43" s="45">
        <v>11.8</v>
      </c>
      <c r="Z43" s="45">
        <v>11.8</v>
      </c>
      <c r="AA43" s="45">
        <v>11.8</v>
      </c>
      <c r="AB43" s="45">
        <v>11.8</v>
      </c>
      <c r="AC43" s="45">
        <v>11.8</v>
      </c>
      <c r="AD43" s="45">
        <v>11.8</v>
      </c>
      <c r="AE43" s="45">
        <v>11.8</v>
      </c>
      <c r="AF43" s="45">
        <v>11.8</v>
      </c>
      <c r="AG43" s="51">
        <v>11.88</v>
      </c>
      <c r="AH43" s="47">
        <f t="shared" si="2"/>
        <v>11.8</v>
      </c>
      <c r="AI43" s="48">
        <f t="shared" si="3"/>
        <v>11.8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50"/>
    </row>
    <row r="50" spans="1:41" ht="15.75" thickBot="1" x14ac:dyDescent="0.3">
      <c r="A50" s="59" t="s">
        <v>58</v>
      </c>
      <c r="B50" s="60">
        <f t="shared" ref="B50:AF50" si="4">SUM(B11:B48)</f>
        <v>1004</v>
      </c>
      <c r="C50" s="60">
        <f t="shared" si="4"/>
        <v>1003.5</v>
      </c>
      <c r="D50" s="60">
        <f t="shared" ref="D50:E50" si="5">SUM(D11:D48)</f>
        <v>992</v>
      </c>
      <c r="E50" s="60">
        <f t="shared" si="5"/>
        <v>980.9</v>
      </c>
      <c r="F50" s="60">
        <f t="shared" si="4"/>
        <v>997.9</v>
      </c>
      <c r="G50" s="60">
        <f t="shared" si="4"/>
        <v>1017.1999999999999</v>
      </c>
      <c r="H50" s="60">
        <f t="shared" si="4"/>
        <v>1004.4</v>
      </c>
      <c r="I50" s="60">
        <f t="shared" si="4"/>
        <v>1024.4000000000001</v>
      </c>
      <c r="J50" s="60">
        <f t="shared" si="4"/>
        <v>1025.1999999999998</v>
      </c>
      <c r="K50" s="60">
        <f t="shared" ref="K50:L50" si="6">SUM(K11:K48)</f>
        <v>1025.1999999999998</v>
      </c>
      <c r="L50" s="60">
        <f t="shared" si="6"/>
        <v>1003.3</v>
      </c>
      <c r="M50" s="60">
        <f t="shared" si="4"/>
        <v>1003.3</v>
      </c>
      <c r="N50" s="60">
        <f t="shared" si="4"/>
        <v>956.2</v>
      </c>
      <c r="O50" s="60">
        <f t="shared" si="4"/>
        <v>943.7</v>
      </c>
      <c r="P50" s="60">
        <f t="shared" si="4"/>
        <v>943.7</v>
      </c>
      <c r="Q50" s="60">
        <f t="shared" si="4"/>
        <v>970.3</v>
      </c>
      <c r="R50" s="60">
        <f t="shared" si="4"/>
        <v>947.9</v>
      </c>
      <c r="S50" s="60">
        <f t="shared" si="4"/>
        <v>947.9</v>
      </c>
      <c r="T50" s="60">
        <f t="shared" ref="T50" si="7">SUM(T11:T48)</f>
        <v>949.99999999999989</v>
      </c>
      <c r="U50" s="60">
        <f t="shared" ref="U50:V50" si="8">SUM(U11:U48)</f>
        <v>949.99999999999989</v>
      </c>
      <c r="V50" s="60">
        <f t="shared" si="8"/>
        <v>981.99999999999989</v>
      </c>
      <c r="W50" s="60">
        <f t="shared" si="4"/>
        <v>981.99999999999989</v>
      </c>
      <c r="X50" s="60">
        <f t="shared" si="4"/>
        <v>999.79999999999984</v>
      </c>
      <c r="Y50" s="60">
        <f t="shared" ref="Y50:Z50" si="9">SUM(Y11:Y48)</f>
        <v>999.39999999999986</v>
      </c>
      <c r="Z50" s="60">
        <f t="shared" si="9"/>
        <v>999.39999999999986</v>
      </c>
      <c r="AA50" s="60">
        <v>995.39999999999986</v>
      </c>
      <c r="AB50" s="60">
        <f t="shared" si="4"/>
        <v>1008.6999999999999</v>
      </c>
      <c r="AC50" s="60">
        <f t="shared" si="4"/>
        <v>1004.6999999999999</v>
      </c>
      <c r="AD50" s="60">
        <f t="shared" si="4"/>
        <v>979.69999999999993</v>
      </c>
      <c r="AE50" s="60">
        <f t="shared" si="4"/>
        <v>944.8</v>
      </c>
      <c r="AF50" s="60">
        <f t="shared" si="4"/>
        <v>939.8</v>
      </c>
      <c r="AG50" s="61">
        <f>SUM(AG13:AG48)</f>
        <v>922.14</v>
      </c>
      <c r="AH50" s="47">
        <f t="shared" si="2"/>
        <v>1025.1999999999998</v>
      </c>
      <c r="AI50" s="48">
        <f t="shared" si="3"/>
        <v>939.8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22.5</v>
      </c>
      <c r="AK53" s="50"/>
    </row>
    <row r="54" spans="1:41" ht="15.75" thickBot="1" x14ac:dyDescent="0.3">
      <c r="A54" s="68" t="s">
        <v>62</v>
      </c>
      <c r="B54" s="60">
        <f t="shared" ref="B54:AG54" si="10">SUM(B51:B53)</f>
        <v>533.5</v>
      </c>
      <c r="C54" s="60">
        <f t="shared" si="10"/>
        <v>533.5</v>
      </c>
      <c r="D54" s="60">
        <f t="shared" ref="D54:E54" si="11">SUM(D51:D53)</f>
        <v>533.5</v>
      </c>
      <c r="E54" s="60">
        <f t="shared" si="11"/>
        <v>533.5</v>
      </c>
      <c r="F54" s="60">
        <f t="shared" si="10"/>
        <v>533.5</v>
      </c>
      <c r="G54" s="60">
        <f t="shared" si="10"/>
        <v>533.5</v>
      </c>
      <c r="H54" s="60">
        <f t="shared" si="10"/>
        <v>533.5</v>
      </c>
      <c r="I54" s="60">
        <f t="shared" si="10"/>
        <v>533.5</v>
      </c>
      <c r="J54" s="60">
        <f t="shared" si="10"/>
        <v>533.5</v>
      </c>
      <c r="K54" s="60">
        <f t="shared" si="10"/>
        <v>533.5</v>
      </c>
      <c r="L54" s="60">
        <f t="shared" si="10"/>
        <v>533.5</v>
      </c>
      <c r="M54" s="60">
        <f t="shared" si="10"/>
        <v>533.5</v>
      </c>
      <c r="N54" s="60">
        <f t="shared" si="10"/>
        <v>533.5</v>
      </c>
      <c r="O54" s="60">
        <f t="shared" si="10"/>
        <v>533.5</v>
      </c>
      <c r="P54" s="60">
        <f t="shared" si="10"/>
        <v>533.5</v>
      </c>
      <c r="Q54" s="60">
        <f t="shared" si="10"/>
        <v>533.5</v>
      </c>
      <c r="R54" s="60">
        <f t="shared" si="10"/>
        <v>533.5</v>
      </c>
      <c r="S54" s="60">
        <f t="shared" si="10"/>
        <v>533.5</v>
      </c>
      <c r="T54" s="60">
        <f t="shared" ref="T54" si="12">SUM(T51:T53)</f>
        <v>533.5</v>
      </c>
      <c r="U54" s="60">
        <f t="shared" ref="U54:V54" si="13">SUM(U51:U53)</f>
        <v>533.5</v>
      </c>
      <c r="V54" s="60">
        <f t="shared" si="13"/>
        <v>533.5</v>
      </c>
      <c r="W54" s="60">
        <f t="shared" si="10"/>
        <v>533.5</v>
      </c>
      <c r="X54" s="60">
        <f t="shared" si="10"/>
        <v>533.5</v>
      </c>
      <c r="Y54" s="60">
        <f t="shared" ref="Y54:Z54" si="14">SUM(Y51:Y53)</f>
        <v>533.5</v>
      </c>
      <c r="Z54" s="60">
        <f t="shared" si="14"/>
        <v>533.5</v>
      </c>
      <c r="AA54" s="60">
        <v>533.5</v>
      </c>
      <c r="AB54" s="60">
        <f t="shared" si="10"/>
        <v>533.5</v>
      </c>
      <c r="AC54" s="60">
        <f t="shared" si="10"/>
        <v>533.5</v>
      </c>
      <c r="AD54" s="60">
        <f t="shared" si="10"/>
        <v>533.5</v>
      </c>
      <c r="AE54" s="60">
        <f t="shared" si="10"/>
        <v>533.5</v>
      </c>
      <c r="AF54" s="60">
        <f t="shared" si="10"/>
        <v>533.5</v>
      </c>
      <c r="AG54" s="61">
        <f t="shared" si="10"/>
        <v>538.1</v>
      </c>
      <c r="AH54" s="47">
        <f t="shared" si="2"/>
        <v>533.5</v>
      </c>
      <c r="AI54" s="48">
        <f t="shared" si="3"/>
        <v>533.5</v>
      </c>
      <c r="AK54" s="50"/>
    </row>
    <row r="55" spans="1:41" x14ac:dyDescent="0.25">
      <c r="A55" s="44" t="s">
        <v>63</v>
      </c>
      <c r="B55" s="45">
        <v>137</v>
      </c>
      <c r="C55" s="45">
        <v>137</v>
      </c>
      <c r="D55" s="45">
        <v>137</v>
      </c>
      <c r="E55" s="45">
        <v>137</v>
      </c>
      <c r="F55" s="45">
        <v>137</v>
      </c>
      <c r="G55" s="45">
        <v>137</v>
      </c>
      <c r="H55" s="45">
        <v>137</v>
      </c>
      <c r="I55" s="45">
        <v>138.9</v>
      </c>
      <c r="J55" s="45">
        <v>138.9</v>
      </c>
      <c r="K55" s="45">
        <v>138.9</v>
      </c>
      <c r="L55" s="45">
        <v>137</v>
      </c>
      <c r="M55" s="45">
        <v>137</v>
      </c>
      <c r="N55" s="45">
        <v>137</v>
      </c>
      <c r="O55" s="45">
        <v>137</v>
      </c>
      <c r="P55" s="45">
        <v>137</v>
      </c>
      <c r="Q55" s="45">
        <v>137</v>
      </c>
      <c r="R55" s="45">
        <v>137</v>
      </c>
      <c r="S55" s="45">
        <v>134.5</v>
      </c>
      <c r="T55" s="45">
        <v>135.4</v>
      </c>
      <c r="U55" s="45">
        <v>135.4</v>
      </c>
      <c r="V55" s="45">
        <v>101.2</v>
      </c>
      <c r="W55" s="45">
        <v>101.1</v>
      </c>
      <c r="X55" s="45">
        <v>101.1</v>
      </c>
      <c r="Y55" s="45">
        <v>101.2</v>
      </c>
      <c r="Z55" s="45">
        <v>130</v>
      </c>
      <c r="AA55" s="45">
        <v>136.4</v>
      </c>
      <c r="AB55" s="45">
        <v>136.4</v>
      </c>
      <c r="AC55" s="45">
        <v>136.4</v>
      </c>
      <c r="AD55" s="45">
        <v>131.4</v>
      </c>
      <c r="AE55" s="45">
        <v>131.4</v>
      </c>
      <c r="AF55" s="45">
        <v>131.4</v>
      </c>
      <c r="AG55" s="51">
        <v>144</v>
      </c>
      <c r="AH55" s="47">
        <f t="shared" si="2"/>
        <v>138.9</v>
      </c>
      <c r="AI55" s="48">
        <f t="shared" si="3"/>
        <v>101.1</v>
      </c>
      <c r="AK55" s="50"/>
    </row>
    <row r="56" spans="1:41" x14ac:dyDescent="0.25">
      <c r="A56" s="53" t="s">
        <v>64</v>
      </c>
      <c r="B56" s="45">
        <v>70.3</v>
      </c>
      <c r="C56" s="45">
        <v>70.3</v>
      </c>
      <c r="D56" s="45">
        <v>70.3</v>
      </c>
      <c r="E56" s="45">
        <v>71.3</v>
      </c>
      <c r="F56" s="45">
        <v>71.3</v>
      </c>
      <c r="G56" s="45">
        <v>71.3</v>
      </c>
      <c r="H56" s="45">
        <v>71.3</v>
      </c>
      <c r="I56" s="45">
        <v>71.2</v>
      </c>
      <c r="J56" s="45">
        <v>71.2</v>
      </c>
      <c r="K56" s="45">
        <v>71.2</v>
      </c>
      <c r="L56" s="45">
        <v>70.2</v>
      </c>
      <c r="M56" s="45">
        <v>70.2</v>
      </c>
      <c r="N56" s="45">
        <v>70.2</v>
      </c>
      <c r="O56" s="45">
        <v>70.2</v>
      </c>
      <c r="P56" s="45">
        <v>70.2</v>
      </c>
      <c r="Q56" s="45">
        <v>70.2</v>
      </c>
      <c r="R56" s="45">
        <v>70.2</v>
      </c>
      <c r="S56" s="45">
        <v>70.2</v>
      </c>
      <c r="T56" s="45">
        <v>70</v>
      </c>
      <c r="U56" s="45">
        <v>70</v>
      </c>
      <c r="V56" s="45">
        <v>59.5</v>
      </c>
      <c r="W56" s="45">
        <v>59.9</v>
      </c>
      <c r="X56" s="45">
        <v>59.9</v>
      </c>
      <c r="Y56" s="45">
        <v>58.9</v>
      </c>
      <c r="Z56" s="45">
        <v>60.9</v>
      </c>
      <c r="AA56" s="45">
        <v>71.7</v>
      </c>
      <c r="AB56" s="45">
        <v>71.7</v>
      </c>
      <c r="AC56" s="45">
        <v>71.7</v>
      </c>
      <c r="AD56" s="45">
        <v>71.7</v>
      </c>
      <c r="AE56" s="45">
        <v>71.7</v>
      </c>
      <c r="AF56" s="45">
        <v>66</v>
      </c>
      <c r="AG56" s="54">
        <v>70</v>
      </c>
      <c r="AH56" s="47">
        <f t="shared" si="2"/>
        <v>71.7</v>
      </c>
      <c r="AI56" s="48">
        <f t="shared" si="3"/>
        <v>58.9</v>
      </c>
      <c r="AK56" s="50"/>
    </row>
    <row r="57" spans="1:41" x14ac:dyDescent="0.25">
      <c r="A57" s="53" t="s">
        <v>65</v>
      </c>
      <c r="B57" s="45">
        <v>46</v>
      </c>
      <c r="C57" s="45">
        <v>46</v>
      </c>
      <c r="D57" s="45">
        <v>46</v>
      </c>
      <c r="E57" s="45">
        <v>65</v>
      </c>
      <c r="F57" s="45">
        <v>65</v>
      </c>
      <c r="G57" s="45">
        <v>65</v>
      </c>
      <c r="H57" s="45">
        <v>65</v>
      </c>
      <c r="I57" s="45">
        <v>65</v>
      </c>
      <c r="J57" s="45">
        <v>65</v>
      </c>
      <c r="K57" s="45">
        <v>65</v>
      </c>
      <c r="L57" s="45">
        <v>65</v>
      </c>
      <c r="M57" s="45">
        <v>65</v>
      </c>
      <c r="N57" s="45">
        <v>65</v>
      </c>
      <c r="O57" s="45">
        <v>63.8</v>
      </c>
      <c r="P57" s="45">
        <v>63.8</v>
      </c>
      <c r="Q57" s="45">
        <v>63.8</v>
      </c>
      <c r="R57" s="45">
        <v>63.8</v>
      </c>
      <c r="S57" s="45">
        <v>63.8</v>
      </c>
      <c r="T57" s="45">
        <v>52.4</v>
      </c>
      <c r="U57" s="45">
        <v>52.4</v>
      </c>
      <c r="V57" s="45">
        <v>48.9</v>
      </c>
      <c r="W57" s="45">
        <v>48.9</v>
      </c>
      <c r="X57" s="45">
        <v>49.3</v>
      </c>
      <c r="Y57" s="45">
        <v>49.4</v>
      </c>
      <c r="Z57" s="45">
        <v>64.2</v>
      </c>
      <c r="AA57" s="45">
        <v>64.3</v>
      </c>
      <c r="AB57" s="45">
        <v>64.5</v>
      </c>
      <c r="AC57" s="45">
        <v>64.5</v>
      </c>
      <c r="AD57" s="45">
        <v>64.5</v>
      </c>
      <c r="AE57" s="45">
        <v>64.5</v>
      </c>
      <c r="AF57" s="45">
        <v>53</v>
      </c>
      <c r="AG57" s="54">
        <v>69</v>
      </c>
      <c r="AH57" s="47">
        <f t="shared" si="2"/>
        <v>65</v>
      </c>
      <c r="AI57" s="48">
        <f t="shared" si="3"/>
        <v>46</v>
      </c>
      <c r="AK57" s="50"/>
    </row>
    <row r="58" spans="1:41" x14ac:dyDescent="0.25">
      <c r="A58" s="53" t="s">
        <v>66</v>
      </c>
      <c r="B58" s="45">
        <v>59.8</v>
      </c>
      <c r="C58" s="45">
        <v>59.8</v>
      </c>
      <c r="D58" s="45">
        <v>59.8</v>
      </c>
      <c r="E58" s="45">
        <v>60.9</v>
      </c>
      <c r="F58" s="45">
        <v>60.9</v>
      </c>
      <c r="G58" s="45">
        <v>52</v>
      </c>
      <c r="H58" s="45">
        <v>60</v>
      </c>
      <c r="I58" s="45">
        <v>60</v>
      </c>
      <c r="J58" s="45">
        <v>60</v>
      </c>
      <c r="K58" s="45">
        <v>60</v>
      </c>
      <c r="L58" s="45">
        <v>60</v>
      </c>
      <c r="M58" s="45">
        <v>60</v>
      </c>
      <c r="N58" s="45">
        <v>60</v>
      </c>
      <c r="O58" s="45">
        <v>60</v>
      </c>
      <c r="P58" s="45">
        <v>60</v>
      </c>
      <c r="Q58" s="45">
        <v>29.5</v>
      </c>
      <c r="R58" s="45">
        <v>29.5</v>
      </c>
      <c r="S58" s="45">
        <v>29.5</v>
      </c>
      <c r="T58" s="45">
        <v>45.1</v>
      </c>
      <c r="U58" s="45">
        <v>45.1</v>
      </c>
      <c r="V58" s="45">
        <v>42.1</v>
      </c>
      <c r="W58" s="45">
        <v>42.1</v>
      </c>
      <c r="X58" s="45">
        <v>42.1</v>
      </c>
      <c r="Y58" s="45">
        <v>42.1</v>
      </c>
      <c r="Z58" s="45">
        <v>50</v>
      </c>
      <c r="AA58" s="45">
        <v>61.4</v>
      </c>
      <c r="AB58" s="45">
        <v>61.4</v>
      </c>
      <c r="AC58" s="45">
        <v>61.4</v>
      </c>
      <c r="AD58" s="45">
        <v>61.4</v>
      </c>
      <c r="AE58" s="45">
        <v>61.4</v>
      </c>
      <c r="AF58" s="45">
        <v>55</v>
      </c>
      <c r="AG58" s="54">
        <v>60</v>
      </c>
      <c r="AH58" s="47">
        <f t="shared" si="2"/>
        <v>61.4</v>
      </c>
      <c r="AI58" s="48">
        <f t="shared" si="3"/>
        <v>29.5</v>
      </c>
      <c r="AK58" s="50"/>
    </row>
    <row r="59" spans="1:41" x14ac:dyDescent="0.25">
      <c r="A59" s="53" t="s">
        <v>67</v>
      </c>
      <c r="B59" s="45">
        <v>30</v>
      </c>
      <c r="C59" s="45">
        <v>30</v>
      </c>
      <c r="D59" s="45">
        <v>30</v>
      </c>
      <c r="E59" s="45">
        <v>30</v>
      </c>
      <c r="F59" s="45">
        <v>30</v>
      </c>
      <c r="G59" s="45">
        <v>30</v>
      </c>
      <c r="H59" s="45">
        <v>30</v>
      </c>
      <c r="I59" s="45">
        <v>30</v>
      </c>
      <c r="J59" s="45">
        <v>30</v>
      </c>
      <c r="K59" s="45">
        <v>30</v>
      </c>
      <c r="L59" s="45">
        <v>30</v>
      </c>
      <c r="M59" s="45">
        <v>30</v>
      </c>
      <c r="N59" s="45">
        <v>30</v>
      </c>
      <c r="O59" s="45">
        <v>30</v>
      </c>
      <c r="P59" s="45">
        <v>30</v>
      </c>
      <c r="Q59" s="45">
        <v>30</v>
      </c>
      <c r="R59" s="45">
        <v>30</v>
      </c>
      <c r="S59" s="45">
        <v>30</v>
      </c>
      <c r="T59" s="45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30</v>
      </c>
      <c r="AK59" s="50"/>
    </row>
    <row r="60" spans="1:41" x14ac:dyDescent="0.25">
      <c r="A60" s="53" t="s">
        <v>68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7.9</v>
      </c>
      <c r="M60" s="45">
        <v>7.9</v>
      </c>
      <c r="N60" s="45">
        <v>7.9</v>
      </c>
      <c r="O60" s="45">
        <v>16.5</v>
      </c>
      <c r="P60" s="45">
        <v>16.5</v>
      </c>
      <c r="Q60" s="45">
        <v>18.899999999999999</v>
      </c>
      <c r="R60" s="45">
        <v>19.8</v>
      </c>
      <c r="S60" s="45">
        <v>19.8</v>
      </c>
      <c r="T60" s="45">
        <v>4.5</v>
      </c>
      <c r="U60" s="45">
        <v>4.5</v>
      </c>
      <c r="V60" s="45">
        <v>1.5</v>
      </c>
      <c r="W60" s="45">
        <v>1.5</v>
      </c>
      <c r="X60" s="45">
        <v>0.5</v>
      </c>
      <c r="Y60" s="45">
        <v>0.5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19.8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12</v>
      </c>
      <c r="Q61" s="64">
        <v>12</v>
      </c>
      <c r="R61" s="64">
        <v>12</v>
      </c>
      <c r="S61" s="64">
        <v>12</v>
      </c>
      <c r="T61" s="64">
        <v>12</v>
      </c>
      <c r="U61" s="64">
        <v>12</v>
      </c>
      <c r="V61" s="64">
        <v>12</v>
      </c>
      <c r="W61" s="64">
        <v>12</v>
      </c>
      <c r="X61" s="64">
        <v>12</v>
      </c>
      <c r="Y61" s="64">
        <v>12</v>
      </c>
      <c r="Z61" s="64">
        <v>12</v>
      </c>
      <c r="AA61" s="64">
        <v>12</v>
      </c>
      <c r="AB61" s="64">
        <v>12</v>
      </c>
      <c r="AC61" s="64">
        <v>12</v>
      </c>
      <c r="AD61" s="64">
        <v>12</v>
      </c>
      <c r="AE61" s="64">
        <v>12</v>
      </c>
      <c r="AF61" s="64">
        <v>12</v>
      </c>
      <c r="AG61" s="54">
        <v>24</v>
      </c>
      <c r="AH61" s="47">
        <f t="shared" si="2"/>
        <v>15</v>
      </c>
      <c r="AI61" s="48">
        <f t="shared" si="3"/>
        <v>12</v>
      </c>
      <c r="AK61" s="50"/>
    </row>
    <row r="62" spans="1:41" x14ac:dyDescent="0.25">
      <c r="A62" s="53" t="s">
        <v>70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4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9</v>
      </c>
      <c r="C63" s="64">
        <v>9</v>
      </c>
      <c r="D63" s="64">
        <v>9</v>
      </c>
      <c r="E63" s="64">
        <v>9</v>
      </c>
      <c r="F63" s="64">
        <v>9</v>
      </c>
      <c r="G63" s="64">
        <v>9</v>
      </c>
      <c r="H63" s="64">
        <v>9</v>
      </c>
      <c r="I63" s="64">
        <v>9</v>
      </c>
      <c r="J63" s="64">
        <v>9</v>
      </c>
      <c r="K63" s="64">
        <v>9</v>
      </c>
      <c r="L63" s="64">
        <v>8.8000000000000007</v>
      </c>
      <c r="M63" s="64">
        <v>8.8000000000000007</v>
      </c>
      <c r="N63" s="64">
        <v>8.8000000000000007</v>
      </c>
      <c r="O63" s="64">
        <v>9.8000000000000007</v>
      </c>
      <c r="P63" s="64">
        <v>9.8000000000000007</v>
      </c>
      <c r="Q63" s="64">
        <v>6.8</v>
      </c>
      <c r="R63" s="64">
        <v>6.8</v>
      </c>
      <c r="S63" s="64">
        <v>6.8</v>
      </c>
      <c r="T63" s="64">
        <v>10.5</v>
      </c>
      <c r="U63" s="64">
        <v>10.5</v>
      </c>
      <c r="V63" s="64">
        <v>10.5</v>
      </c>
      <c r="W63" s="64">
        <v>10.5</v>
      </c>
      <c r="X63" s="64">
        <v>8.9</v>
      </c>
      <c r="Y63" s="64">
        <v>8.9</v>
      </c>
      <c r="Z63" s="64">
        <v>8.9</v>
      </c>
      <c r="AA63" s="64">
        <v>11.2</v>
      </c>
      <c r="AB63" s="64">
        <v>11.2</v>
      </c>
      <c r="AC63" s="64">
        <v>11.2</v>
      </c>
      <c r="AD63" s="64">
        <v>11.2</v>
      </c>
      <c r="AE63" s="64">
        <v>11.2</v>
      </c>
      <c r="AF63" s="64">
        <v>11.2</v>
      </c>
      <c r="AG63" s="54">
        <v>14.1</v>
      </c>
      <c r="AH63" s="47">
        <f t="shared" si="2"/>
        <v>11.2</v>
      </c>
      <c r="AI63" s="48">
        <f t="shared" si="3"/>
        <v>6.8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</v>
      </c>
      <c r="C64" s="64">
        <v>13</v>
      </c>
      <c r="D64" s="64">
        <v>13</v>
      </c>
      <c r="E64" s="64">
        <v>3.9</v>
      </c>
      <c r="F64" s="64">
        <v>3.9</v>
      </c>
      <c r="G64" s="64">
        <v>14</v>
      </c>
      <c r="H64" s="64">
        <v>14</v>
      </c>
      <c r="I64" s="64">
        <v>3.9</v>
      </c>
      <c r="J64" s="64">
        <v>14</v>
      </c>
      <c r="K64" s="64">
        <v>7.9</v>
      </c>
      <c r="L64" s="64">
        <v>7.9</v>
      </c>
      <c r="M64" s="64">
        <v>7.9</v>
      </c>
      <c r="N64" s="64">
        <v>7.9</v>
      </c>
      <c r="O64" s="64">
        <v>10</v>
      </c>
      <c r="P64" s="64">
        <v>10</v>
      </c>
      <c r="Q64" s="64">
        <v>13.8</v>
      </c>
      <c r="R64" s="64">
        <v>13.8</v>
      </c>
      <c r="S64" s="64">
        <v>13.8</v>
      </c>
      <c r="T64" s="64">
        <v>13.8</v>
      </c>
      <c r="U64" s="64">
        <v>13.8</v>
      </c>
      <c r="V64" s="64">
        <v>13.8</v>
      </c>
      <c r="W64" s="64">
        <v>13.8</v>
      </c>
      <c r="X64" s="64">
        <v>13.8</v>
      </c>
      <c r="Y64" s="64">
        <v>13.8</v>
      </c>
      <c r="Z64" s="64">
        <v>13.8</v>
      </c>
      <c r="AA64" s="64">
        <v>13.8</v>
      </c>
      <c r="AB64" s="64">
        <v>13.8</v>
      </c>
      <c r="AC64" s="64">
        <v>13.8</v>
      </c>
      <c r="AD64" s="64">
        <v>13.8</v>
      </c>
      <c r="AE64" s="64">
        <v>13.8</v>
      </c>
      <c r="AF64" s="64">
        <v>13.8</v>
      </c>
      <c r="AG64" s="54">
        <v>14</v>
      </c>
      <c r="AH64" s="47">
        <f t="shared" si="2"/>
        <v>14</v>
      </c>
      <c r="AI64" s="48">
        <f t="shared" si="3"/>
        <v>3.9</v>
      </c>
      <c r="AK64" s="50"/>
    </row>
    <row r="65" spans="1:40" x14ac:dyDescent="0.25">
      <c r="A65" s="53" t="s">
        <v>73</v>
      </c>
      <c r="B65" s="64">
        <v>9.3000000000000007</v>
      </c>
      <c r="C65" s="64">
        <v>9.3000000000000007</v>
      </c>
      <c r="D65" s="64">
        <v>9.3000000000000007</v>
      </c>
      <c r="E65" s="64">
        <v>9.3000000000000007</v>
      </c>
      <c r="F65" s="64">
        <v>9.3000000000000007</v>
      </c>
      <c r="G65" s="64">
        <v>9.3000000000000007</v>
      </c>
      <c r="H65" s="64">
        <v>9.3000000000000007</v>
      </c>
      <c r="I65" s="64">
        <v>9.3000000000000007</v>
      </c>
      <c r="J65" s="64">
        <v>9.3000000000000007</v>
      </c>
      <c r="K65" s="64">
        <v>9.3000000000000007</v>
      </c>
      <c r="L65" s="64">
        <v>9.3000000000000007</v>
      </c>
      <c r="M65" s="64">
        <v>9.3000000000000007</v>
      </c>
      <c r="N65" s="64">
        <v>9.3000000000000007</v>
      </c>
      <c r="O65" s="64">
        <v>9.3000000000000007</v>
      </c>
      <c r="P65" s="64">
        <v>9.3000000000000007</v>
      </c>
      <c r="Q65" s="64">
        <v>9.3000000000000007</v>
      </c>
      <c r="R65" s="64">
        <v>9.3000000000000007</v>
      </c>
      <c r="S65" s="64">
        <v>9.3000000000000007</v>
      </c>
      <c r="T65" s="64">
        <v>9.3000000000000007</v>
      </c>
      <c r="U65" s="64">
        <v>9.3000000000000007</v>
      </c>
      <c r="V65" s="64">
        <v>9.3000000000000007</v>
      </c>
      <c r="W65" s="64">
        <v>9.3000000000000007</v>
      </c>
      <c r="X65" s="64">
        <v>9.3000000000000007</v>
      </c>
      <c r="Y65" s="64">
        <v>9.3000000000000007</v>
      </c>
      <c r="Z65" s="64">
        <v>9.3000000000000007</v>
      </c>
      <c r="AA65" s="64">
        <v>9.3000000000000007</v>
      </c>
      <c r="AB65" s="64">
        <v>9.3000000000000007</v>
      </c>
      <c r="AC65" s="64">
        <v>9.3000000000000007</v>
      </c>
      <c r="AD65" s="64">
        <v>9.3000000000000007</v>
      </c>
      <c r="AE65" s="64">
        <v>9.3000000000000007</v>
      </c>
      <c r="AF65" s="64">
        <v>9.3000000000000007</v>
      </c>
      <c r="AG65" s="54">
        <v>10.050000000000001</v>
      </c>
      <c r="AH65" s="47">
        <f t="shared" si="2"/>
        <v>9.3000000000000007</v>
      </c>
      <c r="AI65" s="48">
        <f t="shared" si="3"/>
        <v>9.3000000000000007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5">SUM(B55:B67)</f>
        <v>403.14000000000004</v>
      </c>
      <c r="C68" s="60">
        <f t="shared" si="15"/>
        <v>403.14000000000004</v>
      </c>
      <c r="D68" s="60">
        <f t="shared" ref="D68" si="16">SUM(D55:D67)</f>
        <v>403.14000000000004</v>
      </c>
      <c r="E68" s="60">
        <f t="shared" si="15"/>
        <v>415.14</v>
      </c>
      <c r="F68" s="60">
        <f t="shared" si="15"/>
        <v>415.14</v>
      </c>
      <c r="G68" s="60">
        <f t="shared" si="15"/>
        <v>416.34000000000003</v>
      </c>
      <c r="H68" s="60">
        <f t="shared" si="15"/>
        <v>424.34000000000003</v>
      </c>
      <c r="I68" s="60">
        <f t="shared" si="15"/>
        <v>416.04</v>
      </c>
      <c r="J68" s="60">
        <f t="shared" si="15"/>
        <v>426.14000000000004</v>
      </c>
      <c r="K68" s="60">
        <f t="shared" si="15"/>
        <v>420.04</v>
      </c>
      <c r="L68" s="60">
        <f t="shared" si="15"/>
        <v>424.84</v>
      </c>
      <c r="M68" s="60">
        <f t="shared" si="15"/>
        <v>424.84</v>
      </c>
      <c r="N68" s="60">
        <f t="shared" si="15"/>
        <v>424.84</v>
      </c>
      <c r="O68" s="60">
        <f t="shared" si="15"/>
        <v>435.34000000000003</v>
      </c>
      <c r="P68" s="60">
        <f t="shared" si="15"/>
        <v>432.34000000000003</v>
      </c>
      <c r="Q68" s="60">
        <f t="shared" si="15"/>
        <v>405.04</v>
      </c>
      <c r="R68" s="60">
        <f t="shared" si="15"/>
        <v>405.94000000000005</v>
      </c>
      <c r="S68" s="60">
        <f t="shared" si="15"/>
        <v>403.44000000000005</v>
      </c>
      <c r="T68" s="60">
        <f t="shared" ref="T68" si="17">SUM(T55:T67)</f>
        <v>396.74000000000007</v>
      </c>
      <c r="U68" s="60">
        <f t="shared" ref="U68:V68" si="18">SUM(U55:U67)</f>
        <v>396.74000000000007</v>
      </c>
      <c r="V68" s="60">
        <f t="shared" si="18"/>
        <v>342.54</v>
      </c>
      <c r="W68" s="60">
        <f t="shared" si="15"/>
        <v>342.84000000000003</v>
      </c>
      <c r="X68" s="60">
        <f t="shared" si="15"/>
        <v>340.64</v>
      </c>
      <c r="Y68" s="60">
        <f t="shared" ref="Y68:Z68" si="19">SUM(Y55:Y67)</f>
        <v>339.84000000000003</v>
      </c>
      <c r="Z68" s="60">
        <f t="shared" si="19"/>
        <v>392.84000000000003</v>
      </c>
      <c r="AA68" s="60">
        <v>423.84000000000003</v>
      </c>
      <c r="AB68" s="60">
        <f t="shared" si="15"/>
        <v>424.04</v>
      </c>
      <c r="AC68" s="60">
        <f t="shared" si="15"/>
        <v>424.04</v>
      </c>
      <c r="AD68" s="60">
        <f t="shared" si="15"/>
        <v>419.04</v>
      </c>
      <c r="AE68" s="60">
        <f t="shared" si="15"/>
        <v>419.04</v>
      </c>
      <c r="AF68" s="60">
        <f t="shared" si="15"/>
        <v>395.44</v>
      </c>
      <c r="AG68" s="61">
        <f t="shared" si="15"/>
        <v>489.91</v>
      </c>
      <c r="AH68" s="47">
        <f t="shared" si="2"/>
        <v>435.34000000000003</v>
      </c>
      <c r="AI68" s="48">
        <f t="shared" si="3"/>
        <v>339.84000000000003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/>
      <c r="O69" s="45"/>
      <c r="P69" s="45"/>
      <c r="Q69" s="45"/>
      <c r="R69" s="45"/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/>
      <c r="O70" s="64"/>
      <c r="P70" s="64"/>
      <c r="Q70" s="64"/>
      <c r="R70" s="64"/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66">
        <v>0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/>
      <c r="O71" s="66"/>
      <c r="P71" s="66"/>
      <c r="Q71" s="66"/>
      <c r="R71" s="66"/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 t="shared" ref="B72:C72" si="20">B69+B70+B71</f>
        <v>0</v>
      </c>
      <c r="C72" s="60">
        <f t="shared" si="20"/>
        <v>0</v>
      </c>
      <c r="D72" s="60">
        <f t="shared" ref="D72" si="21">D69+D70+D71</f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22">M69+M70+M71</f>
        <v>0</v>
      </c>
      <c r="N72" s="60">
        <f t="shared" si="22"/>
        <v>0</v>
      </c>
      <c r="O72" s="60">
        <f t="shared" si="22"/>
        <v>0</v>
      </c>
      <c r="P72" s="60">
        <f t="shared" si="22"/>
        <v>0</v>
      </c>
      <c r="Q72" s="60">
        <f t="shared" si="22"/>
        <v>0</v>
      </c>
      <c r="R72" s="60">
        <f t="shared" si="22"/>
        <v>0</v>
      </c>
      <c r="S72" s="60">
        <f t="shared" si="22"/>
        <v>0</v>
      </c>
      <c r="T72" s="60">
        <f t="shared" ref="T72" si="23">T69+T70+T71</f>
        <v>0</v>
      </c>
      <c r="U72" s="60">
        <f t="shared" ref="U72:V72" si="24">U69+U70+U71</f>
        <v>0</v>
      </c>
      <c r="V72" s="60">
        <f t="shared" si="24"/>
        <v>0</v>
      </c>
      <c r="W72" s="60">
        <f t="shared" si="22"/>
        <v>0</v>
      </c>
      <c r="X72" s="60">
        <f t="shared" si="22"/>
        <v>0</v>
      </c>
      <c r="Y72" s="60">
        <f t="shared" ref="Y72:Z72" si="25">Y69+Y70+Y71</f>
        <v>0</v>
      </c>
      <c r="Z72" s="60">
        <f t="shared" si="25"/>
        <v>0</v>
      </c>
      <c r="AA72" s="60">
        <v>0</v>
      </c>
      <c r="AB72" s="60">
        <f t="shared" si="22"/>
        <v>0</v>
      </c>
      <c r="AC72" s="60">
        <f t="shared" si="22"/>
        <v>0</v>
      </c>
      <c r="AD72" s="60">
        <f t="shared" si="22"/>
        <v>0</v>
      </c>
      <c r="AE72" s="60">
        <f t="shared" si="22"/>
        <v>0</v>
      </c>
      <c r="AF72" s="60">
        <f t="shared" si="22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-14.7</v>
      </c>
      <c r="C73" s="45">
        <v>-14.9</v>
      </c>
      <c r="D73" s="45">
        <v>-14.9</v>
      </c>
      <c r="E73" s="45">
        <v>-13.3</v>
      </c>
      <c r="F73" s="45">
        <v>-13.3</v>
      </c>
      <c r="G73" s="45">
        <v>-17</v>
      </c>
      <c r="H73" s="45">
        <v>-10</v>
      </c>
      <c r="I73" s="45">
        <v>-9.4</v>
      </c>
      <c r="J73" s="45">
        <v>-20</v>
      </c>
      <c r="K73" s="45">
        <v>-19</v>
      </c>
      <c r="L73" s="45">
        <v>-31</v>
      </c>
      <c r="M73" s="45">
        <v>-37</v>
      </c>
      <c r="N73" s="45">
        <v>-15</v>
      </c>
      <c r="O73" s="45">
        <v>26.8</v>
      </c>
      <c r="P73" s="45">
        <v>20</v>
      </c>
      <c r="Q73" s="45">
        <v>29.6</v>
      </c>
      <c r="R73" s="45">
        <v>25.9</v>
      </c>
      <c r="S73" s="45">
        <v>36.6</v>
      </c>
      <c r="T73" s="45">
        <v>29.9</v>
      </c>
      <c r="U73" s="45">
        <v>29.9</v>
      </c>
      <c r="V73" s="45">
        <v>5.0999999999999996</v>
      </c>
      <c r="W73" s="45">
        <v>5.0999999999999996</v>
      </c>
      <c r="X73" s="45">
        <v>-4.4000000000000004</v>
      </c>
      <c r="Y73" s="45">
        <v>-3.4</v>
      </c>
      <c r="Z73" s="45">
        <v>-12.5</v>
      </c>
      <c r="AA73" s="45">
        <v>-4.7</v>
      </c>
      <c r="AB73" s="45">
        <v>12.4</v>
      </c>
      <c r="AC73" s="45">
        <v>16.3</v>
      </c>
      <c r="AD73" s="45">
        <v>-6.69</v>
      </c>
      <c r="AE73" s="45">
        <v>-6.69</v>
      </c>
      <c r="AF73" s="45">
        <v>-3</v>
      </c>
      <c r="AG73" s="51"/>
      <c r="AH73" s="47">
        <f t="shared" si="2"/>
        <v>36.6</v>
      </c>
      <c r="AI73" s="48">
        <f t="shared" si="3"/>
        <v>-37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/>
      <c r="N74" s="64"/>
      <c r="O74" s="64"/>
      <c r="P74" s="64"/>
      <c r="Q74" s="64"/>
      <c r="R74" s="64"/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-340</v>
      </c>
      <c r="C75" s="64">
        <v>-359</v>
      </c>
      <c r="D75" s="64">
        <v>-345</v>
      </c>
      <c r="E75" s="64">
        <v>-336</v>
      </c>
      <c r="F75" s="64">
        <v>-360</v>
      </c>
      <c r="G75" s="64">
        <v>-398</v>
      </c>
      <c r="H75" s="64">
        <v>-429</v>
      </c>
      <c r="I75" s="64">
        <v>-468</v>
      </c>
      <c r="J75" s="64">
        <v>-470</v>
      </c>
      <c r="K75" s="64">
        <v>-410</v>
      </c>
      <c r="L75" s="64">
        <v>-425</v>
      </c>
      <c r="M75" s="64">
        <v>-420</v>
      </c>
      <c r="N75" s="64">
        <v>-362</v>
      </c>
      <c r="O75" s="64">
        <v>-339</v>
      </c>
      <c r="P75" s="64">
        <v>-348</v>
      </c>
      <c r="Q75" s="64">
        <v>-329</v>
      </c>
      <c r="R75" s="64">
        <v>-419</v>
      </c>
      <c r="S75" s="64">
        <v>-327</v>
      </c>
      <c r="T75" s="64">
        <v>-329.5</v>
      </c>
      <c r="U75" s="64">
        <v>-380</v>
      </c>
      <c r="V75" s="64">
        <v>-420.4</v>
      </c>
      <c r="W75" s="64">
        <v>-390</v>
      </c>
      <c r="X75" s="64">
        <v>-383.7</v>
      </c>
      <c r="Y75" s="64">
        <v>-380</v>
      </c>
      <c r="Z75" s="64">
        <v>-380.1</v>
      </c>
      <c r="AA75" s="64">
        <v>-361</v>
      </c>
      <c r="AB75" s="64">
        <v>-343.6</v>
      </c>
      <c r="AC75" s="64">
        <v>-349</v>
      </c>
      <c r="AD75" s="64">
        <v>-320</v>
      </c>
      <c r="AE75" s="64">
        <v>-339</v>
      </c>
      <c r="AF75" s="64">
        <v>-295</v>
      </c>
      <c r="AG75" s="74"/>
      <c r="AH75" s="47">
        <f t="shared" si="2"/>
        <v>-295</v>
      </c>
      <c r="AI75" s="48">
        <f t="shared" si="3"/>
        <v>-470</v>
      </c>
      <c r="AK75" s="50"/>
    </row>
    <row r="76" spans="1:40" x14ac:dyDescent="0.25">
      <c r="A76" s="53" t="s">
        <v>84</v>
      </c>
      <c r="B76" s="75">
        <v>0</v>
      </c>
      <c r="C76" s="75">
        <v>0</v>
      </c>
      <c r="D76" s="75">
        <v>0</v>
      </c>
      <c r="E76" s="75">
        <v>0</v>
      </c>
      <c r="F76" s="75">
        <v>0</v>
      </c>
      <c r="G76" s="75"/>
      <c r="H76" s="75">
        <v>0</v>
      </c>
      <c r="I76" s="75">
        <v>0</v>
      </c>
      <c r="J76" s="75">
        <v>0</v>
      </c>
      <c r="K76" s="75">
        <v>0</v>
      </c>
      <c r="L76" s="75">
        <v>0</v>
      </c>
      <c r="M76" s="75"/>
      <c r="N76" s="75"/>
      <c r="O76" s="75"/>
      <c r="P76" s="75"/>
      <c r="Q76" s="75"/>
      <c r="R76" s="75"/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/>
      <c r="H77" s="45"/>
      <c r="I77" s="45"/>
      <c r="J77" s="45"/>
      <c r="K77" s="45"/>
      <c r="L77" s="45">
        <v>0</v>
      </c>
      <c r="M77" s="45"/>
      <c r="N77" s="45"/>
      <c r="O77" s="45"/>
      <c r="P77" s="45"/>
      <c r="Q77" s="45"/>
      <c r="R77" s="45"/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26">MAX(B77:AF77)</f>
        <v>0</v>
      </c>
      <c r="AI77" s="48">
        <f t="shared" ref="AI77:AI120" si="27">MIN(B77:AF77)</f>
        <v>0</v>
      </c>
      <c r="AK77" s="50"/>
    </row>
    <row r="78" spans="1:40" x14ac:dyDescent="0.25">
      <c r="A78" s="53" t="s">
        <v>86</v>
      </c>
      <c r="B78" s="76">
        <v>0</v>
      </c>
      <c r="C78" s="76">
        <v>0</v>
      </c>
      <c r="D78" s="76">
        <v>0</v>
      </c>
      <c r="E78" s="76">
        <v>0</v>
      </c>
      <c r="F78" s="76">
        <v>0</v>
      </c>
      <c r="G78" s="76"/>
      <c r="H78" s="76"/>
      <c r="I78" s="76"/>
      <c r="J78" s="76"/>
      <c r="K78" s="76"/>
      <c r="L78" s="76">
        <v>0</v>
      </c>
      <c r="M78" s="76"/>
      <c r="N78" s="76"/>
      <c r="O78" s="76"/>
      <c r="P78" s="76"/>
      <c r="Q78" s="76"/>
      <c r="R78" s="76"/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74"/>
      <c r="AH78" s="47">
        <f t="shared" si="26"/>
        <v>0</v>
      </c>
      <c r="AI78" s="48">
        <f t="shared" si="27"/>
        <v>0</v>
      </c>
      <c r="AK78" s="50"/>
    </row>
    <row r="79" spans="1:40" ht="15.75" thickBot="1" x14ac:dyDescent="0.3">
      <c r="A79" s="53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/>
      <c r="H79" s="76"/>
      <c r="I79" s="76"/>
      <c r="J79" s="76"/>
      <c r="K79" s="76"/>
      <c r="L79" s="76">
        <v>0</v>
      </c>
      <c r="M79" s="76"/>
      <c r="N79" s="76"/>
      <c r="O79" s="76"/>
      <c r="P79" s="76"/>
      <c r="Q79" s="76"/>
      <c r="R79" s="76"/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26"/>
        <v>0</v>
      </c>
      <c r="AI79" s="48">
        <f t="shared" si="27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76">
        <v>0</v>
      </c>
      <c r="C80" s="76">
        <v>0</v>
      </c>
      <c r="D80" s="76">
        <v>0</v>
      </c>
      <c r="E80" s="76">
        <v>0</v>
      </c>
      <c r="F80" s="76">
        <v>0</v>
      </c>
      <c r="G80" s="76"/>
      <c r="H80" s="76"/>
      <c r="I80" s="76"/>
      <c r="J80" s="76"/>
      <c r="K80" s="76"/>
      <c r="L80" s="76">
        <v>0</v>
      </c>
      <c r="M80" s="76"/>
      <c r="N80" s="76"/>
      <c r="O80" s="76"/>
      <c r="P80" s="76"/>
      <c r="Q80" s="76"/>
      <c r="R80" s="76"/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26"/>
        <v>0</v>
      </c>
      <c r="AI80" s="48">
        <f t="shared" si="27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/>
      <c r="H81" s="76"/>
      <c r="I81" s="76"/>
      <c r="J81" s="76"/>
      <c r="K81" s="76"/>
      <c r="L81" s="76">
        <v>0</v>
      </c>
      <c r="M81" s="76"/>
      <c r="N81" s="76"/>
      <c r="O81" s="76"/>
      <c r="P81" s="76"/>
      <c r="Q81" s="76"/>
      <c r="R81" s="76"/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26"/>
        <v>0</v>
      </c>
      <c r="AI81" s="48">
        <f t="shared" si="27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/>
      <c r="H82" s="76"/>
      <c r="I82" s="76"/>
      <c r="J82" s="76"/>
      <c r="K82" s="76"/>
      <c r="L82" s="76">
        <v>0</v>
      </c>
      <c r="M82" s="76"/>
      <c r="N82" s="76"/>
      <c r="O82" s="76"/>
      <c r="P82" s="76"/>
      <c r="Q82" s="76"/>
      <c r="R82" s="76"/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26"/>
        <v>0</v>
      </c>
      <c r="AI82" s="48">
        <f t="shared" si="27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/>
      <c r="H83" s="76"/>
      <c r="I83" s="76"/>
      <c r="J83" s="76"/>
      <c r="K83" s="76"/>
      <c r="L83" s="76">
        <v>0</v>
      </c>
      <c r="M83" s="76"/>
      <c r="N83" s="76"/>
      <c r="O83" s="76"/>
      <c r="P83" s="76"/>
      <c r="Q83" s="76"/>
      <c r="R83" s="76"/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26"/>
        <v>0</v>
      </c>
      <c r="AI83" s="48">
        <f t="shared" si="27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28">SUMIF(B73:B83,"&gt;0")</f>
        <v>0</v>
      </c>
      <c r="C84" s="60">
        <f t="shared" si="28"/>
        <v>0</v>
      </c>
      <c r="D84" s="60">
        <f t="shared" ref="D84" si="29">SUMIF(D73:D83,"&gt;0")</f>
        <v>0</v>
      </c>
      <c r="E84" s="60">
        <f t="shared" si="28"/>
        <v>0</v>
      </c>
      <c r="F84" s="60">
        <f t="shared" si="28"/>
        <v>0</v>
      </c>
      <c r="G84" s="60">
        <f t="shared" si="28"/>
        <v>0</v>
      </c>
      <c r="H84" s="60">
        <f t="shared" si="28"/>
        <v>0</v>
      </c>
      <c r="I84" s="60">
        <f t="shared" si="28"/>
        <v>0</v>
      </c>
      <c r="J84" s="60">
        <f t="shared" si="28"/>
        <v>0</v>
      </c>
      <c r="K84" s="60">
        <f t="shared" si="28"/>
        <v>0</v>
      </c>
      <c r="L84" s="60">
        <f t="shared" si="28"/>
        <v>0</v>
      </c>
      <c r="M84" s="60">
        <f t="shared" si="28"/>
        <v>0</v>
      </c>
      <c r="N84" s="60">
        <f t="shared" si="28"/>
        <v>0</v>
      </c>
      <c r="O84" s="60">
        <f t="shared" si="28"/>
        <v>26.8</v>
      </c>
      <c r="P84" s="60">
        <f t="shared" si="28"/>
        <v>20</v>
      </c>
      <c r="Q84" s="60">
        <f t="shared" si="28"/>
        <v>29.6</v>
      </c>
      <c r="R84" s="60">
        <f t="shared" si="28"/>
        <v>25.9</v>
      </c>
      <c r="S84" s="60">
        <f t="shared" si="28"/>
        <v>36.6</v>
      </c>
      <c r="T84" s="60">
        <f t="shared" ref="T84" si="30">SUMIF(T73:T83,"&gt;0")</f>
        <v>29.9</v>
      </c>
      <c r="U84" s="60">
        <f t="shared" ref="U84:V84" si="31">SUMIF(U73:U83,"&gt;0")</f>
        <v>29.9</v>
      </c>
      <c r="V84" s="60">
        <f t="shared" si="31"/>
        <v>5.0999999999999996</v>
      </c>
      <c r="W84" s="60">
        <f t="shared" si="28"/>
        <v>5.0999999999999996</v>
      </c>
      <c r="X84" s="60">
        <f t="shared" si="28"/>
        <v>0</v>
      </c>
      <c r="Y84" s="60">
        <f t="shared" ref="Y84:Z84" si="32">SUMIF(Y73:Y83,"&gt;0")</f>
        <v>0</v>
      </c>
      <c r="Z84" s="60">
        <f t="shared" si="32"/>
        <v>0</v>
      </c>
      <c r="AA84" s="60">
        <v>0</v>
      </c>
      <c r="AB84" s="60">
        <f t="shared" si="28"/>
        <v>12.4</v>
      </c>
      <c r="AC84" s="60">
        <f t="shared" si="28"/>
        <v>16.3</v>
      </c>
      <c r="AD84" s="60">
        <f t="shared" si="28"/>
        <v>0</v>
      </c>
      <c r="AE84" s="60">
        <f t="shared" si="28"/>
        <v>0</v>
      </c>
      <c r="AF84" s="60">
        <f t="shared" si="28"/>
        <v>0</v>
      </c>
      <c r="AG84" s="87">
        <f>SUM(AG73:AG83)</f>
        <v>0</v>
      </c>
      <c r="AH84" s="47">
        <f t="shared" si="26"/>
        <v>36.6</v>
      </c>
      <c r="AI84" s="48">
        <f t="shared" si="27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/>
      <c r="F85" s="75"/>
      <c r="G85" s="75"/>
      <c r="H85" s="75"/>
      <c r="I85" s="75"/>
      <c r="J85" s="75"/>
      <c r="K85" s="75"/>
      <c r="L85" s="75">
        <v>0</v>
      </c>
      <c r="M85" s="75"/>
      <c r="N85" s="75"/>
      <c r="O85" s="75"/>
      <c r="P85" s="75"/>
      <c r="Q85" s="75"/>
      <c r="R85" s="75"/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26"/>
        <v>0</v>
      </c>
      <c r="AI85" s="48">
        <f t="shared" si="27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/>
      <c r="F86" s="76"/>
      <c r="G86" s="76"/>
      <c r="H86" s="76"/>
      <c r="I86" s="76"/>
      <c r="J86" s="76"/>
      <c r="K86" s="76"/>
      <c r="L86" s="76">
        <v>0</v>
      </c>
      <c r="M86" s="76"/>
      <c r="N86" s="76"/>
      <c r="O86" s="76"/>
      <c r="P86" s="76"/>
      <c r="Q86" s="76"/>
      <c r="R86" s="76"/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26"/>
        <v>0</v>
      </c>
      <c r="AI86" s="48">
        <f t="shared" si="27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/>
      <c r="F87" s="93"/>
      <c r="G87" s="93"/>
      <c r="H87" s="93"/>
      <c r="I87" s="93"/>
      <c r="J87" s="93"/>
      <c r="K87" s="93"/>
      <c r="L87" s="93">
        <v>0</v>
      </c>
      <c r="M87" s="93"/>
      <c r="N87" s="93"/>
      <c r="O87" s="93"/>
      <c r="P87" s="93"/>
      <c r="Q87" s="93"/>
      <c r="R87" s="93"/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26"/>
        <v>0</v>
      </c>
      <c r="AI87" s="48">
        <f t="shared" si="27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>
        <v>0</v>
      </c>
      <c r="Z88" s="60">
        <v>0</v>
      </c>
      <c r="AA88" s="60">
        <v>0</v>
      </c>
      <c r="AB88" s="60"/>
      <c r="AC88" s="60"/>
      <c r="AD88" s="60"/>
      <c r="AE88" s="60"/>
      <c r="AF88" s="60"/>
      <c r="AG88" s="87">
        <f>SUM(AG85:AG87)</f>
        <v>55.4</v>
      </c>
      <c r="AH88" s="47">
        <f t="shared" si="26"/>
        <v>0</v>
      </c>
      <c r="AI88" s="48">
        <f t="shared" si="27"/>
        <v>0</v>
      </c>
    </row>
    <row r="89" spans="1:40" ht="15.75" thickBot="1" x14ac:dyDescent="0.3">
      <c r="A89" s="73" t="s">
        <v>100</v>
      </c>
      <c r="B89" s="94">
        <f t="shared" ref="B89:AG89" si="33">B50+B54+B72+B68+B84+B88</f>
        <v>1940.64</v>
      </c>
      <c r="C89" s="94">
        <f t="shared" si="33"/>
        <v>1940.14</v>
      </c>
      <c r="D89" s="94">
        <f t="shared" ref="D89" si="34">D50+D54+D72+D68+D84+D88</f>
        <v>1928.64</v>
      </c>
      <c r="E89" s="94">
        <f t="shared" si="33"/>
        <v>1929.54</v>
      </c>
      <c r="F89" s="94">
        <f t="shared" si="33"/>
        <v>1946.54</v>
      </c>
      <c r="G89" s="94">
        <f t="shared" si="33"/>
        <v>1967.04</v>
      </c>
      <c r="H89" s="94">
        <f t="shared" si="33"/>
        <v>1962.2400000000002</v>
      </c>
      <c r="I89" s="94">
        <f t="shared" si="33"/>
        <v>1973.94</v>
      </c>
      <c r="J89" s="94">
        <f t="shared" si="33"/>
        <v>1984.84</v>
      </c>
      <c r="K89" s="94">
        <f t="shared" si="33"/>
        <v>1978.7399999999998</v>
      </c>
      <c r="L89" s="94">
        <f t="shared" si="33"/>
        <v>1961.6399999999999</v>
      </c>
      <c r="M89" s="94">
        <f t="shared" si="33"/>
        <v>1961.6399999999999</v>
      </c>
      <c r="N89" s="94">
        <f t="shared" si="33"/>
        <v>1914.54</v>
      </c>
      <c r="O89" s="94">
        <f t="shared" si="33"/>
        <v>1939.34</v>
      </c>
      <c r="P89" s="94">
        <f t="shared" si="33"/>
        <v>1929.54</v>
      </c>
      <c r="Q89" s="94">
        <f t="shared" si="33"/>
        <v>1938.4399999999998</v>
      </c>
      <c r="R89" s="94">
        <f t="shared" si="33"/>
        <v>1913.2400000000002</v>
      </c>
      <c r="S89" s="94">
        <f t="shared" si="33"/>
        <v>1921.44</v>
      </c>
      <c r="T89" s="94">
        <f t="shared" ref="T89" si="35">T50+T54+T72+T68+T84+T88</f>
        <v>1910.14</v>
      </c>
      <c r="U89" s="94">
        <f t="shared" ref="U89:V89" si="36">U50+U54+U72+U68+U84+U88</f>
        <v>1910.14</v>
      </c>
      <c r="V89" s="94">
        <f t="shared" si="36"/>
        <v>1863.1399999999999</v>
      </c>
      <c r="W89" s="94">
        <f t="shared" si="33"/>
        <v>1863.44</v>
      </c>
      <c r="X89" s="94">
        <f t="shared" si="33"/>
        <v>1873.9399999999996</v>
      </c>
      <c r="Y89" s="94">
        <f t="shared" ref="Y89:Z89" si="37">Y50+Y54+Y72+Y68+Y84+Y88</f>
        <v>1872.7399999999998</v>
      </c>
      <c r="Z89" s="94">
        <f t="shared" si="37"/>
        <v>1925.7399999999998</v>
      </c>
      <c r="AA89" s="94">
        <v>1952.7399999999998</v>
      </c>
      <c r="AB89" s="94">
        <f t="shared" si="33"/>
        <v>1978.6399999999999</v>
      </c>
      <c r="AC89" s="94">
        <f t="shared" si="33"/>
        <v>1978.5399999999997</v>
      </c>
      <c r="AD89" s="94">
        <f t="shared" si="33"/>
        <v>1932.2399999999998</v>
      </c>
      <c r="AE89" s="94">
        <f t="shared" si="33"/>
        <v>1897.34</v>
      </c>
      <c r="AF89" s="94">
        <f t="shared" si="33"/>
        <v>1868.74</v>
      </c>
      <c r="AG89" s="61">
        <f t="shared" si="33"/>
        <v>2111.5500000000002</v>
      </c>
      <c r="AH89" s="47">
        <f t="shared" si="26"/>
        <v>1984.84</v>
      </c>
      <c r="AI89" s="48">
        <f t="shared" si="27"/>
        <v>1863.1399999999999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26"/>
        <v>0</v>
      </c>
      <c r="AI90" s="48">
        <f t="shared" si="27"/>
        <v>0</v>
      </c>
    </row>
    <row r="91" spans="1:40" ht="15.75" thickBot="1" x14ac:dyDescent="0.3">
      <c r="A91" s="73" t="s">
        <v>102</v>
      </c>
      <c r="B91" s="94">
        <f t="shared" ref="B91:AF91" si="38">B89+B90</f>
        <v>1940.64</v>
      </c>
      <c r="C91" s="94">
        <f t="shared" si="38"/>
        <v>1940.14</v>
      </c>
      <c r="D91" s="94">
        <f t="shared" ref="D91" si="39">D89+D90</f>
        <v>1928.64</v>
      </c>
      <c r="E91" s="94">
        <f t="shared" si="38"/>
        <v>1929.54</v>
      </c>
      <c r="F91" s="94">
        <f t="shared" si="38"/>
        <v>1946.54</v>
      </c>
      <c r="G91" s="94">
        <f t="shared" si="38"/>
        <v>1967.04</v>
      </c>
      <c r="H91" s="94">
        <f t="shared" si="38"/>
        <v>1962.2400000000002</v>
      </c>
      <c r="I91" s="94">
        <f t="shared" si="38"/>
        <v>1973.94</v>
      </c>
      <c r="J91" s="94">
        <f t="shared" si="38"/>
        <v>1984.84</v>
      </c>
      <c r="K91" s="94">
        <f t="shared" si="38"/>
        <v>1978.7399999999998</v>
      </c>
      <c r="L91" s="94">
        <f t="shared" si="38"/>
        <v>1961.6399999999999</v>
      </c>
      <c r="M91" s="94">
        <f t="shared" si="38"/>
        <v>1961.6399999999999</v>
      </c>
      <c r="N91" s="94">
        <f t="shared" si="38"/>
        <v>1914.54</v>
      </c>
      <c r="O91" s="94">
        <f t="shared" si="38"/>
        <v>1939.34</v>
      </c>
      <c r="P91" s="94">
        <f t="shared" si="38"/>
        <v>1929.54</v>
      </c>
      <c r="Q91" s="94">
        <f t="shared" si="38"/>
        <v>1938.4399999999998</v>
      </c>
      <c r="R91" s="94">
        <f t="shared" si="38"/>
        <v>1913.2400000000002</v>
      </c>
      <c r="S91" s="94">
        <f t="shared" si="38"/>
        <v>1921.44</v>
      </c>
      <c r="T91" s="94">
        <f t="shared" ref="T91" si="40">T89+T90</f>
        <v>1910.14</v>
      </c>
      <c r="U91" s="94">
        <f t="shared" ref="U91:V91" si="41">U89+U90</f>
        <v>1910.14</v>
      </c>
      <c r="V91" s="94">
        <f t="shared" si="41"/>
        <v>1863.1399999999999</v>
      </c>
      <c r="W91" s="94">
        <f t="shared" si="38"/>
        <v>1863.44</v>
      </c>
      <c r="X91" s="94">
        <f t="shared" si="38"/>
        <v>1873.9399999999996</v>
      </c>
      <c r="Y91" s="94">
        <f t="shared" ref="Y91:Z91" si="42">Y89+Y90</f>
        <v>1872.7399999999998</v>
      </c>
      <c r="Z91" s="94">
        <f t="shared" si="42"/>
        <v>1925.7399999999998</v>
      </c>
      <c r="AA91" s="94">
        <v>1952.7399999999998</v>
      </c>
      <c r="AB91" s="94">
        <f t="shared" si="38"/>
        <v>1978.6399999999999</v>
      </c>
      <c r="AC91" s="94">
        <f t="shared" si="38"/>
        <v>1978.5399999999997</v>
      </c>
      <c r="AD91" s="94">
        <f t="shared" si="38"/>
        <v>1932.2399999999998</v>
      </c>
      <c r="AE91" s="94">
        <f t="shared" si="38"/>
        <v>1897.34</v>
      </c>
      <c r="AF91" s="94">
        <f t="shared" si="38"/>
        <v>1868.74</v>
      </c>
      <c r="AG91" s="87">
        <f>AG88+AG84+AG72+AG68+AG50+AG90</f>
        <v>1573.45</v>
      </c>
      <c r="AH91" s="47">
        <f t="shared" si="26"/>
        <v>1984.84</v>
      </c>
      <c r="AI91" s="48">
        <f t="shared" si="27"/>
        <v>1863.1399999999999</v>
      </c>
    </row>
    <row r="92" spans="1:40" ht="15.75" thickBot="1" x14ac:dyDescent="0.3">
      <c r="A92" s="73" t="s">
        <v>103</v>
      </c>
      <c r="B92" s="94">
        <f t="shared" ref="B92:AF92" si="43">B91-B99</f>
        <v>1940.64</v>
      </c>
      <c r="C92" s="94">
        <f t="shared" si="43"/>
        <v>1940.14</v>
      </c>
      <c r="D92" s="94">
        <f t="shared" ref="D92" si="44">D91-D99</f>
        <v>1928.64</v>
      </c>
      <c r="E92" s="94">
        <f t="shared" si="43"/>
        <v>1929.54</v>
      </c>
      <c r="F92" s="94">
        <f t="shared" si="43"/>
        <v>1946.54</v>
      </c>
      <c r="G92" s="94">
        <f t="shared" si="43"/>
        <v>1967.04</v>
      </c>
      <c r="H92" s="94">
        <f t="shared" si="43"/>
        <v>1962.2400000000002</v>
      </c>
      <c r="I92" s="94">
        <f t="shared" si="43"/>
        <v>1973.94</v>
      </c>
      <c r="J92" s="94">
        <f t="shared" si="43"/>
        <v>1984.84</v>
      </c>
      <c r="K92" s="94">
        <f t="shared" si="43"/>
        <v>1978.7399999999998</v>
      </c>
      <c r="L92" s="94">
        <f t="shared" si="43"/>
        <v>1961.6399999999999</v>
      </c>
      <c r="M92" s="94">
        <f t="shared" si="43"/>
        <v>1961.6399999999999</v>
      </c>
      <c r="N92" s="94">
        <f t="shared" si="43"/>
        <v>1914.54</v>
      </c>
      <c r="O92" s="94">
        <f t="shared" si="43"/>
        <v>1939.34</v>
      </c>
      <c r="P92" s="94">
        <f t="shared" si="43"/>
        <v>1929.54</v>
      </c>
      <c r="Q92" s="94">
        <f t="shared" si="43"/>
        <v>1938.4399999999998</v>
      </c>
      <c r="R92" s="94">
        <f t="shared" si="43"/>
        <v>1913.2400000000002</v>
      </c>
      <c r="S92" s="94">
        <f t="shared" si="43"/>
        <v>1921.44</v>
      </c>
      <c r="T92" s="94">
        <f t="shared" ref="T92" si="45">T91-T99</f>
        <v>1910.14</v>
      </c>
      <c r="U92" s="94">
        <f t="shared" ref="U92:V92" si="46">U91-U99</f>
        <v>1910.14</v>
      </c>
      <c r="V92" s="94">
        <f t="shared" si="46"/>
        <v>1863.1399999999999</v>
      </c>
      <c r="W92" s="94">
        <f t="shared" ref="W92" si="47">W91-W99</f>
        <v>1863.44</v>
      </c>
      <c r="X92" s="94">
        <f t="shared" si="43"/>
        <v>1873.9399999999996</v>
      </c>
      <c r="Y92" s="94">
        <f t="shared" ref="Y92:Z92" si="48">Y91-Y99</f>
        <v>1872.7399999999998</v>
      </c>
      <c r="Z92" s="94">
        <f t="shared" si="48"/>
        <v>1925.7399999999998</v>
      </c>
      <c r="AA92" s="94">
        <v>1952.7399999999998</v>
      </c>
      <c r="AB92" s="94">
        <f t="shared" si="43"/>
        <v>1978.6399999999999</v>
      </c>
      <c r="AC92" s="94">
        <f t="shared" si="43"/>
        <v>1978.5399999999997</v>
      </c>
      <c r="AD92" s="94">
        <f t="shared" si="43"/>
        <v>1932.2399999999998</v>
      </c>
      <c r="AE92" s="94">
        <f t="shared" si="43"/>
        <v>1897.34</v>
      </c>
      <c r="AF92" s="94">
        <f t="shared" si="43"/>
        <v>1868.74</v>
      </c>
      <c r="AG92" s="87"/>
      <c r="AH92" s="47">
        <f t="shared" si="26"/>
        <v>1984.84</v>
      </c>
      <c r="AI92" s="48">
        <f t="shared" si="27"/>
        <v>1863.1399999999999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/>
      <c r="F93" s="75"/>
      <c r="G93" s="75"/>
      <c r="H93" s="75"/>
      <c r="I93" s="75"/>
      <c r="J93" s="75"/>
      <c r="K93" s="75"/>
      <c r="L93" s="75">
        <v>0</v>
      </c>
      <c r="M93" s="75"/>
      <c r="N93" s="75"/>
      <c r="O93" s="75"/>
      <c r="P93" s="75"/>
      <c r="Q93" s="75"/>
      <c r="R93" s="75"/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26"/>
        <v>0</v>
      </c>
      <c r="AI93" s="48">
        <f t="shared" si="27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/>
      <c r="F94" s="75"/>
      <c r="G94" s="75"/>
      <c r="H94" s="75"/>
      <c r="I94" s="75"/>
      <c r="J94" s="75"/>
      <c r="K94" s="75"/>
      <c r="L94" s="75">
        <v>0</v>
      </c>
      <c r="M94" s="75"/>
      <c r="N94" s="75"/>
      <c r="O94" s="75"/>
      <c r="P94" s="75"/>
      <c r="Q94" s="75"/>
      <c r="R94" s="75"/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26"/>
        <v>0</v>
      </c>
      <c r="AI94" s="48">
        <f t="shared" si="27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/>
      <c r="F95" s="75"/>
      <c r="G95" s="75"/>
      <c r="H95" s="75"/>
      <c r="I95" s="75"/>
      <c r="J95" s="75"/>
      <c r="K95" s="75"/>
      <c r="L95" s="75">
        <v>0</v>
      </c>
      <c r="M95" s="75"/>
      <c r="N95" s="75"/>
      <c r="O95" s="75"/>
      <c r="P95" s="75"/>
      <c r="Q95" s="75"/>
      <c r="R95" s="75"/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26"/>
        <v>0</v>
      </c>
      <c r="AI95" s="48">
        <f t="shared" si="27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/>
      <c r="F96" s="75"/>
      <c r="G96" s="75"/>
      <c r="H96" s="75"/>
      <c r="I96" s="75"/>
      <c r="J96" s="75"/>
      <c r="K96" s="75"/>
      <c r="L96" s="75">
        <v>0</v>
      </c>
      <c r="M96" s="75"/>
      <c r="N96" s="75"/>
      <c r="O96" s="75"/>
      <c r="P96" s="75"/>
      <c r="Q96" s="75"/>
      <c r="R96" s="75"/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26"/>
        <v>0</v>
      </c>
      <c r="AI96" s="48">
        <f t="shared" si="27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/>
      <c r="F97" s="75"/>
      <c r="G97" s="75"/>
      <c r="H97" s="75"/>
      <c r="I97" s="75"/>
      <c r="J97" s="75"/>
      <c r="K97" s="75"/>
      <c r="L97" s="75">
        <v>0</v>
      </c>
      <c r="M97" s="75"/>
      <c r="N97" s="75"/>
      <c r="O97" s="75"/>
      <c r="P97" s="75"/>
      <c r="Q97" s="75"/>
      <c r="R97" s="75"/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26"/>
        <v>0</v>
      </c>
      <c r="AI97" s="48">
        <f t="shared" si="27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/>
      <c r="F98" s="93"/>
      <c r="G98" s="93"/>
      <c r="H98" s="93"/>
      <c r="I98" s="93"/>
      <c r="J98" s="93"/>
      <c r="K98" s="93"/>
      <c r="L98" s="93">
        <v>0</v>
      </c>
      <c r="M98" s="93"/>
      <c r="N98" s="93"/>
      <c r="O98" s="93"/>
      <c r="P98" s="93"/>
      <c r="Q98" s="93"/>
      <c r="R98" s="93"/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26"/>
        <v>0</v>
      </c>
      <c r="AI98" s="48">
        <f t="shared" si="27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26"/>
        <v>0</v>
      </c>
      <c r="AI99" s="48">
        <f t="shared" si="27"/>
        <v>0</v>
      </c>
      <c r="AK99" s="50"/>
    </row>
    <row r="100" spans="1:37" ht="15.75" thickBot="1" x14ac:dyDescent="0.3">
      <c r="A100" s="73" t="s">
        <v>108</v>
      </c>
      <c r="B100" s="60">
        <f t="shared" ref="B100:AF100" si="49">B84-B99</f>
        <v>0</v>
      </c>
      <c r="C100" s="60">
        <f t="shared" si="49"/>
        <v>0</v>
      </c>
      <c r="D100" s="60">
        <f t="shared" si="49"/>
        <v>0</v>
      </c>
      <c r="E100" s="60">
        <f t="shared" si="49"/>
        <v>0</v>
      </c>
      <c r="F100" s="60">
        <f t="shared" si="49"/>
        <v>0</v>
      </c>
      <c r="G100" s="60">
        <f t="shared" si="49"/>
        <v>0</v>
      </c>
      <c r="H100" s="60">
        <f t="shared" si="49"/>
        <v>0</v>
      </c>
      <c r="I100" s="60">
        <f t="shared" si="49"/>
        <v>0</v>
      </c>
      <c r="J100" s="60">
        <f t="shared" si="49"/>
        <v>0</v>
      </c>
      <c r="K100" s="60">
        <f t="shared" si="49"/>
        <v>0</v>
      </c>
      <c r="L100" s="60">
        <f t="shared" si="49"/>
        <v>0</v>
      </c>
      <c r="M100" s="60">
        <f t="shared" si="49"/>
        <v>0</v>
      </c>
      <c r="N100" s="60">
        <f t="shared" si="49"/>
        <v>0</v>
      </c>
      <c r="O100" s="60">
        <f t="shared" si="49"/>
        <v>26.8</v>
      </c>
      <c r="P100" s="60">
        <f t="shared" si="49"/>
        <v>20</v>
      </c>
      <c r="Q100" s="60">
        <f t="shared" si="49"/>
        <v>29.6</v>
      </c>
      <c r="R100" s="60">
        <f t="shared" si="49"/>
        <v>25.9</v>
      </c>
      <c r="S100" s="60">
        <f t="shared" si="49"/>
        <v>36.6</v>
      </c>
      <c r="T100" s="60">
        <f t="shared" ref="T100" si="50">T84-T99</f>
        <v>29.9</v>
      </c>
      <c r="U100" s="60">
        <f t="shared" ref="U100:V100" si="51">U84-U99</f>
        <v>29.9</v>
      </c>
      <c r="V100" s="60">
        <f t="shared" si="51"/>
        <v>5.0999999999999996</v>
      </c>
      <c r="W100" s="60">
        <f t="shared" si="49"/>
        <v>5.0999999999999996</v>
      </c>
      <c r="X100" s="60">
        <f t="shared" si="49"/>
        <v>0</v>
      </c>
      <c r="Y100" s="60">
        <f t="shared" ref="Y100:Z100" si="52">Y84-Y99</f>
        <v>0</v>
      </c>
      <c r="Z100" s="60">
        <f t="shared" si="52"/>
        <v>0</v>
      </c>
      <c r="AA100" s="60">
        <v>0</v>
      </c>
      <c r="AB100" s="60">
        <f t="shared" si="49"/>
        <v>12.4</v>
      </c>
      <c r="AC100" s="60">
        <f t="shared" si="49"/>
        <v>16.3</v>
      </c>
      <c r="AD100" s="60">
        <f t="shared" si="49"/>
        <v>0</v>
      </c>
      <c r="AE100" s="60">
        <f t="shared" si="49"/>
        <v>0</v>
      </c>
      <c r="AF100" s="60">
        <f t="shared" si="49"/>
        <v>0</v>
      </c>
      <c r="AG100" s="87"/>
      <c r="AH100" s="47">
        <f t="shared" si="26"/>
        <v>36.6</v>
      </c>
      <c r="AI100" s="48">
        <f t="shared" si="27"/>
        <v>0</v>
      </c>
    </row>
    <row r="101" spans="1:37" x14ac:dyDescent="0.25">
      <c r="A101" s="99" t="s">
        <v>109</v>
      </c>
      <c r="B101" s="100">
        <v>50.037999999999997</v>
      </c>
      <c r="C101" s="100">
        <v>50.000999999999998</v>
      </c>
      <c r="D101" s="100">
        <v>50.005000000000003</v>
      </c>
      <c r="E101" s="100">
        <v>50</v>
      </c>
      <c r="F101" s="100">
        <v>49.970999999999997</v>
      </c>
      <c r="G101" s="100">
        <v>49.95</v>
      </c>
      <c r="H101" s="100">
        <v>49.886000000000003</v>
      </c>
      <c r="I101" s="100">
        <v>49.921999999999997</v>
      </c>
      <c r="J101" s="100">
        <v>49.923999999999999</v>
      </c>
      <c r="K101" s="100">
        <v>50.033999999999999</v>
      </c>
      <c r="L101" s="100">
        <v>50.033999999999999</v>
      </c>
      <c r="M101" s="100">
        <v>50.031999999999996</v>
      </c>
      <c r="N101" s="100">
        <v>50.024999999999999</v>
      </c>
      <c r="O101" s="100">
        <v>49.982999999999997</v>
      </c>
      <c r="P101" s="100">
        <v>49.982999999999997</v>
      </c>
      <c r="Q101" s="100">
        <v>50.005000000000003</v>
      </c>
      <c r="R101" s="100">
        <v>49.96</v>
      </c>
      <c r="S101" s="100">
        <v>50.04</v>
      </c>
      <c r="T101" s="100">
        <v>49.93</v>
      </c>
      <c r="U101" s="100">
        <v>49.93</v>
      </c>
      <c r="V101" s="100">
        <v>50.07</v>
      </c>
      <c r="W101" s="100">
        <v>50.03</v>
      </c>
      <c r="X101" s="100">
        <v>50.05</v>
      </c>
      <c r="Y101" s="100">
        <v>50.109000000000002</v>
      </c>
      <c r="Z101" s="100">
        <v>50.04</v>
      </c>
      <c r="AA101" s="100">
        <v>49.96</v>
      </c>
      <c r="AB101" s="100">
        <v>50.017000000000003</v>
      </c>
      <c r="AC101" s="100">
        <v>50.048999999999999</v>
      </c>
      <c r="AD101" s="100">
        <v>50.05</v>
      </c>
      <c r="AE101" s="100">
        <v>50.076000000000001</v>
      </c>
      <c r="AF101" s="100">
        <v>50.064999999999998</v>
      </c>
      <c r="AG101" s="101"/>
      <c r="AH101" s="47">
        <f t="shared" si="26"/>
        <v>50.109000000000002</v>
      </c>
      <c r="AI101" s="48">
        <f t="shared" si="27"/>
        <v>49.886000000000003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26"/>
        <v>0</v>
      </c>
      <c r="AI102" s="48">
        <f t="shared" si="27"/>
        <v>0</v>
      </c>
    </row>
    <row r="103" spans="1:37" x14ac:dyDescent="0.25">
      <c r="A103" s="102" t="s">
        <v>111</v>
      </c>
      <c r="B103" s="64">
        <v>131.5</v>
      </c>
      <c r="C103" s="64">
        <v>131.5</v>
      </c>
      <c r="D103" s="64">
        <v>127.4</v>
      </c>
      <c r="E103" s="64">
        <v>127.9</v>
      </c>
      <c r="F103" s="64">
        <v>127.6</v>
      </c>
      <c r="G103" s="64">
        <v>128.30000000000001</v>
      </c>
      <c r="H103" s="64">
        <v>128.30000000000001</v>
      </c>
      <c r="I103" s="64">
        <v>127.6</v>
      </c>
      <c r="J103" s="64">
        <v>126.3</v>
      </c>
      <c r="K103" s="64">
        <v>128.30000000000001</v>
      </c>
      <c r="L103" s="64">
        <v>128.30000000000001</v>
      </c>
      <c r="M103" s="64">
        <v>128.30000000000001</v>
      </c>
      <c r="N103" s="64">
        <v>125.1</v>
      </c>
      <c r="O103" s="64">
        <v>126.8</v>
      </c>
      <c r="P103" s="64">
        <v>126.8</v>
      </c>
      <c r="Q103" s="64">
        <v>125.1</v>
      </c>
      <c r="R103" s="64">
        <v>126.8</v>
      </c>
      <c r="S103" s="64">
        <v>126.9</v>
      </c>
      <c r="T103" s="64">
        <v>127.5</v>
      </c>
      <c r="U103" s="64">
        <v>127.5</v>
      </c>
      <c r="V103" s="64">
        <v>129.19999999999999</v>
      </c>
      <c r="W103" s="64">
        <v>128.9</v>
      </c>
      <c r="X103" s="64">
        <v>129.1</v>
      </c>
      <c r="Y103" s="64">
        <v>129.30000000000001</v>
      </c>
      <c r="Z103" s="64">
        <v>128.9</v>
      </c>
      <c r="AA103" s="64">
        <v>128.69999999999999</v>
      </c>
      <c r="AB103" s="64">
        <v>128.5</v>
      </c>
      <c r="AC103" s="64">
        <v>129.5</v>
      </c>
      <c r="AD103" s="64">
        <v>129.30000000000001</v>
      </c>
      <c r="AE103" s="64">
        <v>130.6</v>
      </c>
      <c r="AF103" s="64">
        <v>129.19999999999999</v>
      </c>
      <c r="AG103" s="103"/>
      <c r="AH103" s="47">
        <f t="shared" si="26"/>
        <v>131.5</v>
      </c>
      <c r="AI103" s="48">
        <f t="shared" si="27"/>
        <v>125.1</v>
      </c>
    </row>
    <row r="104" spans="1:37" x14ac:dyDescent="0.25">
      <c r="A104" s="102" t="s">
        <v>112</v>
      </c>
      <c r="B104" s="64">
        <v>129.69999999999999</v>
      </c>
      <c r="C104" s="64">
        <v>129.69999999999999</v>
      </c>
      <c r="D104" s="64">
        <v>128.5</v>
      </c>
      <c r="E104" s="64">
        <v>129.9</v>
      </c>
      <c r="F104" s="64">
        <v>123.7</v>
      </c>
      <c r="G104" s="64">
        <v>131.1</v>
      </c>
      <c r="H104" s="64">
        <v>129.19999999999999</v>
      </c>
      <c r="I104" s="64">
        <v>130</v>
      </c>
      <c r="J104" s="64">
        <v>128.30000000000001</v>
      </c>
      <c r="K104" s="64">
        <v>127.8</v>
      </c>
      <c r="L104" s="64">
        <v>127.8</v>
      </c>
      <c r="M104" s="64">
        <v>127.8</v>
      </c>
      <c r="N104" s="64">
        <v>128.30000000000001</v>
      </c>
      <c r="O104" s="64">
        <v>130.4</v>
      </c>
      <c r="P104" s="64">
        <v>130.4</v>
      </c>
      <c r="Q104" s="64">
        <v>129.80000000000001</v>
      </c>
      <c r="R104" s="64">
        <v>130.5</v>
      </c>
      <c r="S104" s="64">
        <v>128.69999999999999</v>
      </c>
      <c r="T104" s="64">
        <v>130.19999999999999</v>
      </c>
      <c r="U104" s="64" t="s">
        <v>259</v>
      </c>
      <c r="V104" s="64">
        <v>130.69999999999999</v>
      </c>
      <c r="W104" s="64">
        <v>132.1</v>
      </c>
      <c r="X104" s="64">
        <v>129.4</v>
      </c>
      <c r="Y104" s="64">
        <v>129.30000000000001</v>
      </c>
      <c r="Z104" s="64">
        <v>129.9</v>
      </c>
      <c r="AA104" s="64">
        <v>126.8</v>
      </c>
      <c r="AB104" s="64">
        <v>130.4</v>
      </c>
      <c r="AC104" s="64">
        <v>128.30000000000001</v>
      </c>
      <c r="AD104" s="64">
        <v>129.19999999999999</v>
      </c>
      <c r="AE104" s="64">
        <v>130.1</v>
      </c>
      <c r="AF104" s="64">
        <v>125.8</v>
      </c>
      <c r="AG104" s="103"/>
      <c r="AH104" s="47">
        <f t="shared" si="26"/>
        <v>132.1</v>
      </c>
      <c r="AI104" s="48">
        <f t="shared" si="27"/>
        <v>123.7</v>
      </c>
    </row>
    <row r="105" spans="1:37" x14ac:dyDescent="0.25">
      <c r="A105" s="104" t="s">
        <v>113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3"/>
      <c r="AH105" s="47">
        <f t="shared" si="26"/>
        <v>0</v>
      </c>
      <c r="AI105" s="48">
        <f t="shared" si="27"/>
        <v>0</v>
      </c>
    </row>
    <row r="106" spans="1:37" x14ac:dyDescent="0.25">
      <c r="A106" s="104" t="s">
        <v>114</v>
      </c>
      <c r="B106" s="105">
        <v>135.19999999999999</v>
      </c>
      <c r="C106" s="105">
        <v>135.19999999999999</v>
      </c>
      <c r="D106" s="105">
        <v>132.4</v>
      </c>
      <c r="E106" s="105">
        <v>131.80000000000001</v>
      </c>
      <c r="F106" s="105">
        <v>133</v>
      </c>
      <c r="G106" s="105">
        <v>131.4</v>
      </c>
      <c r="H106" s="105">
        <v>133.80000000000001</v>
      </c>
      <c r="I106" s="105">
        <v>128.80000000000001</v>
      </c>
      <c r="J106" s="105">
        <v>133.6</v>
      </c>
      <c r="K106" s="105">
        <v>132.4</v>
      </c>
      <c r="L106" s="105">
        <v>132.4</v>
      </c>
      <c r="M106" s="105">
        <v>132.4</v>
      </c>
      <c r="N106" s="105">
        <v>126.8</v>
      </c>
      <c r="O106" s="105">
        <v>133.69999999999999</v>
      </c>
      <c r="P106" s="105">
        <v>133.69999999999999</v>
      </c>
      <c r="Q106" s="105">
        <v>133</v>
      </c>
      <c r="R106" s="105">
        <v>131.9</v>
      </c>
      <c r="S106" s="105">
        <v>130.80000000000001</v>
      </c>
      <c r="T106" s="105">
        <v>135.30000000000001</v>
      </c>
      <c r="U106" s="105">
        <v>135.30000000000001</v>
      </c>
      <c r="V106" s="105">
        <v>133.30000000000001</v>
      </c>
      <c r="W106" s="105">
        <v>132.1</v>
      </c>
      <c r="X106" s="105">
        <v>130.30000000000001</v>
      </c>
      <c r="Y106" s="105">
        <v>130.69999999999999</v>
      </c>
      <c r="Z106" s="105">
        <v>131.19999999999999</v>
      </c>
      <c r="AA106" s="105">
        <v>133.80000000000001</v>
      </c>
      <c r="AB106" s="105">
        <v>132.1</v>
      </c>
      <c r="AC106" s="105">
        <v>131.6</v>
      </c>
      <c r="AD106" s="105">
        <v>130.69999999999999</v>
      </c>
      <c r="AE106" s="105">
        <v>134.30000000000001</v>
      </c>
      <c r="AF106" s="105">
        <v>129</v>
      </c>
      <c r="AG106" s="106"/>
      <c r="AH106" s="47">
        <f t="shared" si="26"/>
        <v>135.30000000000001</v>
      </c>
      <c r="AI106" s="48">
        <f t="shared" si="27"/>
        <v>126.8</v>
      </c>
    </row>
    <row r="107" spans="1:37" x14ac:dyDescent="0.25">
      <c r="A107" s="102" t="s">
        <v>115</v>
      </c>
      <c r="B107" s="64">
        <v>128</v>
      </c>
      <c r="C107" s="64">
        <v>128</v>
      </c>
      <c r="D107" s="64">
        <v>128</v>
      </c>
      <c r="E107" s="64">
        <v>129.69999999999999</v>
      </c>
      <c r="F107" s="64">
        <v>130.69999999999999</v>
      </c>
      <c r="G107" s="64">
        <v>128.4</v>
      </c>
      <c r="H107" s="64">
        <v>133</v>
      </c>
      <c r="I107" s="64">
        <v>122.7</v>
      </c>
      <c r="J107" s="64">
        <v>131.30000000000001</v>
      </c>
      <c r="K107" s="64">
        <v>128.6</v>
      </c>
      <c r="L107" s="64">
        <v>128.6</v>
      </c>
      <c r="M107" s="64">
        <v>128.6</v>
      </c>
      <c r="N107" s="64">
        <v>127.3</v>
      </c>
      <c r="O107" s="64">
        <v>134.5</v>
      </c>
      <c r="P107" s="64">
        <v>134.5</v>
      </c>
      <c r="Q107" s="64">
        <v>130.9</v>
      </c>
      <c r="R107" s="64">
        <v>131.6</v>
      </c>
      <c r="S107" s="64">
        <v>130.4</v>
      </c>
      <c r="T107" s="64">
        <v>127.7</v>
      </c>
      <c r="U107" s="64">
        <v>127.7</v>
      </c>
      <c r="V107" s="64">
        <v>131</v>
      </c>
      <c r="W107" s="64">
        <v>130.80000000000001</v>
      </c>
      <c r="X107" s="64">
        <v>132.6</v>
      </c>
      <c r="Y107" s="64">
        <v>130.4</v>
      </c>
      <c r="Z107" s="64">
        <v>130.9</v>
      </c>
      <c r="AA107" s="64">
        <v>124.2</v>
      </c>
      <c r="AB107" s="64">
        <v>126.9</v>
      </c>
      <c r="AC107" s="64">
        <v>127.4</v>
      </c>
      <c r="AD107" s="64">
        <v>130.4</v>
      </c>
      <c r="AE107" s="64">
        <v>134.6</v>
      </c>
      <c r="AF107" s="64">
        <v>123.1</v>
      </c>
      <c r="AG107" s="103"/>
      <c r="AH107" s="47">
        <f t="shared" si="26"/>
        <v>134.6</v>
      </c>
      <c r="AI107" s="48">
        <f t="shared" si="27"/>
        <v>122.7</v>
      </c>
    </row>
    <row r="108" spans="1:37" ht="15.75" thickBot="1" x14ac:dyDescent="0.3">
      <c r="A108" s="102" t="s">
        <v>116</v>
      </c>
      <c r="B108" s="91">
        <v>66.099999999999994</v>
      </c>
      <c r="C108" s="91">
        <v>66.099999999999994</v>
      </c>
      <c r="D108" s="91">
        <v>63.7</v>
      </c>
      <c r="E108" s="91">
        <v>64.3</v>
      </c>
      <c r="F108" s="91">
        <v>64</v>
      </c>
      <c r="G108" s="91">
        <v>64.5</v>
      </c>
      <c r="H108" s="91">
        <v>64.5</v>
      </c>
      <c r="I108" s="91">
        <v>64.099999999999994</v>
      </c>
      <c r="J108" s="91">
        <v>63.5</v>
      </c>
      <c r="K108" s="91">
        <v>64.5</v>
      </c>
      <c r="L108" s="91">
        <v>64.5</v>
      </c>
      <c r="M108" s="91">
        <v>64.5</v>
      </c>
      <c r="N108" s="91">
        <v>62.5</v>
      </c>
      <c r="O108" s="91">
        <v>63.4</v>
      </c>
      <c r="P108" s="91">
        <v>63.4</v>
      </c>
      <c r="Q108" s="91">
        <v>62.9</v>
      </c>
      <c r="R108" s="91">
        <v>63.6</v>
      </c>
      <c r="S108" s="91">
        <v>63.5</v>
      </c>
      <c r="T108" s="91">
        <v>63.8</v>
      </c>
      <c r="U108" s="91">
        <v>63.8</v>
      </c>
      <c r="V108" s="91">
        <v>64.599999999999994</v>
      </c>
      <c r="W108" s="91">
        <v>64.400000000000006</v>
      </c>
      <c r="X108" s="91">
        <v>64.7</v>
      </c>
      <c r="Y108" s="91">
        <v>64.7</v>
      </c>
      <c r="Z108" s="91">
        <v>64.7</v>
      </c>
      <c r="AA108" s="91">
        <v>64.7</v>
      </c>
      <c r="AB108" s="91">
        <v>64.7</v>
      </c>
      <c r="AC108" s="91">
        <v>65.2</v>
      </c>
      <c r="AD108" s="91">
        <v>64.8</v>
      </c>
      <c r="AE108" s="91">
        <v>65.3</v>
      </c>
      <c r="AF108" s="91">
        <v>64.8</v>
      </c>
      <c r="AG108" s="107"/>
      <c r="AH108" s="47">
        <f t="shared" si="26"/>
        <v>66.099999999999994</v>
      </c>
      <c r="AI108" s="48">
        <f t="shared" si="27"/>
        <v>62.5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 t="s">
        <v>117</v>
      </c>
      <c r="Z109" s="91" t="s">
        <v>117</v>
      </c>
      <c r="AA109" s="91" t="s">
        <v>117</v>
      </c>
      <c r="AB109" s="91"/>
      <c r="AC109" s="91"/>
      <c r="AD109" s="91"/>
      <c r="AE109" s="91"/>
      <c r="AF109" s="91"/>
      <c r="AG109" s="107"/>
      <c r="AH109" s="47">
        <f t="shared" si="26"/>
        <v>0</v>
      </c>
      <c r="AI109" s="48">
        <f t="shared" si="27"/>
        <v>0</v>
      </c>
    </row>
    <row r="110" spans="1:37" ht="15.75" thickBot="1" x14ac:dyDescent="0.3">
      <c r="A110" s="109" t="s">
        <v>118</v>
      </c>
      <c r="B110" s="110">
        <f t="shared" ref="B110:O110" si="53">SUM(B20,B26,B29:B30,B58,B60:B61,B63,B65,B111:B115,B138,B144,B150,B159,B161,B173,B180,B183:B184,B191,B193,B195,B199:B201,B203:B205,B210,B216:B217,B219:B221,B229,B234)</f>
        <v>33.60000000000003</v>
      </c>
      <c r="C110" s="110">
        <f t="shared" ref="C110:D110" si="54">SUM(C20,C26,C29:C30,C58,C60:C61,C63,C65,C111:C115,C138,C144,C150,C159,C161,C173,C180,C183:C184,C191,C193,C195,C199:C201,C203:C205,C210,C216:C217,C219:C221,C229,C234)</f>
        <v>34.540000000000028</v>
      </c>
      <c r="D110" s="110">
        <f t="shared" si="54"/>
        <v>26.840000000000046</v>
      </c>
      <c r="E110" s="110">
        <f t="shared" si="53"/>
        <v>31.04000000000002</v>
      </c>
      <c r="F110" s="110">
        <f t="shared" si="53"/>
        <v>33.740000000000016</v>
      </c>
      <c r="G110" s="110">
        <f t="shared" si="53"/>
        <v>58.340000000000032</v>
      </c>
      <c r="H110" s="110">
        <f t="shared" si="53"/>
        <v>87.340000000000032</v>
      </c>
      <c r="I110" s="110">
        <f t="shared" si="53"/>
        <v>129.73999999999998</v>
      </c>
      <c r="J110" s="110">
        <f t="shared" si="53"/>
        <v>134.24</v>
      </c>
      <c r="K110" s="110">
        <f t="shared" si="53"/>
        <v>145.94</v>
      </c>
      <c r="L110" s="110">
        <f t="shared" si="53"/>
        <v>152.74000000000007</v>
      </c>
      <c r="M110" s="110">
        <f t="shared" si="53"/>
        <v>146.84000000000003</v>
      </c>
      <c r="N110" s="110">
        <f t="shared" si="53"/>
        <v>130.04000000000002</v>
      </c>
      <c r="O110" s="110">
        <f t="shared" si="53"/>
        <v>171.94</v>
      </c>
      <c r="P110" s="110">
        <v>42</v>
      </c>
      <c r="Q110" s="110">
        <f t="shared" ref="Q110:AF110" si="55">SUM(Q20,Q26,Q29:Q30,Q58,Q60:Q61,Q63,Q65,Q111:Q115,Q138,Q144,Q150,Q159,Q161,Q173,Q180,Q183:Q184,Q191,Q193,Q195,Q199:Q201,Q203:Q205,Q210,Q216:Q217,Q219:Q221,Q229,Q234)</f>
        <v>151.80000000000001</v>
      </c>
      <c r="R110" s="110">
        <f t="shared" si="55"/>
        <v>151.19999999999999</v>
      </c>
      <c r="S110" s="110">
        <f t="shared" si="55"/>
        <v>138.44</v>
      </c>
      <c r="T110" s="110">
        <f t="shared" ref="T110" si="56">SUM(T20,T26,T29:T30,T58,T60:T61,T63,T65,T111:T115,T138,T144,T150,T159,T161,T173,T180,T183:T184,T191,T193,T195,T199:T201,T203:T205,T210,T216:T217,T219:T221,T229,T234)</f>
        <v>145.84000000000003</v>
      </c>
      <c r="U110" s="110">
        <f t="shared" ref="U110:V110" si="57">SUM(U20,U26,U29:U30,U58,U60:U61,U63,U65,U111:U115,U138,U144,U150,U159,U161,U173,U180,U183:U184,U191,U193,U195,U199:U201,U203:U205,U210,U216:U217,U219:U221,U229,U234)</f>
        <v>145.84000000000003</v>
      </c>
      <c r="V110" s="110">
        <f t="shared" si="57"/>
        <v>316.30000000000007</v>
      </c>
      <c r="W110" s="110">
        <f t="shared" si="55"/>
        <v>146.69999999999999</v>
      </c>
      <c r="X110" s="110">
        <f t="shared" si="55"/>
        <v>338.1</v>
      </c>
      <c r="Y110" s="110">
        <f t="shared" ref="Y110:Z110" si="58">SUM(Y20,Y26,Y29:Y30,Y58,Y60:Y61,Y63,Y65,Y111:Y115,Y138,Y144,Y150,Y159,Y161,Y173,Y180,Y183:Y184,Y191,Y193,Y195,Y199:Y201,Y203:Y205,Y210,Y216:Y217,Y219:Y221,Y229,Y234)</f>
        <v>326.89999999999998</v>
      </c>
      <c r="Z110" s="110">
        <f t="shared" si="58"/>
        <v>386.00000000000006</v>
      </c>
      <c r="AA110" s="110">
        <v>443.24</v>
      </c>
      <c r="AB110" s="110">
        <f t="shared" si="55"/>
        <v>403.7</v>
      </c>
      <c r="AC110" s="110">
        <f t="shared" si="55"/>
        <v>169.70000000000002</v>
      </c>
      <c r="AD110" s="110"/>
      <c r="AE110" s="110">
        <f t="shared" si="55"/>
        <v>79.300000000000026</v>
      </c>
      <c r="AF110" s="110">
        <f t="shared" si="55"/>
        <v>50.400000000000006</v>
      </c>
      <c r="AG110" s="111"/>
      <c r="AH110" s="47">
        <f t="shared" si="26"/>
        <v>443.24</v>
      </c>
      <c r="AI110" s="48">
        <f t="shared" si="27"/>
        <v>26.840000000000046</v>
      </c>
    </row>
    <row r="111" spans="1:37" x14ac:dyDescent="0.25">
      <c r="A111" s="99" t="s">
        <v>119</v>
      </c>
      <c r="B111" s="112">
        <v>16.399999999999999</v>
      </c>
      <c r="C111" s="112">
        <v>16.399999999999999</v>
      </c>
      <c r="D111" s="112">
        <v>24.4</v>
      </c>
      <c r="E111" s="112">
        <v>24.5</v>
      </c>
      <c r="F111" s="112">
        <v>25.1</v>
      </c>
      <c r="G111" s="112">
        <v>39.1</v>
      </c>
      <c r="H111" s="112">
        <v>41.8</v>
      </c>
      <c r="I111" s="112">
        <v>50</v>
      </c>
      <c r="J111" s="112">
        <v>61.1</v>
      </c>
      <c r="K111" s="112">
        <v>44.8</v>
      </c>
      <c r="L111" s="112">
        <v>37.799999999999997</v>
      </c>
      <c r="M111" s="112">
        <v>44.8</v>
      </c>
      <c r="N111" s="112">
        <v>29</v>
      </c>
      <c r="O111" s="112">
        <v>40</v>
      </c>
      <c r="P111" s="112">
        <v>40</v>
      </c>
      <c r="Q111" s="112">
        <v>45</v>
      </c>
      <c r="R111" s="112">
        <v>44.5</v>
      </c>
      <c r="S111" s="112">
        <v>30.9</v>
      </c>
      <c r="T111" s="112">
        <v>31.3</v>
      </c>
      <c r="U111" s="112">
        <v>31.3</v>
      </c>
      <c r="V111" s="112">
        <v>29.8</v>
      </c>
      <c r="W111" s="112">
        <v>35.200000000000003</v>
      </c>
      <c r="X111" s="112">
        <v>37.700000000000003</v>
      </c>
      <c r="Y111" s="112">
        <v>39.299999999999997</v>
      </c>
      <c r="Z111" s="112">
        <v>49.7</v>
      </c>
      <c r="AA111" s="112">
        <v>49.7</v>
      </c>
      <c r="AB111" s="112">
        <v>46.1</v>
      </c>
      <c r="AC111" s="112">
        <v>44</v>
      </c>
      <c r="AD111" s="112">
        <v>23.1</v>
      </c>
      <c r="AE111" s="112">
        <v>10.8</v>
      </c>
      <c r="AF111" s="112">
        <v>3.1</v>
      </c>
      <c r="AG111" s="113">
        <v>75</v>
      </c>
      <c r="AH111" s="47">
        <f t="shared" si="26"/>
        <v>61.1</v>
      </c>
      <c r="AI111" s="48">
        <f t="shared" si="27"/>
        <v>3.1</v>
      </c>
    </row>
    <row r="112" spans="1:37" x14ac:dyDescent="0.25">
      <c r="A112" s="102" t="s">
        <v>120</v>
      </c>
      <c r="B112" s="114">
        <v>28.7</v>
      </c>
      <c r="C112" s="114">
        <v>28.7</v>
      </c>
      <c r="D112" s="114">
        <v>37.200000000000003</v>
      </c>
      <c r="E112" s="114">
        <v>38.4</v>
      </c>
      <c r="F112" s="114">
        <v>38.6</v>
      </c>
      <c r="G112" s="114">
        <v>58.2</v>
      </c>
      <c r="H112" s="114">
        <v>61</v>
      </c>
      <c r="I112" s="114">
        <v>74.599999999999994</v>
      </c>
      <c r="J112" s="114">
        <v>89.4</v>
      </c>
      <c r="K112" s="114">
        <v>64.2</v>
      </c>
      <c r="L112" s="114">
        <v>53.3</v>
      </c>
      <c r="M112" s="114">
        <v>64.2</v>
      </c>
      <c r="N112" s="114">
        <v>27.2</v>
      </c>
      <c r="O112" s="114">
        <v>52.7</v>
      </c>
      <c r="P112" s="114">
        <v>52.7</v>
      </c>
      <c r="Q112" s="114">
        <v>63.3</v>
      </c>
      <c r="R112" s="114">
        <v>63.3</v>
      </c>
      <c r="S112" s="114">
        <v>43.1</v>
      </c>
      <c r="T112" s="114">
        <v>44.9</v>
      </c>
      <c r="U112" s="114">
        <v>44.9</v>
      </c>
      <c r="V112" s="114">
        <v>43.2</v>
      </c>
      <c r="W112" s="114">
        <v>35.200000000000003</v>
      </c>
      <c r="X112" s="114">
        <v>52.9</v>
      </c>
      <c r="Y112" s="114">
        <v>53.7</v>
      </c>
      <c r="Z112" s="114">
        <v>68.599999999999994</v>
      </c>
      <c r="AA112" s="114">
        <v>67.400000000000006</v>
      </c>
      <c r="AB112" s="114">
        <v>65</v>
      </c>
      <c r="AC112" s="114">
        <v>62.2</v>
      </c>
      <c r="AD112" s="114">
        <v>33.6</v>
      </c>
      <c r="AE112" s="114">
        <v>16.399999999999999</v>
      </c>
      <c r="AF112" s="114">
        <v>5.8</v>
      </c>
      <c r="AG112" s="113">
        <v>240</v>
      </c>
      <c r="AH112" s="47">
        <f t="shared" si="26"/>
        <v>89.4</v>
      </c>
      <c r="AI112" s="48">
        <f t="shared" si="27"/>
        <v>5.8</v>
      </c>
    </row>
    <row r="113" spans="1:37" x14ac:dyDescent="0.25">
      <c r="A113" s="102" t="s">
        <v>121</v>
      </c>
      <c r="B113" s="114">
        <f>-73.1-77.6</f>
        <v>-150.69999999999999</v>
      </c>
      <c r="C113" s="114">
        <f t="shared" ref="C113" si="59">-73.1-77.6</f>
        <v>-150.69999999999999</v>
      </c>
      <c r="D113" s="114">
        <v>-176</v>
      </c>
      <c r="E113" s="114">
        <v>-174.9</v>
      </c>
      <c r="F113" s="114">
        <v>-171.7</v>
      </c>
      <c r="G113" s="114">
        <v>-180.7</v>
      </c>
      <c r="H113" s="114">
        <v>-171.2</v>
      </c>
      <c r="I113" s="114">
        <v>-170</v>
      </c>
      <c r="J113" s="114">
        <v>-185</v>
      </c>
      <c r="K113" s="114">
        <v>-132</v>
      </c>
      <c r="L113" s="114">
        <v>-100</v>
      </c>
      <c r="M113" s="114">
        <v>-132</v>
      </c>
      <c r="N113" s="114">
        <v>-88</v>
      </c>
      <c r="O113" s="114">
        <v>-105</v>
      </c>
      <c r="P113" s="114">
        <v>-105</v>
      </c>
      <c r="Q113" s="114">
        <v>-109</v>
      </c>
      <c r="R113" s="114">
        <v>-115</v>
      </c>
      <c r="S113" s="114">
        <f>-44.8-48.36</f>
        <v>-93.16</v>
      </c>
      <c r="T113" s="114">
        <f t="shared" ref="T113:U113" si="60">-44.8-48.36</f>
        <v>-93.16</v>
      </c>
      <c r="U113" s="114">
        <f t="shared" si="60"/>
        <v>-93.16</v>
      </c>
      <c r="V113" s="114">
        <v>85.6</v>
      </c>
      <c r="W113" s="114">
        <f>-39.6-42.1</f>
        <v>-81.7</v>
      </c>
      <c r="X113" s="114">
        <v>81.5</v>
      </c>
      <c r="Y113" s="114">
        <v>66.599999999999994</v>
      </c>
      <c r="Z113" s="114">
        <v>95.6</v>
      </c>
      <c r="AA113" s="114">
        <v>104.9</v>
      </c>
      <c r="AB113" s="114">
        <v>112</v>
      </c>
      <c r="AC113" s="114">
        <v>-120</v>
      </c>
      <c r="AD113" s="114">
        <v>-97</v>
      </c>
      <c r="AE113" s="114">
        <v>-105</v>
      </c>
      <c r="AF113" s="114">
        <v>-100</v>
      </c>
      <c r="AG113" s="113">
        <v>240</v>
      </c>
      <c r="AH113" s="47">
        <f t="shared" si="26"/>
        <v>112</v>
      </c>
      <c r="AI113" s="48">
        <f t="shared" si="27"/>
        <v>-185</v>
      </c>
    </row>
    <row r="114" spans="1:37" x14ac:dyDescent="0.25">
      <c r="A114" s="102" t="s">
        <v>122</v>
      </c>
      <c r="B114" s="114">
        <v>-9.1999999999999993</v>
      </c>
      <c r="C114" s="114">
        <v>-9.1999999999999993</v>
      </c>
      <c r="D114" s="114">
        <v>-11.1</v>
      </c>
      <c r="E114" s="114">
        <v>-11.9</v>
      </c>
      <c r="F114" s="114">
        <v>-13.1</v>
      </c>
      <c r="G114" s="114">
        <v>-12.5</v>
      </c>
      <c r="H114" s="114">
        <v>-9.4</v>
      </c>
      <c r="I114" s="114">
        <v>-4.5999999999999996</v>
      </c>
      <c r="J114" s="114">
        <v>3.9</v>
      </c>
      <c r="K114" s="114">
        <v>3.2</v>
      </c>
      <c r="L114" s="114">
        <v>-6</v>
      </c>
      <c r="M114" s="114">
        <v>3.2</v>
      </c>
      <c r="N114" s="114">
        <v>6.5</v>
      </c>
      <c r="O114" s="114">
        <v>5.7</v>
      </c>
      <c r="P114" s="114">
        <v>5.7</v>
      </c>
      <c r="Q114" s="114">
        <v>4</v>
      </c>
      <c r="R114" s="114">
        <v>5</v>
      </c>
      <c r="S114" s="114">
        <v>3.8</v>
      </c>
      <c r="T114" s="114">
        <v>4.5999999999999996</v>
      </c>
      <c r="U114" s="114">
        <v>4.5999999999999996</v>
      </c>
      <c r="V114" s="114">
        <v>6.8</v>
      </c>
      <c r="W114" s="114">
        <v>7.5</v>
      </c>
      <c r="X114" s="114">
        <v>9.6</v>
      </c>
      <c r="Y114" s="114">
        <v>9.8000000000000007</v>
      </c>
      <c r="Z114" s="114">
        <v>7.6</v>
      </c>
      <c r="AA114" s="114">
        <v>9.5</v>
      </c>
      <c r="AB114" s="114">
        <v>2.9</v>
      </c>
      <c r="AC114" s="114">
        <v>5</v>
      </c>
      <c r="AD114" s="114">
        <v>2.5</v>
      </c>
      <c r="AE114" s="114">
        <v>-1.8</v>
      </c>
      <c r="AF114" s="114">
        <v>-3.3</v>
      </c>
      <c r="AG114" s="113">
        <v>60</v>
      </c>
      <c r="AH114" s="47">
        <f t="shared" si="26"/>
        <v>9.8000000000000007</v>
      </c>
      <c r="AI114" s="48">
        <f t="shared" si="27"/>
        <v>-13.1</v>
      </c>
    </row>
    <row r="115" spans="1:37" x14ac:dyDescent="0.25">
      <c r="A115" s="115" t="s">
        <v>123</v>
      </c>
      <c r="B115" s="116">
        <v>2.2999999999999998</v>
      </c>
      <c r="C115" s="116">
        <v>2.2999999999999998</v>
      </c>
      <c r="D115" s="116">
        <v>5.3</v>
      </c>
      <c r="E115" s="116">
        <v>2.8</v>
      </c>
      <c r="F115" s="116">
        <v>2.7</v>
      </c>
      <c r="G115" s="116">
        <v>9</v>
      </c>
      <c r="H115" s="116">
        <v>8.9</v>
      </c>
      <c r="I115" s="116">
        <v>8.5</v>
      </c>
      <c r="J115" s="116">
        <v>8.6</v>
      </c>
      <c r="K115" s="116">
        <v>9.5</v>
      </c>
      <c r="L115" s="116">
        <v>10.5</v>
      </c>
      <c r="M115" s="116">
        <v>9.5</v>
      </c>
      <c r="N115" s="116">
        <v>6.4</v>
      </c>
      <c r="O115" s="116">
        <v>20</v>
      </c>
      <c r="P115" s="116">
        <v>20</v>
      </c>
      <c r="Q115" s="116">
        <v>19</v>
      </c>
      <c r="R115" s="116">
        <v>23</v>
      </c>
      <c r="S115" s="116">
        <v>23.4</v>
      </c>
      <c r="T115" s="116">
        <v>23.1</v>
      </c>
      <c r="U115" s="116">
        <v>23.1</v>
      </c>
      <c r="V115" s="116">
        <v>21.8</v>
      </c>
      <c r="W115" s="116">
        <v>21.4</v>
      </c>
      <c r="X115" s="116">
        <v>21.6</v>
      </c>
      <c r="Y115" s="116">
        <v>22.7</v>
      </c>
      <c r="Z115" s="116">
        <v>22.3</v>
      </c>
      <c r="AA115" s="116">
        <v>22.3</v>
      </c>
      <c r="AB115" s="116">
        <v>21.8</v>
      </c>
      <c r="AC115" s="116">
        <v>22.6</v>
      </c>
      <c r="AD115" s="116">
        <v>22.9</v>
      </c>
      <c r="AE115" s="116">
        <v>13</v>
      </c>
      <c r="AF115" s="116">
        <v>10.3</v>
      </c>
      <c r="AG115" s="117">
        <v>120</v>
      </c>
      <c r="AH115" s="47">
        <f t="shared" si="26"/>
        <v>23.4</v>
      </c>
      <c r="AI115" s="48">
        <f t="shared" si="27"/>
        <v>2.2999999999999998</v>
      </c>
    </row>
    <row r="116" spans="1:37" x14ac:dyDescent="0.25">
      <c r="A116" s="115" t="s">
        <v>124</v>
      </c>
      <c r="B116" s="116">
        <v>28.3</v>
      </c>
      <c r="C116" s="116">
        <v>28.3</v>
      </c>
      <c r="D116" s="116">
        <v>49.9</v>
      </c>
      <c r="E116" s="116">
        <v>42.5</v>
      </c>
      <c r="F116" s="116">
        <v>53.7</v>
      </c>
      <c r="G116" s="116">
        <v>40.700000000000003</v>
      </c>
      <c r="H116" s="116">
        <v>36.4</v>
      </c>
      <c r="I116" s="116">
        <v>29.4</v>
      </c>
      <c r="J116" s="116">
        <v>28</v>
      </c>
      <c r="K116" s="116">
        <v>53.2</v>
      </c>
      <c r="L116" s="116">
        <v>75</v>
      </c>
      <c r="M116" s="116">
        <v>53.2</v>
      </c>
      <c r="N116" s="116">
        <v>94</v>
      </c>
      <c r="O116" s="116">
        <v>82</v>
      </c>
      <c r="P116" s="116">
        <v>82</v>
      </c>
      <c r="Q116" s="116">
        <v>77</v>
      </c>
      <c r="R116" s="116">
        <v>46</v>
      </c>
      <c r="S116" s="116">
        <v>79.599999999999994</v>
      </c>
      <c r="T116" s="116">
        <v>77.7</v>
      </c>
      <c r="U116" s="116">
        <v>77.7</v>
      </c>
      <c r="V116" s="116">
        <v>55.6</v>
      </c>
      <c r="W116" s="116">
        <v>72.599999999999994</v>
      </c>
      <c r="X116" s="116">
        <v>67</v>
      </c>
      <c r="Y116" s="116">
        <v>73.599999999999994</v>
      </c>
      <c r="Z116" s="116">
        <v>60.5</v>
      </c>
      <c r="AA116" s="116">
        <v>63.3</v>
      </c>
      <c r="AB116" s="116">
        <v>63.3</v>
      </c>
      <c r="AC116" s="116">
        <v>60</v>
      </c>
      <c r="AD116" s="116">
        <v>77.400000000000006</v>
      </c>
      <c r="AE116" s="116">
        <v>71.5</v>
      </c>
      <c r="AF116" s="116">
        <v>86.5</v>
      </c>
      <c r="AG116" s="117"/>
      <c r="AH116" s="47">
        <f t="shared" si="26"/>
        <v>94</v>
      </c>
      <c r="AI116" s="48">
        <f t="shared" si="27"/>
        <v>28</v>
      </c>
    </row>
    <row r="117" spans="1:37" x14ac:dyDescent="0.25">
      <c r="A117" s="115" t="s">
        <v>125</v>
      </c>
      <c r="B117" s="116">
        <v>-4.4000000000000004</v>
      </c>
      <c r="C117" s="116">
        <v>-4.4000000000000004</v>
      </c>
      <c r="D117" s="116">
        <v>-17.399999999999999</v>
      </c>
      <c r="E117" s="116">
        <v>-17.600000000000001</v>
      </c>
      <c r="F117" s="116">
        <v>-18.2</v>
      </c>
      <c r="G117" s="116">
        <v>-15.7</v>
      </c>
      <c r="H117" s="116">
        <v>-14.1</v>
      </c>
      <c r="I117" s="116">
        <v>-14.9</v>
      </c>
      <c r="J117" s="116">
        <v>-3.1</v>
      </c>
      <c r="K117" s="116">
        <v>-12.2</v>
      </c>
      <c r="L117" s="116">
        <v>-3.1</v>
      </c>
      <c r="M117" s="116">
        <v>-12.2</v>
      </c>
      <c r="N117" s="116">
        <v>-0.8</v>
      </c>
      <c r="O117" s="116">
        <v>11</v>
      </c>
      <c r="P117" s="116">
        <v>11</v>
      </c>
      <c r="Q117" s="116">
        <v>13</v>
      </c>
      <c r="R117" s="116">
        <v>0</v>
      </c>
      <c r="S117" s="116">
        <v>0</v>
      </c>
      <c r="T117" s="116">
        <v>6.2</v>
      </c>
      <c r="U117" s="116">
        <v>6.2</v>
      </c>
      <c r="V117" s="116">
        <v>-6.9</v>
      </c>
      <c r="W117" s="116">
        <v>-2.8</v>
      </c>
      <c r="X117" s="116">
        <v>4.0999999999999996</v>
      </c>
      <c r="Y117" s="116">
        <v>-6.6</v>
      </c>
      <c r="Z117" s="116">
        <v>-2.1</v>
      </c>
      <c r="AA117" s="116">
        <v>-2.6</v>
      </c>
      <c r="AB117" s="116">
        <v>-5.4</v>
      </c>
      <c r="AC117" s="116">
        <v>-3.3</v>
      </c>
      <c r="AD117" s="116">
        <v>-21</v>
      </c>
      <c r="AE117" s="116">
        <v>-17.2</v>
      </c>
      <c r="AF117" s="116">
        <v>-25.4</v>
      </c>
      <c r="AG117" s="118"/>
      <c r="AH117" s="47">
        <f t="shared" si="26"/>
        <v>13</v>
      </c>
      <c r="AI117" s="48">
        <f t="shared" si="27"/>
        <v>-25.4</v>
      </c>
    </row>
    <row r="118" spans="1:37" x14ac:dyDescent="0.25">
      <c r="A118" s="119" t="s">
        <v>126</v>
      </c>
      <c r="B118" s="105">
        <v>41.9</v>
      </c>
      <c r="C118" s="105">
        <v>41.9</v>
      </c>
      <c r="D118" s="105">
        <v>37.6</v>
      </c>
      <c r="E118" s="105">
        <v>42.1</v>
      </c>
      <c r="F118" s="105">
        <v>46.1</v>
      </c>
      <c r="G118" s="105">
        <v>47.1</v>
      </c>
      <c r="H118" s="105">
        <v>43.6</v>
      </c>
      <c r="I118" s="105">
        <v>46.2</v>
      </c>
      <c r="J118" s="105">
        <v>45.4</v>
      </c>
      <c r="K118" s="105">
        <v>44.7</v>
      </c>
      <c r="L118" s="105">
        <v>44.7</v>
      </c>
      <c r="M118" s="105">
        <v>44.7</v>
      </c>
      <c r="N118" s="105">
        <v>16</v>
      </c>
      <c r="O118" s="105">
        <v>26</v>
      </c>
      <c r="P118" s="105">
        <v>26</v>
      </c>
      <c r="Q118" s="105">
        <v>24</v>
      </c>
      <c r="R118" s="105">
        <v>38</v>
      </c>
      <c r="S118" s="105">
        <v>35.9</v>
      </c>
      <c r="T118" s="105">
        <v>31.1</v>
      </c>
      <c r="U118" s="105">
        <v>31.1</v>
      </c>
      <c r="V118" s="105">
        <v>40.5</v>
      </c>
      <c r="W118" s="105">
        <v>34.4</v>
      </c>
      <c r="X118" s="105">
        <v>35</v>
      </c>
      <c r="Y118" s="105">
        <v>36.299999999999997</v>
      </c>
      <c r="Z118" s="105">
        <v>41</v>
      </c>
      <c r="AA118" s="105">
        <v>44.3</v>
      </c>
      <c r="AB118" s="105">
        <v>45.7</v>
      </c>
      <c r="AC118" s="105">
        <v>46.9</v>
      </c>
      <c r="AD118" s="105">
        <v>41.7</v>
      </c>
      <c r="AE118" s="105">
        <v>41.2</v>
      </c>
      <c r="AF118" s="105">
        <v>46.1</v>
      </c>
      <c r="AG118" s="118"/>
      <c r="AH118" s="47">
        <f t="shared" si="26"/>
        <v>47.1</v>
      </c>
      <c r="AI118" s="48">
        <f t="shared" si="27"/>
        <v>16</v>
      </c>
    </row>
    <row r="119" spans="1:37" x14ac:dyDescent="0.25">
      <c r="A119" s="120" t="s">
        <v>127</v>
      </c>
      <c r="B119" s="105">
        <v>100</v>
      </c>
      <c r="C119" s="105">
        <v>100</v>
      </c>
      <c r="D119" s="105">
        <v>93.3</v>
      </c>
      <c r="E119" s="105">
        <v>92</v>
      </c>
      <c r="F119" s="105">
        <v>90.6</v>
      </c>
      <c r="G119" s="105">
        <v>96</v>
      </c>
      <c r="H119" s="105">
        <v>92</v>
      </c>
      <c r="I119" s="105">
        <v>88</v>
      </c>
      <c r="J119" s="105">
        <v>86</v>
      </c>
      <c r="K119" s="105">
        <v>62.8</v>
      </c>
      <c r="L119" s="105">
        <v>62.8</v>
      </c>
      <c r="M119" s="105">
        <v>0</v>
      </c>
      <c r="N119" s="105">
        <v>0</v>
      </c>
      <c r="O119" s="105">
        <v>0</v>
      </c>
      <c r="P119" s="105">
        <v>0</v>
      </c>
      <c r="Q119" s="105">
        <v>0</v>
      </c>
      <c r="R119" s="105">
        <v>0</v>
      </c>
      <c r="S119" s="105">
        <v>0</v>
      </c>
      <c r="T119" s="105">
        <v>0</v>
      </c>
      <c r="U119" s="105">
        <v>0</v>
      </c>
      <c r="V119" s="105">
        <v>0</v>
      </c>
      <c r="W119" s="105">
        <v>-34.4</v>
      </c>
      <c r="X119" s="105">
        <v>0</v>
      </c>
      <c r="Y119" s="105">
        <v>0</v>
      </c>
      <c r="Z119" s="105">
        <v>0</v>
      </c>
      <c r="AA119" s="105">
        <v>0</v>
      </c>
      <c r="AB119" s="105">
        <v>0</v>
      </c>
      <c r="AC119" s="105">
        <v>0</v>
      </c>
      <c r="AD119" s="105">
        <v>0</v>
      </c>
      <c r="AE119" s="105">
        <v>0</v>
      </c>
      <c r="AF119" s="105">
        <v>0</v>
      </c>
      <c r="AG119" s="118"/>
      <c r="AH119" s="47">
        <f t="shared" si="26"/>
        <v>100</v>
      </c>
      <c r="AI119" s="48">
        <f t="shared" si="27"/>
        <v>-34.4</v>
      </c>
    </row>
    <row r="120" spans="1:37" ht="15.75" thickBot="1" x14ac:dyDescent="0.3">
      <c r="A120" s="119" t="s">
        <v>128</v>
      </c>
      <c r="B120" s="105">
        <v>11.5</v>
      </c>
      <c r="C120" s="105">
        <v>11.5</v>
      </c>
      <c r="D120" s="105">
        <v>25.6</v>
      </c>
      <c r="E120" s="105">
        <v>24</v>
      </c>
      <c r="F120" s="105">
        <v>13.8</v>
      </c>
      <c r="G120" s="105">
        <v>4.9000000000000004</v>
      </c>
      <c r="H120" s="105">
        <v>1.9</v>
      </c>
      <c r="I120" s="105">
        <v>-5.3</v>
      </c>
      <c r="J120" s="105">
        <v>-13</v>
      </c>
      <c r="K120" s="105">
        <v>-1.1000000000000001</v>
      </c>
      <c r="L120" s="105">
        <v>-1.1000000000000001</v>
      </c>
      <c r="M120" s="105">
        <v>-1.1000000000000001</v>
      </c>
      <c r="N120" s="105">
        <v>14</v>
      </c>
      <c r="O120" s="105">
        <v>17</v>
      </c>
      <c r="P120" s="105">
        <v>17</v>
      </c>
      <c r="Q120" s="105">
        <v>16</v>
      </c>
      <c r="R120" s="105">
        <v>2</v>
      </c>
      <c r="S120" s="105">
        <v>-2.6</v>
      </c>
      <c r="T120" s="105">
        <v>7.3</v>
      </c>
      <c r="U120" s="105">
        <v>7.3</v>
      </c>
      <c r="V120" s="105">
        <v>-11.5</v>
      </c>
      <c r="W120" s="105">
        <v>-9.6</v>
      </c>
      <c r="X120" s="105">
        <v>-2.9</v>
      </c>
      <c r="Y120" s="105">
        <v>-0.6</v>
      </c>
      <c r="Z120" s="105">
        <v>3.8</v>
      </c>
      <c r="AA120" s="105">
        <v>3.8</v>
      </c>
      <c r="AB120" s="105">
        <v>8.8000000000000007</v>
      </c>
      <c r="AC120" s="105">
        <v>8.8000000000000007</v>
      </c>
      <c r="AD120" s="105">
        <v>17.600000000000001</v>
      </c>
      <c r="AE120" s="105">
        <v>9.8000000000000007</v>
      </c>
      <c r="AF120" s="105">
        <v>17</v>
      </c>
      <c r="AG120" s="118"/>
      <c r="AH120" s="47">
        <f t="shared" si="26"/>
        <v>25.6</v>
      </c>
      <c r="AI120" s="48">
        <f t="shared" si="27"/>
        <v>-13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 t="s">
        <v>258</v>
      </c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61">SUM(B122:B226)</f>
        <v>0</v>
      </c>
      <c r="C227" s="136">
        <f t="shared" si="61"/>
        <v>0</v>
      </c>
      <c r="D227" s="136">
        <f t="shared" si="61"/>
        <v>0</v>
      </c>
      <c r="E227" s="136">
        <f t="shared" si="61"/>
        <v>0</v>
      </c>
      <c r="F227" s="136">
        <f t="shared" si="61"/>
        <v>0</v>
      </c>
      <c r="G227" s="136">
        <f t="shared" si="61"/>
        <v>0</v>
      </c>
      <c r="H227" s="136">
        <f t="shared" si="61"/>
        <v>0</v>
      </c>
      <c r="I227" s="136">
        <f t="shared" si="61"/>
        <v>0</v>
      </c>
      <c r="J227" s="136">
        <f t="shared" si="61"/>
        <v>0</v>
      </c>
      <c r="K227" s="136">
        <f t="shared" si="61"/>
        <v>0</v>
      </c>
      <c r="L227" s="136">
        <f t="shared" si="61"/>
        <v>0</v>
      </c>
      <c r="M227" s="136">
        <f t="shared" si="61"/>
        <v>0</v>
      </c>
      <c r="N227" s="136">
        <f t="shared" si="61"/>
        <v>0</v>
      </c>
      <c r="O227" s="136">
        <f t="shared" si="61"/>
        <v>0</v>
      </c>
      <c r="P227" s="136">
        <f t="shared" si="61"/>
        <v>0</v>
      </c>
      <c r="Q227" s="136">
        <f t="shared" si="61"/>
        <v>0</v>
      </c>
      <c r="R227" s="136">
        <f t="shared" si="61"/>
        <v>0</v>
      </c>
      <c r="S227" s="136">
        <f t="shared" si="61"/>
        <v>0</v>
      </c>
      <c r="T227" s="136">
        <f t="shared" si="61"/>
        <v>0</v>
      </c>
      <c r="U227" s="136">
        <f t="shared" si="61"/>
        <v>0</v>
      </c>
      <c r="V227" s="136">
        <f t="shared" si="61"/>
        <v>0</v>
      </c>
      <c r="W227" s="136">
        <f t="shared" si="61"/>
        <v>0</v>
      </c>
      <c r="X227" s="136">
        <f t="shared" si="61"/>
        <v>0</v>
      </c>
      <c r="Y227" s="136">
        <f t="shared" si="61"/>
        <v>0</v>
      </c>
      <c r="Z227" s="136">
        <f t="shared" si="61"/>
        <v>0</v>
      </c>
      <c r="AA227" s="136">
        <f t="shared" si="61"/>
        <v>0</v>
      </c>
      <c r="AB227" s="136">
        <f t="shared" si="61"/>
        <v>0</v>
      </c>
      <c r="AC227" s="136">
        <f t="shared" si="61"/>
        <v>0</v>
      </c>
      <c r="AD227" s="136">
        <f t="shared" si="61"/>
        <v>0</v>
      </c>
      <c r="AE227" s="136">
        <f t="shared" si="61"/>
        <v>0</v>
      </c>
      <c r="AF227" s="137">
        <f t="shared" si="61"/>
        <v>0</v>
      </c>
      <c r="AG227" s="138">
        <f t="shared" si="61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62">AF229</f>
        <v>0</v>
      </c>
      <c r="C229" s="140">
        <v>0.3</v>
      </c>
      <c r="D229" s="140">
        <f t="shared" ref="D229:P234" si="63">C229</f>
        <v>0.3</v>
      </c>
      <c r="E229" s="140">
        <f t="shared" si="63"/>
        <v>0.3</v>
      </c>
      <c r="F229" s="140">
        <f t="shared" si="63"/>
        <v>0.3</v>
      </c>
      <c r="G229" s="140">
        <f t="shared" si="63"/>
        <v>0.3</v>
      </c>
      <c r="H229" s="140">
        <f t="shared" si="63"/>
        <v>0.3</v>
      </c>
      <c r="I229" s="140">
        <f t="shared" si="63"/>
        <v>0.3</v>
      </c>
      <c r="J229" s="140">
        <f t="shared" si="63"/>
        <v>0.3</v>
      </c>
      <c r="K229" s="140">
        <f t="shared" si="63"/>
        <v>0.3</v>
      </c>
      <c r="L229" s="140">
        <f t="shared" si="63"/>
        <v>0.3</v>
      </c>
      <c r="M229" s="140">
        <f t="shared" si="63"/>
        <v>0.3</v>
      </c>
      <c r="N229" s="140">
        <f t="shared" si="63"/>
        <v>0.3</v>
      </c>
      <c r="O229" s="140">
        <f t="shared" si="63"/>
        <v>0.3</v>
      </c>
      <c r="P229" s="140">
        <f t="shared" si="63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62"/>
        <v>0</v>
      </c>
      <c r="C230" s="128">
        <v>0.4</v>
      </c>
      <c r="D230" s="128">
        <f t="shared" si="63"/>
        <v>0.4</v>
      </c>
      <c r="E230" s="128">
        <f t="shared" si="63"/>
        <v>0.4</v>
      </c>
      <c r="F230" s="128">
        <f t="shared" si="63"/>
        <v>0.4</v>
      </c>
      <c r="G230" s="128">
        <f t="shared" si="63"/>
        <v>0.4</v>
      </c>
      <c r="H230" s="128">
        <f t="shared" si="63"/>
        <v>0.4</v>
      </c>
      <c r="I230" s="128">
        <f t="shared" si="63"/>
        <v>0.4</v>
      </c>
      <c r="J230" s="128">
        <f t="shared" si="63"/>
        <v>0.4</v>
      </c>
      <c r="K230" s="128">
        <f t="shared" si="63"/>
        <v>0.4</v>
      </c>
      <c r="L230" s="128">
        <f t="shared" si="63"/>
        <v>0.4</v>
      </c>
      <c r="M230" s="128">
        <f t="shared" si="63"/>
        <v>0.4</v>
      </c>
      <c r="N230" s="128">
        <f t="shared" si="63"/>
        <v>0.4</v>
      </c>
      <c r="O230" s="128">
        <f t="shared" si="63"/>
        <v>0.4</v>
      </c>
      <c r="P230" s="128">
        <f t="shared" si="63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62"/>
        <v>0</v>
      </c>
      <c r="C231" s="128">
        <v>1.5</v>
      </c>
      <c r="D231" s="128">
        <f t="shared" si="63"/>
        <v>1.5</v>
      </c>
      <c r="E231" s="128">
        <f t="shared" si="63"/>
        <v>1.5</v>
      </c>
      <c r="F231" s="128">
        <f t="shared" si="63"/>
        <v>1.5</v>
      </c>
      <c r="G231" s="128">
        <f t="shared" si="63"/>
        <v>1.5</v>
      </c>
      <c r="H231" s="128">
        <f t="shared" si="63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63"/>
        <v>123.21900000000009</v>
      </c>
      <c r="K231" s="128">
        <f t="shared" ca="1" si="63"/>
        <v>123.21900000000009</v>
      </c>
      <c r="L231" s="128">
        <f t="shared" ca="1" si="63"/>
        <v>123.21900000000009</v>
      </c>
      <c r="M231" s="128">
        <f t="shared" ca="1" si="63"/>
        <v>119.19900000000008</v>
      </c>
      <c r="N231" s="128">
        <f t="shared" ca="1" si="63"/>
        <v>119.19900000000008</v>
      </c>
      <c r="O231" s="128">
        <f t="shared" ca="1" si="63"/>
        <v>119.19900000000008</v>
      </c>
      <c r="P231" s="128">
        <f t="shared" ca="1" si="63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62"/>
        <v>0</v>
      </c>
      <c r="C232" s="128">
        <v>0.3</v>
      </c>
      <c r="D232" s="128">
        <f t="shared" si="63"/>
        <v>0.3</v>
      </c>
      <c r="E232" s="128">
        <f t="shared" si="63"/>
        <v>0.3</v>
      </c>
      <c r="F232" s="128">
        <f t="shared" si="63"/>
        <v>0.3</v>
      </c>
      <c r="G232" s="128">
        <f t="shared" si="63"/>
        <v>0.3</v>
      </c>
      <c r="H232" s="128">
        <f t="shared" si="63"/>
        <v>0.3</v>
      </c>
      <c r="I232" s="128">
        <f t="shared" si="63"/>
        <v>0.3</v>
      </c>
      <c r="J232" s="128">
        <f t="shared" si="63"/>
        <v>0.3</v>
      </c>
      <c r="K232" s="128">
        <f t="shared" si="63"/>
        <v>0.3</v>
      </c>
      <c r="L232" s="128">
        <f t="shared" si="63"/>
        <v>0.3</v>
      </c>
      <c r="M232" s="128">
        <f t="shared" si="63"/>
        <v>0.3</v>
      </c>
      <c r="N232" s="128">
        <f t="shared" si="63"/>
        <v>0.3</v>
      </c>
      <c r="O232" s="128">
        <f t="shared" si="63"/>
        <v>0.3</v>
      </c>
      <c r="P232" s="128">
        <f t="shared" si="63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62"/>
        <v>0</v>
      </c>
      <c r="C233" s="128">
        <v>0.4</v>
      </c>
      <c r="D233" s="128">
        <f t="shared" si="63"/>
        <v>0.4</v>
      </c>
      <c r="E233" s="128">
        <f t="shared" si="63"/>
        <v>0.4</v>
      </c>
      <c r="F233" s="128">
        <f t="shared" si="63"/>
        <v>0.4</v>
      </c>
      <c r="G233" s="128">
        <f t="shared" si="63"/>
        <v>0.4</v>
      </c>
      <c r="H233" s="128">
        <f t="shared" si="63"/>
        <v>0.4</v>
      </c>
      <c r="I233" s="128">
        <f t="shared" si="63"/>
        <v>0.4</v>
      </c>
      <c r="J233" s="128">
        <f t="shared" si="63"/>
        <v>0.4</v>
      </c>
      <c r="K233" s="128">
        <f t="shared" si="63"/>
        <v>0.4</v>
      </c>
      <c r="L233" s="128">
        <f t="shared" si="63"/>
        <v>0.4</v>
      </c>
      <c r="M233" s="128">
        <f t="shared" si="63"/>
        <v>0.4</v>
      </c>
      <c r="N233" s="128">
        <f t="shared" si="63"/>
        <v>0.4</v>
      </c>
      <c r="O233" s="128">
        <f t="shared" si="63"/>
        <v>0.4</v>
      </c>
      <c r="P233" s="128">
        <f t="shared" si="63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62"/>
        <v>0</v>
      </c>
      <c r="C234" s="132">
        <v>0.64</v>
      </c>
      <c r="D234" s="132">
        <f t="shared" si="63"/>
        <v>0.64</v>
      </c>
      <c r="E234" s="132">
        <f t="shared" si="63"/>
        <v>0.64</v>
      </c>
      <c r="F234" s="132">
        <f t="shared" si="63"/>
        <v>0.64</v>
      </c>
      <c r="G234" s="132">
        <f t="shared" si="63"/>
        <v>0.64</v>
      </c>
      <c r="H234" s="132">
        <f t="shared" si="63"/>
        <v>0.64</v>
      </c>
      <c r="I234" s="132">
        <f t="shared" si="63"/>
        <v>0.64</v>
      </c>
      <c r="J234" s="132">
        <f t="shared" si="63"/>
        <v>0.64</v>
      </c>
      <c r="K234" s="132">
        <f t="shared" si="63"/>
        <v>0.64</v>
      </c>
      <c r="L234" s="132">
        <f t="shared" si="63"/>
        <v>0.64</v>
      </c>
      <c r="M234" s="132">
        <f t="shared" si="63"/>
        <v>0.64</v>
      </c>
      <c r="N234" s="132">
        <f t="shared" si="63"/>
        <v>0.64</v>
      </c>
      <c r="O234" s="132">
        <f t="shared" si="63"/>
        <v>0.64</v>
      </c>
      <c r="P234" s="132">
        <f t="shared" si="63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64">SUM(B229:B234)</f>
        <v>0</v>
      </c>
      <c r="C235" s="136">
        <f t="shared" si="64"/>
        <v>3.54</v>
      </c>
      <c r="D235" s="136">
        <f t="shared" si="64"/>
        <v>3.54</v>
      </c>
      <c r="E235" s="136">
        <f t="shared" si="64"/>
        <v>3.54</v>
      </c>
      <c r="F235" s="136">
        <f t="shared" si="64"/>
        <v>3.54</v>
      </c>
      <c r="G235" s="136">
        <f t="shared" si="64"/>
        <v>3.54</v>
      </c>
      <c r="H235" s="136">
        <f t="shared" si="64"/>
        <v>3.54</v>
      </c>
      <c r="I235" s="136">
        <f t="shared" ca="1" si="64"/>
        <v>121.23900000000009</v>
      </c>
      <c r="J235" s="136">
        <f t="shared" ca="1" si="64"/>
        <v>121.23900000000009</v>
      </c>
      <c r="K235" s="136">
        <f t="shared" ca="1" si="64"/>
        <v>121.23900000000009</v>
      </c>
      <c r="L235" s="136">
        <f t="shared" ca="1" si="64"/>
        <v>125.2590000000001</v>
      </c>
      <c r="M235" s="136">
        <f t="shared" ca="1" si="64"/>
        <v>121.23900000000009</v>
      </c>
      <c r="N235" s="136">
        <f t="shared" ca="1" si="64"/>
        <v>121.23900000000009</v>
      </c>
      <c r="O235" s="136">
        <f t="shared" ca="1" si="64"/>
        <v>121.23900000000009</v>
      </c>
      <c r="P235" s="136">
        <f t="shared" ca="1" si="64"/>
        <v>121.23900000000009</v>
      </c>
      <c r="Q235" s="136">
        <f t="shared" si="64"/>
        <v>0</v>
      </c>
      <c r="R235" s="136">
        <f t="shared" si="64"/>
        <v>0</v>
      </c>
      <c r="S235" s="136">
        <f t="shared" si="64"/>
        <v>0</v>
      </c>
      <c r="T235" s="136">
        <f t="shared" si="64"/>
        <v>0</v>
      </c>
      <c r="U235" s="136">
        <f t="shared" si="64"/>
        <v>0</v>
      </c>
      <c r="V235" s="136">
        <f t="shared" si="64"/>
        <v>0</v>
      </c>
      <c r="W235" s="136">
        <f t="shared" si="64"/>
        <v>0</v>
      </c>
      <c r="X235" s="136">
        <f t="shared" si="64"/>
        <v>0</v>
      </c>
      <c r="Y235" s="136">
        <f t="shared" si="64"/>
        <v>0</v>
      </c>
      <c r="Z235" s="136">
        <f t="shared" si="64"/>
        <v>0</v>
      </c>
      <c r="AA235" s="136">
        <f t="shared" si="64"/>
        <v>0</v>
      </c>
      <c r="AB235" s="136">
        <f t="shared" si="64"/>
        <v>0</v>
      </c>
      <c r="AC235" s="136">
        <f t="shared" si="64"/>
        <v>0</v>
      </c>
      <c r="AD235" s="136">
        <f t="shared" si="64"/>
        <v>0</v>
      </c>
      <c r="AE235" s="136">
        <f t="shared" si="64"/>
        <v>0</v>
      </c>
      <c r="AF235" s="136">
        <f t="shared" si="64"/>
        <v>0</v>
      </c>
      <c r="AG235" s="145">
        <f t="shared" si="64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1984.84</v>
      </c>
      <c r="C244" s="161">
        <f>INDEX(G9:N9,1,MATCH(MAX(G91:N91),G91:N91,0))</f>
        <v>0.27083333333333331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2080/04/1)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2080/04/1)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65">B91</f>
        <v>1940.64</v>
      </c>
      <c r="U249" s="170">
        <f t="shared" si="65"/>
        <v>1940.14</v>
      </c>
      <c r="V249" s="170">
        <f t="shared" si="65"/>
        <v>1928.64</v>
      </c>
      <c r="W249" s="170">
        <f t="shared" si="65"/>
        <v>1929.54</v>
      </c>
      <c r="X249" s="170">
        <f t="shared" si="65"/>
        <v>1946.54</v>
      </c>
      <c r="Y249" s="170">
        <f t="shared" si="65"/>
        <v>1967.04</v>
      </c>
      <c r="Z249" s="170">
        <f t="shared" si="65"/>
        <v>1962.2400000000002</v>
      </c>
      <c r="AA249" s="170">
        <f t="shared" si="65"/>
        <v>1973.94</v>
      </c>
      <c r="AB249" s="170">
        <f t="shared" si="65"/>
        <v>1984.84</v>
      </c>
      <c r="AC249" s="170">
        <f t="shared" si="65"/>
        <v>1978.7399999999998</v>
      </c>
      <c r="AD249" s="170">
        <f t="shared" si="65"/>
        <v>1961.6399999999999</v>
      </c>
      <c r="AE249" s="170">
        <f t="shared" si="65"/>
        <v>1961.6399999999999</v>
      </c>
      <c r="AF249" s="170">
        <f t="shared" si="65"/>
        <v>1914.54</v>
      </c>
      <c r="AG249" s="170">
        <f t="shared" si="65"/>
        <v>1939.34</v>
      </c>
      <c r="AH249" s="170">
        <f t="shared" si="65"/>
        <v>1929.54</v>
      </c>
      <c r="AI249" s="170">
        <f t="shared" si="65"/>
        <v>1938.4399999999998</v>
      </c>
      <c r="AJ249" s="170">
        <f t="shared" si="65"/>
        <v>1913.2400000000002</v>
      </c>
      <c r="AK249" s="170">
        <f t="shared" si="65"/>
        <v>1921.44</v>
      </c>
      <c r="AL249" s="170">
        <f t="shared" si="65"/>
        <v>1910.14</v>
      </c>
      <c r="AM249" s="170">
        <f t="shared" si="65"/>
        <v>1910.14</v>
      </c>
      <c r="AN249" s="170">
        <f t="shared" si="65"/>
        <v>1863.1399999999999</v>
      </c>
      <c r="AO249" s="170">
        <f t="shared" si="65"/>
        <v>1863.44</v>
      </c>
      <c r="AP249" s="170">
        <f t="shared" si="65"/>
        <v>1873.9399999999996</v>
      </c>
      <c r="AQ249" s="170">
        <f t="shared" si="65"/>
        <v>1872.7399999999998</v>
      </c>
      <c r="AR249" s="170">
        <f t="shared" si="65"/>
        <v>1925.7399999999998</v>
      </c>
      <c r="AS249" s="170">
        <f t="shared" si="65"/>
        <v>1952.7399999999998</v>
      </c>
      <c r="AT249" s="170">
        <f t="shared" si="65"/>
        <v>1978.6399999999999</v>
      </c>
      <c r="AU249" s="170">
        <f t="shared" si="65"/>
        <v>1978.5399999999997</v>
      </c>
      <c r="AV249" s="170">
        <f t="shared" si="65"/>
        <v>1932.2399999999998</v>
      </c>
      <c r="AW249" s="170">
        <f t="shared" si="65"/>
        <v>1897.34</v>
      </c>
      <c r="AX249" s="170">
        <f t="shared" si="65"/>
        <v>1868.74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66">C234</f>
        <v>0.64</v>
      </c>
      <c r="C270" s="173">
        <f t="shared" si="66"/>
        <v>0.64</v>
      </c>
      <c r="D270" s="173">
        <f t="shared" si="66"/>
        <v>0.64</v>
      </c>
      <c r="E270" s="173">
        <f t="shared" si="66"/>
        <v>0.64</v>
      </c>
      <c r="F270" s="173">
        <f t="shared" si="66"/>
        <v>0.64</v>
      </c>
      <c r="G270" s="173">
        <f t="shared" si="66"/>
        <v>0.64</v>
      </c>
      <c r="H270" s="173">
        <f t="shared" si="66"/>
        <v>0.64</v>
      </c>
      <c r="I270" s="173">
        <f t="shared" si="66"/>
        <v>0.64</v>
      </c>
      <c r="J270" s="173">
        <f t="shared" si="66"/>
        <v>0.64</v>
      </c>
      <c r="K270" s="173">
        <f t="shared" si="66"/>
        <v>0.64</v>
      </c>
      <c r="L270" s="173">
        <f t="shared" si="66"/>
        <v>0.64</v>
      </c>
      <c r="M270" s="173">
        <f t="shared" si="66"/>
        <v>0.64</v>
      </c>
      <c r="N270" s="173">
        <f t="shared" si="66"/>
        <v>0.64</v>
      </c>
      <c r="O270" s="173">
        <f t="shared" si="66"/>
        <v>0.64</v>
      </c>
      <c r="P270" s="173">
        <f t="shared" si="66"/>
        <v>0</v>
      </c>
      <c r="Q270" s="173">
        <f t="shared" si="66"/>
        <v>0</v>
      </c>
      <c r="R270" s="173">
        <f t="shared" si="66"/>
        <v>0</v>
      </c>
      <c r="S270" s="173">
        <f t="shared" si="66"/>
        <v>0</v>
      </c>
      <c r="T270" s="173">
        <f t="shared" si="66"/>
        <v>0</v>
      </c>
      <c r="U270" s="173">
        <f t="shared" si="66"/>
        <v>0</v>
      </c>
      <c r="V270" s="173">
        <f t="shared" si="66"/>
        <v>0</v>
      </c>
      <c r="W270" s="173">
        <f t="shared" si="66"/>
        <v>0</v>
      </c>
      <c r="X270" s="173">
        <f t="shared" si="66"/>
        <v>0</v>
      </c>
      <c r="Y270" s="173">
        <f t="shared" si="66"/>
        <v>0</v>
      </c>
      <c r="Z270" s="173">
        <f t="shared" si="66"/>
        <v>0</v>
      </c>
      <c r="AA270" s="173">
        <f t="shared" si="66"/>
        <v>0</v>
      </c>
      <c r="AB270" s="173">
        <f t="shared" si="66"/>
        <v>0</v>
      </c>
      <c r="AC270" s="173">
        <f t="shared" si="66"/>
        <v>0</v>
      </c>
      <c r="AD270" s="173">
        <f t="shared" si="66"/>
        <v>0</v>
      </c>
      <c r="AE270" s="173">
        <f t="shared" si="66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67">IF(B238&lt;100,"",B238-520)</f>
        <v/>
      </c>
      <c r="C271" s="174" t="str">
        <f t="shared" si="67"/>
        <v/>
      </c>
      <c r="D271" s="174" t="str">
        <f t="shared" si="67"/>
        <v/>
      </c>
      <c r="E271" s="174" t="str">
        <f t="shared" si="67"/>
        <v/>
      </c>
      <c r="F271" s="174" t="str">
        <f t="shared" si="67"/>
        <v/>
      </c>
      <c r="G271" s="174" t="str">
        <f t="shared" si="67"/>
        <v/>
      </c>
      <c r="H271" s="174" t="str">
        <f t="shared" si="67"/>
        <v/>
      </c>
      <c r="I271" s="174" t="str">
        <f t="shared" si="67"/>
        <v/>
      </c>
      <c r="J271" s="174" t="str">
        <f t="shared" si="67"/>
        <v/>
      </c>
      <c r="K271" s="174" t="str">
        <f t="shared" si="67"/>
        <v/>
      </c>
      <c r="L271" s="174" t="str">
        <f t="shared" si="67"/>
        <v/>
      </c>
      <c r="M271" s="174" t="str">
        <f t="shared" si="67"/>
        <v/>
      </c>
      <c r="N271" s="174" t="str">
        <f t="shared" si="67"/>
        <v/>
      </c>
      <c r="O271" s="174" t="str">
        <f t="shared" si="67"/>
        <v/>
      </c>
      <c r="P271" s="174" t="str">
        <f t="shared" si="67"/>
        <v/>
      </c>
      <c r="Q271" s="174" t="str">
        <f t="shared" si="67"/>
        <v/>
      </c>
      <c r="R271" s="174" t="str">
        <f t="shared" si="67"/>
        <v/>
      </c>
      <c r="S271" s="174" t="str">
        <f t="shared" si="67"/>
        <v/>
      </c>
      <c r="T271" s="174" t="str">
        <f t="shared" si="67"/>
        <v/>
      </c>
      <c r="U271" s="174" t="str">
        <f t="shared" si="67"/>
        <v/>
      </c>
      <c r="V271" s="174" t="str">
        <f t="shared" si="67"/>
        <v/>
      </c>
      <c r="W271" s="174" t="str">
        <f t="shared" si="67"/>
        <v/>
      </c>
      <c r="X271" s="174" t="str">
        <f t="shared" si="67"/>
        <v/>
      </c>
      <c r="Y271" s="174" t="str">
        <f t="shared" si="67"/>
        <v/>
      </c>
      <c r="Z271" s="174" t="str">
        <f t="shared" si="67"/>
        <v/>
      </c>
      <c r="AA271" s="174" t="str">
        <f t="shared" si="67"/>
        <v/>
      </c>
      <c r="AB271" s="174" t="str">
        <f t="shared" si="67"/>
        <v/>
      </c>
      <c r="AC271" s="174" t="str">
        <f t="shared" si="67"/>
        <v/>
      </c>
      <c r="AD271" s="174" t="str">
        <f t="shared" si="67"/>
        <v/>
      </c>
      <c r="AE271" s="174" t="str">
        <f t="shared" si="67"/>
        <v/>
      </c>
      <c r="AF271" s="174" t="str">
        <f t="shared" si="67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68">IF(B239&lt;100,"",B239-620)</f>
        <v/>
      </c>
      <c r="C272" s="174" t="str">
        <f t="shared" si="68"/>
        <v/>
      </c>
      <c r="D272" s="174" t="str">
        <f t="shared" si="68"/>
        <v/>
      </c>
      <c r="E272" s="174" t="str">
        <f t="shared" si="68"/>
        <v/>
      </c>
      <c r="F272" s="174" t="str">
        <f t="shared" si="68"/>
        <v/>
      </c>
      <c r="G272" s="174" t="str">
        <f t="shared" si="68"/>
        <v/>
      </c>
      <c r="H272" s="174" t="str">
        <f t="shared" si="68"/>
        <v/>
      </c>
      <c r="I272" s="174" t="str">
        <f t="shared" si="68"/>
        <v/>
      </c>
      <c r="J272" s="174" t="str">
        <f t="shared" si="68"/>
        <v/>
      </c>
      <c r="K272" s="174" t="str">
        <f t="shared" si="68"/>
        <v/>
      </c>
      <c r="L272" s="174" t="str">
        <f t="shared" si="68"/>
        <v/>
      </c>
      <c r="M272" s="174" t="str">
        <f t="shared" si="68"/>
        <v/>
      </c>
      <c r="N272" s="174" t="str">
        <f t="shared" si="68"/>
        <v/>
      </c>
      <c r="O272" s="174" t="str">
        <f t="shared" si="68"/>
        <v/>
      </c>
      <c r="P272" s="174" t="str">
        <f t="shared" si="68"/>
        <v/>
      </c>
      <c r="Q272" s="174" t="str">
        <f t="shared" si="68"/>
        <v/>
      </c>
      <c r="R272" s="174" t="str">
        <f t="shared" si="68"/>
        <v/>
      </c>
      <c r="S272" s="174" t="str">
        <f t="shared" si="68"/>
        <v/>
      </c>
      <c r="T272" s="174" t="str">
        <f t="shared" si="68"/>
        <v/>
      </c>
      <c r="U272" s="174" t="str">
        <f t="shared" si="68"/>
        <v/>
      </c>
      <c r="V272" s="174" t="str">
        <f t="shared" si="68"/>
        <v/>
      </c>
      <c r="W272" s="174" t="str">
        <f t="shared" si="68"/>
        <v/>
      </c>
      <c r="X272" s="174" t="str">
        <f t="shared" si="68"/>
        <v/>
      </c>
      <c r="Y272" s="174" t="str">
        <f t="shared" si="68"/>
        <v/>
      </c>
      <c r="Z272" s="174" t="str">
        <f t="shared" si="68"/>
        <v/>
      </c>
      <c r="AA272" s="174" t="str">
        <f t="shared" si="68"/>
        <v/>
      </c>
      <c r="AB272" s="174" t="str">
        <f t="shared" si="68"/>
        <v/>
      </c>
      <c r="AC272" s="174" t="str">
        <f t="shared" si="68"/>
        <v/>
      </c>
      <c r="AD272" s="174" t="str">
        <f t="shared" si="68"/>
        <v/>
      </c>
      <c r="AE272" s="174" t="str">
        <f t="shared" si="68"/>
        <v/>
      </c>
      <c r="AF272" s="174" t="str">
        <f t="shared" si="68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69">IF(B240&lt;100,"",B240-330)</f>
        <v/>
      </c>
      <c r="C273" s="174" t="str">
        <f t="shared" si="69"/>
        <v/>
      </c>
      <c r="D273" s="174" t="str">
        <f t="shared" si="69"/>
        <v/>
      </c>
      <c r="E273" s="174" t="str">
        <f t="shared" si="69"/>
        <v/>
      </c>
      <c r="F273" s="174" t="str">
        <f t="shared" si="69"/>
        <v/>
      </c>
      <c r="G273" s="174" t="str">
        <f t="shared" si="69"/>
        <v/>
      </c>
      <c r="H273" s="174" t="str">
        <f t="shared" si="69"/>
        <v/>
      </c>
      <c r="I273" s="174" t="str">
        <f t="shared" si="69"/>
        <v/>
      </c>
      <c r="J273" s="174" t="str">
        <f t="shared" si="69"/>
        <v/>
      </c>
      <c r="K273" s="174" t="str">
        <f t="shared" si="69"/>
        <v/>
      </c>
      <c r="L273" s="174" t="str">
        <f t="shared" si="69"/>
        <v/>
      </c>
      <c r="M273" s="174" t="str">
        <f t="shared" si="69"/>
        <v/>
      </c>
      <c r="N273" s="174" t="str">
        <f t="shared" si="69"/>
        <v/>
      </c>
      <c r="O273" s="174" t="str">
        <f t="shared" si="69"/>
        <v/>
      </c>
      <c r="P273" s="174" t="str">
        <f t="shared" si="69"/>
        <v/>
      </c>
      <c r="Q273" s="174" t="str">
        <f t="shared" si="69"/>
        <v/>
      </c>
      <c r="R273" s="174" t="str">
        <f t="shared" si="69"/>
        <v/>
      </c>
      <c r="S273" s="174" t="str">
        <f t="shared" si="69"/>
        <v/>
      </c>
      <c r="T273" s="174" t="str">
        <f t="shared" si="69"/>
        <v/>
      </c>
      <c r="U273" s="174" t="str">
        <f t="shared" si="69"/>
        <v/>
      </c>
      <c r="V273" s="174" t="str">
        <f t="shared" si="69"/>
        <v/>
      </c>
      <c r="W273" s="174" t="str">
        <f t="shared" si="69"/>
        <v/>
      </c>
      <c r="X273" s="174" t="str">
        <f t="shared" si="69"/>
        <v/>
      </c>
      <c r="Y273" s="174" t="str">
        <f t="shared" si="69"/>
        <v/>
      </c>
      <c r="Z273" s="174" t="str">
        <f t="shared" si="69"/>
        <v/>
      </c>
      <c r="AA273" s="174" t="str">
        <f t="shared" si="69"/>
        <v/>
      </c>
      <c r="AB273" s="174" t="str">
        <f t="shared" si="69"/>
        <v/>
      </c>
      <c r="AC273" s="174" t="str">
        <f t="shared" si="69"/>
        <v/>
      </c>
      <c r="AD273" s="174" t="str">
        <f t="shared" si="69"/>
        <v/>
      </c>
      <c r="AE273" s="174" t="str">
        <f t="shared" si="69"/>
        <v/>
      </c>
      <c r="AF273" s="174" t="str">
        <f t="shared" si="69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70">IF(B241&lt;100,"",B241-1500)</f>
        <v/>
      </c>
      <c r="C274" s="174" t="str">
        <f t="shared" si="70"/>
        <v/>
      </c>
      <c r="D274" s="174" t="str">
        <f t="shared" si="70"/>
        <v/>
      </c>
      <c r="E274" s="174" t="str">
        <f t="shared" si="70"/>
        <v/>
      </c>
      <c r="F274" s="174" t="str">
        <f t="shared" si="70"/>
        <v/>
      </c>
      <c r="G274" s="174" t="str">
        <f t="shared" si="70"/>
        <v/>
      </c>
      <c r="H274" s="174" t="str">
        <f t="shared" si="70"/>
        <v/>
      </c>
      <c r="I274" s="174" t="str">
        <f t="shared" si="70"/>
        <v/>
      </c>
      <c r="J274" s="174" t="str">
        <f t="shared" si="70"/>
        <v/>
      </c>
      <c r="K274" s="174" t="str">
        <f t="shared" si="70"/>
        <v/>
      </c>
      <c r="L274" s="174" t="str">
        <f t="shared" si="70"/>
        <v/>
      </c>
      <c r="M274" s="174" t="str">
        <f t="shared" si="70"/>
        <v/>
      </c>
      <c r="N274" s="174" t="str">
        <f t="shared" si="70"/>
        <v/>
      </c>
      <c r="O274" s="174" t="str">
        <f t="shared" si="70"/>
        <v/>
      </c>
      <c r="P274" s="174" t="str">
        <f t="shared" si="70"/>
        <v/>
      </c>
      <c r="Q274" s="174" t="str">
        <f t="shared" si="70"/>
        <v/>
      </c>
      <c r="R274" s="174" t="str">
        <f t="shared" si="70"/>
        <v/>
      </c>
      <c r="S274" s="174" t="str">
        <f t="shared" si="70"/>
        <v/>
      </c>
      <c r="T274" s="174" t="str">
        <f t="shared" si="70"/>
        <v/>
      </c>
      <c r="U274" s="174" t="str">
        <f t="shared" si="70"/>
        <v/>
      </c>
      <c r="V274" s="174" t="str">
        <f t="shared" si="70"/>
        <v/>
      </c>
      <c r="W274" s="174" t="str">
        <f t="shared" si="70"/>
        <v/>
      </c>
      <c r="X274" s="174" t="str">
        <f t="shared" si="70"/>
        <v/>
      </c>
      <c r="Y274" s="174" t="str">
        <f t="shared" si="70"/>
        <v/>
      </c>
      <c r="Z274" s="174" t="str">
        <f t="shared" si="70"/>
        <v/>
      </c>
      <c r="AA274" s="174" t="str">
        <f t="shared" si="70"/>
        <v/>
      </c>
      <c r="AB274" s="174" t="str">
        <f t="shared" si="70"/>
        <v/>
      </c>
      <c r="AC274" s="174" t="str">
        <f t="shared" si="70"/>
        <v/>
      </c>
      <c r="AD274" s="174" t="str">
        <f t="shared" si="70"/>
        <v/>
      </c>
      <c r="AE274" s="174" t="str">
        <f t="shared" si="70"/>
        <v/>
      </c>
      <c r="AF274" s="174" t="str">
        <f t="shared" si="70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3030" priority="190">
      <formula>$AH11=0</formula>
    </cfRule>
  </conditionalFormatting>
  <conditionalFormatting sqref="B8 M8 S8 AB8">
    <cfRule type="expression" dxfId="3029" priority="393">
      <formula>AND(C$9&gt;=14/24,C$9&lt;20/24)</formula>
    </cfRule>
    <cfRule type="expression" dxfId="3028" priority="395">
      <formula>C$9&lt;8/24</formula>
    </cfRule>
    <cfRule type="expression" dxfId="3027" priority="394">
      <formula>AND(C$9&gt;=8/24,C$9&lt;14/24)</formula>
    </cfRule>
  </conditionalFormatting>
  <conditionalFormatting sqref="B9:AF31">
    <cfRule type="expression" dxfId="3026" priority="39">
      <formula>B$9&gt;=20/24</formula>
    </cfRule>
    <cfRule type="expression" dxfId="3025" priority="40">
      <formula>AND(B$9&gt;=14/24,B$9&lt;20/24)</formula>
    </cfRule>
    <cfRule type="expression" dxfId="3024" priority="41">
      <formula>AND(B$9&gt;=8/24,B$9&lt;14/24)</formula>
    </cfRule>
    <cfRule type="expression" dxfId="3023" priority="42">
      <formula>B$9&lt;8/24</formula>
    </cfRule>
  </conditionalFormatting>
  <conditionalFormatting sqref="B11:AF31">
    <cfRule type="expression" dxfId="3022" priority="38">
      <formula>B11&gt;$AG11</formula>
    </cfRule>
  </conditionalFormatting>
  <conditionalFormatting sqref="B32:AF45">
    <cfRule type="expression" dxfId="3021" priority="54">
      <formula>AND(B$9&gt;=14/24,B$9&lt;20/24)</formula>
    </cfRule>
    <cfRule type="expression" dxfId="3020" priority="56">
      <formula>B$9&lt;8/24</formula>
    </cfRule>
    <cfRule type="expression" dxfId="3019" priority="55">
      <formula>AND(B$9&gt;=8/24,B$9&lt;14/24)</formula>
    </cfRule>
    <cfRule type="expression" dxfId="3018" priority="53">
      <formula>B$9&gt;=20/24</formula>
    </cfRule>
  </conditionalFormatting>
  <conditionalFormatting sqref="B32:AF46">
    <cfRule type="expression" dxfId="3017" priority="51">
      <formula>B32&gt;$AG32</formula>
    </cfRule>
  </conditionalFormatting>
  <conditionalFormatting sqref="B46:AF46">
    <cfRule type="expression" dxfId="3016" priority="47">
      <formula>B$9&gt;=20/24</formula>
    </cfRule>
    <cfRule type="expression" dxfId="3015" priority="48">
      <formula>AND(B$9&gt;=14/24,B$9&lt;20/24)</formula>
    </cfRule>
    <cfRule type="expression" dxfId="3014" priority="49">
      <formula>AND(B$9&gt;=8/24,B$9&lt;14/24)</formula>
    </cfRule>
    <cfRule type="expression" dxfId="3013" priority="50">
      <formula>B$9&lt;8/24</formula>
    </cfRule>
  </conditionalFormatting>
  <conditionalFormatting sqref="B47:AF47">
    <cfRule type="expression" dxfId="3012" priority="86">
      <formula>B47&gt;$AG47</formula>
    </cfRule>
  </conditionalFormatting>
  <conditionalFormatting sqref="B47:AF49">
    <cfRule type="expression" dxfId="3011" priority="72">
      <formula>B$9&lt;8/24</formula>
    </cfRule>
    <cfRule type="expression" dxfId="3010" priority="70">
      <formula>AND(B$9&gt;=14/24,B$9&lt;20/24)</formula>
    </cfRule>
    <cfRule type="expression" dxfId="3009" priority="69">
      <formula>B$9&gt;=20/24</formula>
    </cfRule>
    <cfRule type="expression" dxfId="3008" priority="71">
      <formula>AND(B$9&gt;=8/24,B$9&lt;14/24)</formula>
    </cfRule>
  </conditionalFormatting>
  <conditionalFormatting sqref="B48:AF49">
    <cfRule type="expression" dxfId="3007" priority="68">
      <formula>B48&gt;$AG48</formula>
    </cfRule>
  </conditionalFormatting>
  <conditionalFormatting sqref="B51:AF53">
    <cfRule type="expression" dxfId="3006" priority="126">
      <formula>AND(B$9&gt;=8/24,B$9&lt;14/24)</formula>
    </cfRule>
    <cfRule type="expression" dxfId="3005" priority="125">
      <formula>AND(B$9&gt;=14/24,B$9&lt;20/24)</formula>
    </cfRule>
    <cfRule type="expression" dxfId="3004" priority="124">
      <formula>B$9&gt;=20/24</formula>
    </cfRule>
    <cfRule type="expression" dxfId="3003" priority="123">
      <formula>B51&gt;$AG51</formula>
    </cfRule>
    <cfRule type="expression" dxfId="3002" priority="127">
      <formula>B$9&lt;8/24</formula>
    </cfRule>
  </conditionalFormatting>
  <conditionalFormatting sqref="B55:AF66">
    <cfRule type="expression" dxfId="3001" priority="87">
      <formula>B55&gt;$AG55</formula>
    </cfRule>
    <cfRule type="expression" dxfId="3000" priority="88">
      <formula>B$9&gt;=20/24</formula>
    </cfRule>
    <cfRule type="expression" dxfId="2999" priority="89">
      <formula>AND(B$9&gt;=14/24,B$9&lt;20/24)</formula>
    </cfRule>
    <cfRule type="expression" dxfId="2998" priority="91">
      <formula>B$9&lt;8/24</formula>
    </cfRule>
    <cfRule type="expression" dxfId="2997" priority="90">
      <formula>AND(B$9&gt;=8/24,B$9&lt;14/24)</formula>
    </cfRule>
  </conditionalFormatting>
  <conditionalFormatting sqref="B69:AF71">
    <cfRule type="expression" dxfId="2996" priority="17">
      <formula>B$9&lt;8/24</formula>
    </cfRule>
    <cfRule type="expression" dxfId="2995" priority="15">
      <formula>AND(B$9&gt;=14/24,B$9&lt;20/24)</formula>
    </cfRule>
    <cfRule type="expression" dxfId="2994" priority="14">
      <formula>B$9&gt;=20/24</formula>
    </cfRule>
    <cfRule type="expression" dxfId="2993" priority="13">
      <formula>B69&gt;$AG69</formula>
    </cfRule>
    <cfRule type="expression" dxfId="2992" priority="16">
      <formula>AND(B$9&gt;=8/24,B$9&lt;14/24)</formula>
    </cfRule>
  </conditionalFormatting>
  <conditionalFormatting sqref="B73:AF91">
    <cfRule type="expression" dxfId="2991" priority="4">
      <formula>B$9&lt;8/24</formula>
    </cfRule>
    <cfRule type="expression" dxfId="2990" priority="1">
      <formula>B$9&gt;=20/24</formula>
    </cfRule>
    <cfRule type="expression" dxfId="2989" priority="3">
      <formula>AND(B$9&gt;=8/24,B$9&lt;14/24)</formula>
    </cfRule>
    <cfRule type="expression" dxfId="2988" priority="2">
      <formula>AND(B$9&gt;=14/24,B$9&lt;20/24)</formula>
    </cfRule>
  </conditionalFormatting>
  <conditionalFormatting sqref="B93:AF109">
    <cfRule type="expression" dxfId="2987" priority="21">
      <formula>B$9&lt;8/24</formula>
    </cfRule>
    <cfRule type="expression" dxfId="2986" priority="20">
      <formula>AND(B$9&gt;=8/24,B$9&lt;14/24)</formula>
    </cfRule>
    <cfRule type="expression" dxfId="2985" priority="19">
      <formula>AND(B$9&gt;=14/24,B$9&lt;20/24)</formula>
    </cfRule>
    <cfRule type="expression" dxfId="2984" priority="18">
      <formula>B$9&gt;=20/24</formula>
    </cfRule>
  </conditionalFormatting>
  <conditionalFormatting sqref="B111:AF120">
    <cfRule type="expression" dxfId="2983" priority="46">
      <formula>B$9&lt;8/24</formula>
    </cfRule>
    <cfRule type="expression" dxfId="2982" priority="45">
      <formula>AND(B$9&gt;=8/24,B$9&lt;14/24)</formula>
    </cfRule>
    <cfRule type="expression" dxfId="2981" priority="44">
      <formula>AND(B$9&gt;=14/24,B$9&lt;20/24)</formula>
    </cfRule>
    <cfRule type="expression" dxfId="2980" priority="43">
      <formula>B$9&gt;=20/24</formula>
    </cfRule>
  </conditionalFormatting>
  <conditionalFormatting sqref="B227:AF227 D229:AF230 B229:B235 D231:H231 J231:AF231 D232:AF235 U248:AF248">
    <cfRule type="expression" dxfId="2979" priority="388">
      <formula>AND(B$9&gt;=8/24,B$9&lt;14/24)</formula>
    </cfRule>
    <cfRule type="expression" dxfId="2978" priority="387">
      <formula>AND(B$9&gt;=14/24,B$9&lt;20/24)</formula>
    </cfRule>
    <cfRule type="expression" dxfId="2977" priority="386">
      <formula>B$9&gt;=20/24</formula>
    </cfRule>
    <cfRule type="expression" dxfId="2976" priority="389">
      <formula>B$9&lt;8/24</formula>
    </cfRule>
  </conditionalFormatting>
  <conditionalFormatting sqref="B50:AG50">
    <cfRule type="expression" dxfId="2975" priority="67">
      <formula>B50&gt;$AG50</formula>
    </cfRule>
  </conditionalFormatting>
  <conditionalFormatting sqref="B54:AG54">
    <cfRule type="expression" dxfId="2974" priority="96">
      <formula>B$9&lt;8/24</formula>
    </cfRule>
    <cfRule type="expression" dxfId="2973" priority="92">
      <formula>B54&gt;$AG54</formula>
    </cfRule>
    <cfRule type="expression" dxfId="2972" priority="93">
      <formula>B$9&gt;=20/24</formula>
    </cfRule>
    <cfRule type="expression" dxfId="2971" priority="94">
      <formula>AND(B$9&gt;=14/24,B$9&lt;20/24)</formula>
    </cfRule>
    <cfRule type="expression" dxfId="2970" priority="95">
      <formula>AND(B$9&gt;=8/24,B$9&lt;14/24)</formula>
    </cfRule>
  </conditionalFormatting>
  <conditionalFormatting sqref="B67:AG68 B72:AG72">
    <cfRule type="expression" dxfId="2969" priority="101">
      <formula>B67&gt;$AG67</formula>
    </cfRule>
  </conditionalFormatting>
  <conditionalFormatting sqref="B72:AG72">
    <cfRule type="expression" dxfId="2968" priority="105">
      <formula>B$9&lt;8/24</formula>
    </cfRule>
    <cfRule type="expression" dxfId="2967" priority="104">
      <formula>AND(B$9&gt;=8/24,B$9&lt;14/24)</formula>
    </cfRule>
    <cfRule type="expression" dxfId="2966" priority="102">
      <formula>B$9&gt;=20/24</formula>
    </cfRule>
    <cfRule type="expression" dxfId="2965" priority="103">
      <formula>AND(B$9&gt;=14/24,B$9&lt;20/24)</formula>
    </cfRule>
  </conditionalFormatting>
  <conditionalFormatting sqref="O3:P3">
    <cfRule type="iconSet" priority="39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964" priority="392">
      <formula>C$9&gt;=20/24</formula>
    </cfRule>
  </conditionalFormatting>
  <conditionalFormatting sqref="S8">
    <cfRule type="expression" dxfId="2963" priority="366">
      <formula>AND(U$9&gt;=14/24,U$9&lt;20/24)</formula>
    </cfRule>
    <cfRule type="expression" dxfId="2962" priority="365">
      <formula>U$9&gt;=20/24</formula>
    </cfRule>
    <cfRule type="expression" dxfId="2961" priority="367">
      <formula>AND(U$9&gt;=8/24,U$9&lt;14/24)</formula>
    </cfRule>
    <cfRule type="expression" dxfId="2960" priority="368">
      <formula>U$9&lt;8/24</formula>
    </cfRule>
  </conditionalFormatting>
  <conditionalFormatting sqref="T248">
    <cfRule type="expression" dxfId="2959" priority="406">
      <formula>AND(AX$9&gt;=14/24,AX$9&lt;20/24)</formula>
    </cfRule>
    <cfRule type="expression" dxfId="2958" priority="405">
      <formula>AX$9&gt;=20/24</formula>
    </cfRule>
    <cfRule type="expression" dxfId="2957" priority="407">
      <formula>AND(AX$9&gt;=8/24,AX$9&lt;14/24)</formula>
    </cfRule>
    <cfRule type="expression" dxfId="2956" priority="408">
      <formula>AX$9&lt;8/24</formula>
    </cfRule>
  </conditionalFormatting>
  <conditionalFormatting sqref="V3 AB3">
    <cfRule type="iconSet" priority="391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955" priority="361">
      <formula>AD$9&gt;=20/24</formula>
    </cfRule>
    <cfRule type="expression" dxfId="2954" priority="362">
      <formula>AND(AD$9&gt;=14/24,AD$9&lt;20/24)</formula>
    </cfRule>
    <cfRule type="expression" dxfId="2953" priority="363">
      <formula>AND(AD$9&gt;=8/24,AD$9&lt;14/24)</formula>
    </cfRule>
    <cfRule type="expression" dxfId="2952" priority="364">
      <formula>AD$9&lt;8/24</formula>
    </cfRule>
  </conditionalFormatting>
  <conditionalFormatting sqref="AG89">
    <cfRule type="expression" dxfId="2951" priority="328">
      <formula>AG$9&gt;=20/24</formula>
    </cfRule>
    <cfRule type="expression" dxfId="2950" priority="329">
      <formula>AND(AG$9&gt;=14/24,AG$9&lt;20/24)</formula>
    </cfRule>
    <cfRule type="expression" dxfId="2949" priority="330">
      <formula>AND(AG$9&gt;=8/24,AG$9&lt;14/24)</formula>
    </cfRule>
    <cfRule type="expression" dxfId="2948" priority="331">
      <formula>AG$9&lt;8/24</formula>
    </cfRule>
  </conditionalFormatting>
  <conditionalFormatting sqref="AG248">
    <cfRule type="expression" dxfId="2947" priority="400">
      <formula>B$9&lt;8/24</formula>
    </cfRule>
    <cfRule type="expression" dxfId="2946" priority="398">
      <formula>AND(B$9&gt;=14/24,B$9&lt;20/24)</formula>
    </cfRule>
    <cfRule type="expression" dxfId="2945" priority="397">
      <formula>B$9&gt;=20/24</formula>
    </cfRule>
    <cfRule type="expression" dxfId="2944" priority="399">
      <formula>AND(B$9&gt;=8/24,B$9&lt;14/24)</formula>
    </cfRule>
  </conditionalFormatting>
  <conditionalFormatting sqref="AH248:AX248">
    <cfRule type="expression" dxfId="2943" priority="402">
      <formula>AND(AG$9&gt;=14/24,AG$9&lt;20/24)</formula>
    </cfRule>
    <cfRule type="expression" dxfId="2942" priority="403">
      <formula>AND(AG$9&gt;=8/24,AG$9&lt;14/24)</formula>
    </cfRule>
    <cfRule type="expression" dxfId="2941" priority="404">
      <formula>AG$9&lt;8/24</formula>
    </cfRule>
    <cfRule type="expression" dxfId="2940" priority="401">
      <formula>AG$9&gt;=20/24</formula>
    </cfRule>
  </conditionalFormatting>
  <conditionalFormatting sqref="AL4:AL6">
    <cfRule type="iconSet" priority="385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205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8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81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69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09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939" priority="410">
      <formula>AJ$9&gt;=20/24</formula>
    </cfRule>
    <cfRule type="expression" dxfId="2938" priority="411">
      <formula>AND(AJ$9&gt;=14/24,AJ$9&lt;20/24)</formula>
    </cfRule>
    <cfRule type="expression" dxfId="2937" priority="412">
      <formula>AND(AJ$9&gt;=8/24,AJ$9&lt;14/24)</formula>
    </cfRule>
    <cfRule type="expression" dxfId="2936" priority="413">
      <formula>AJ$9&lt;8/24</formula>
    </cfRule>
  </conditionalFormatting>
  <conditionalFormatting sqref="AL80:AN80 AL86:AN86">
    <cfRule type="expression" dxfId="2935" priority="231">
      <formula>AL$9&lt;8/24</formula>
    </cfRule>
    <cfRule type="expression" dxfId="2934" priority="230">
      <formula>AND(AL$9&gt;=8/24,AL$9&lt;14/24)</formula>
    </cfRule>
    <cfRule type="expression" dxfId="2933" priority="228">
      <formula>AL$9&gt;=20/24</formula>
    </cfRule>
    <cfRule type="expression" dxfId="2932" priority="229">
      <formula>AND(AL$9&gt;=14/24,AL$9&lt;20/24)</formula>
    </cfRule>
  </conditionalFormatting>
  <conditionalFormatting sqref="AN81:AN84">
    <cfRule type="expression" dxfId="2931" priority="227">
      <formula>AN$9&lt;8/24</formula>
    </cfRule>
    <cfRule type="expression" dxfId="2930" priority="226">
      <formula>AND(AN$9&gt;=8/24,AN$9&lt;14/24)</formula>
    </cfRule>
    <cfRule type="expression" dxfId="2929" priority="225">
      <formula>AND(AN$9&gt;=14/24,AN$9&lt;20/24)</formula>
    </cfRule>
    <cfRule type="expression" dxfId="2928" priority="224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2461-E978-48A9-8E17-CAB610234792}">
  <dimension ref="A1:CJ281"/>
  <sheetViews>
    <sheetView zoomScaleNormal="100" workbookViewId="0">
      <pane xSplit="1" ySplit="10" topLeftCell="B40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39" sqref="A3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2" width="9.42578125" style="1" customWidth="1"/>
    <col min="23" max="23" width="11" style="1" customWidth="1"/>
    <col min="24" max="24" width="8.7109375" style="1" customWidth="1"/>
    <col min="25" max="25" width="9.7109375" style="1" customWidth="1"/>
    <col min="26" max="26" width="8.7109375" style="1" customWidth="1"/>
    <col min="27" max="27" width="7.140625" style="1" customWidth="1"/>
    <col min="28" max="28" width="8.28515625" style="1" customWidth="1"/>
    <col min="29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2080/04/2</v>
      </c>
      <c r="C4" s="203"/>
      <c r="D4" s="203"/>
      <c r="E4" s="204" t="str">
        <f ca="1">"2079/"&amp;"12/"&amp;INT(MID(CELL("filename",G6),FIND("]",CELL("filename",G6))+1,200))</f>
        <v>2079/12/2</v>
      </c>
      <c r="F4" s="204"/>
      <c r="G4" s="204"/>
      <c r="H4" s="204" t="str">
        <f ca="1">TEXT(E4,"dddd")</f>
        <v>Saturday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40</v>
      </c>
      <c r="C5" s="30">
        <f t="shared" si="0"/>
        <v>40</v>
      </c>
      <c r="D5" s="30">
        <f t="shared" si="0"/>
        <v>35.6</v>
      </c>
      <c r="E5" s="30">
        <f t="shared" si="0"/>
        <v>0</v>
      </c>
      <c r="F5" s="30">
        <f t="shared" si="0"/>
        <v>49.2</v>
      </c>
      <c r="G5" s="30">
        <f t="shared" si="0"/>
        <v>30.3</v>
      </c>
      <c r="H5" s="30">
        <f t="shared" si="0"/>
        <v>43.6</v>
      </c>
      <c r="I5" s="30">
        <f t="shared" si="0"/>
        <v>27.9</v>
      </c>
      <c r="J5" s="30">
        <f t="shared" si="0"/>
        <v>32.1</v>
      </c>
      <c r="K5" s="30">
        <f t="shared" si="0"/>
        <v>31.9</v>
      </c>
      <c r="L5" s="30">
        <f t="shared" si="0"/>
        <v>35.299999999999997</v>
      </c>
      <c r="M5" s="30">
        <f t="shared" si="0"/>
        <v>15</v>
      </c>
      <c r="N5" s="30">
        <f t="shared" si="0"/>
        <v>2.8</v>
      </c>
      <c r="O5" s="30">
        <f t="shared" si="0"/>
        <v>4.7</v>
      </c>
      <c r="P5" s="30">
        <f t="shared" si="0"/>
        <v>4.8</v>
      </c>
      <c r="Q5" s="30">
        <f t="shared" si="0"/>
        <v>1.7</v>
      </c>
      <c r="R5" s="30">
        <f t="shared" si="0"/>
        <v>4.4000000000000004</v>
      </c>
      <c r="S5" s="30">
        <f t="shared" si="0"/>
        <v>14.4</v>
      </c>
      <c r="T5" s="30">
        <f t="shared" si="0"/>
        <v>5</v>
      </c>
      <c r="U5" s="30">
        <f t="shared" si="0"/>
        <v>14.1</v>
      </c>
      <c r="V5" s="30">
        <f t="shared" si="0"/>
        <v>16.7</v>
      </c>
      <c r="W5" s="30">
        <f t="shared" si="0"/>
        <v>16.7</v>
      </c>
      <c r="X5" s="30">
        <f t="shared" si="0"/>
        <v>8.4</v>
      </c>
      <c r="Y5" s="30">
        <f t="shared" si="0"/>
        <v>25</v>
      </c>
      <c r="Z5" s="30">
        <f t="shared" si="0"/>
        <v>0</v>
      </c>
      <c r="AA5" s="30">
        <f t="shared" si="0"/>
        <v>14.1</v>
      </c>
      <c r="AB5" s="30">
        <f t="shared" si="0"/>
        <v>14.1</v>
      </c>
      <c r="AC5" s="30">
        <f t="shared" si="0"/>
        <v>14.1</v>
      </c>
      <c r="AD5" s="30">
        <f t="shared" si="0"/>
        <v>14.1</v>
      </c>
      <c r="AE5" s="30">
        <f t="shared" si="0"/>
        <v>39</v>
      </c>
      <c r="AF5" s="30">
        <f>B84</f>
        <v>40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1932MW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Load=1612</v>
      </c>
      <c r="B7" s="35">
        <f t="shared" ref="B7:AF7" si="1">B91</f>
        <v>1844.34</v>
      </c>
      <c r="C7" s="35">
        <f t="shared" si="1"/>
        <v>1844.74</v>
      </c>
      <c r="D7" s="35">
        <f t="shared" si="1"/>
        <v>1840.74</v>
      </c>
      <c r="E7" s="35">
        <f t="shared" si="1"/>
        <v>1789.3</v>
      </c>
      <c r="F7" s="35">
        <f t="shared" si="1"/>
        <v>1611.9</v>
      </c>
      <c r="G7" s="35">
        <f t="shared" si="1"/>
        <v>1748.1000000000001</v>
      </c>
      <c r="H7" s="35">
        <f t="shared" si="1"/>
        <v>1810.34</v>
      </c>
      <c r="I7" s="35">
        <f t="shared" si="1"/>
        <v>1810.4399999999998</v>
      </c>
      <c r="J7" s="35">
        <f t="shared" si="1"/>
        <v>1827.44</v>
      </c>
      <c r="K7" s="35">
        <f t="shared" si="1"/>
        <v>1888.1399999999999</v>
      </c>
      <c r="L7" s="35">
        <f t="shared" si="1"/>
        <v>1919.44</v>
      </c>
      <c r="M7" s="35">
        <f t="shared" si="1"/>
        <v>1931.84</v>
      </c>
      <c r="N7" s="35">
        <f>N91</f>
        <v>1916.54</v>
      </c>
      <c r="O7" s="35">
        <f t="shared" si="1"/>
        <v>1859.34</v>
      </c>
      <c r="P7" s="35">
        <f t="shared" si="1"/>
        <v>1922.94</v>
      </c>
      <c r="Q7" s="35">
        <f t="shared" si="1"/>
        <v>1844.74</v>
      </c>
      <c r="R7" s="35">
        <f t="shared" si="1"/>
        <v>1873.24</v>
      </c>
      <c r="S7" s="35">
        <f t="shared" si="1"/>
        <v>1867.64</v>
      </c>
      <c r="T7" s="35">
        <f t="shared" si="1"/>
        <v>1877.64</v>
      </c>
      <c r="U7" s="35">
        <f t="shared" si="1"/>
        <v>1836.1399999999999</v>
      </c>
      <c r="V7" s="35">
        <f t="shared" si="1"/>
        <v>1852.84</v>
      </c>
      <c r="W7" s="35">
        <f t="shared" si="1"/>
        <v>1840.94</v>
      </c>
      <c r="X7" s="35">
        <f t="shared" si="1"/>
        <v>1842.24</v>
      </c>
      <c r="Y7" s="35">
        <f t="shared" si="1"/>
        <v>1845.94</v>
      </c>
      <c r="Z7" s="35">
        <f t="shared" si="1"/>
        <v>1940.04</v>
      </c>
      <c r="AA7" s="35">
        <f t="shared" si="1"/>
        <v>1952.7399999999998</v>
      </c>
      <c r="AB7" s="35">
        <f t="shared" si="1"/>
        <v>1946.34</v>
      </c>
      <c r="AC7" s="35">
        <f t="shared" si="1"/>
        <v>1946.34</v>
      </c>
      <c r="AD7" s="35">
        <f t="shared" si="1"/>
        <v>1916.34</v>
      </c>
      <c r="AE7" s="35">
        <f t="shared" si="1"/>
        <v>1869.44</v>
      </c>
      <c r="AF7" s="35">
        <f t="shared" si="1"/>
        <v>1719.04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90.2</v>
      </c>
      <c r="C11" s="45">
        <v>90.2</v>
      </c>
      <c r="D11" s="45">
        <v>90.2</v>
      </c>
      <c r="E11" s="45">
        <v>90.2</v>
      </c>
      <c r="F11" s="45">
        <v>90.2</v>
      </c>
      <c r="G11" s="45">
        <v>90.2</v>
      </c>
      <c r="H11" s="45">
        <v>90.2</v>
      </c>
      <c r="I11" s="45">
        <v>90.2</v>
      </c>
      <c r="J11" s="45">
        <v>90.2</v>
      </c>
      <c r="K11" s="45">
        <v>90.2</v>
      </c>
      <c r="L11" s="45">
        <v>90.2</v>
      </c>
      <c r="M11" s="45">
        <v>90.2</v>
      </c>
      <c r="N11" s="45">
        <v>90.2</v>
      </c>
      <c r="O11" s="45">
        <v>90.2</v>
      </c>
      <c r="P11" s="45">
        <v>60.3</v>
      </c>
      <c r="Q11" s="45">
        <v>60.3</v>
      </c>
      <c r="R11" s="45">
        <v>90.5</v>
      </c>
      <c r="S11" s="45">
        <v>90.5</v>
      </c>
      <c r="T11" s="45">
        <v>90.5</v>
      </c>
      <c r="U11" s="45">
        <v>90.5</v>
      </c>
      <c r="V11" s="45">
        <v>90.5</v>
      </c>
      <c r="W11" s="45">
        <v>90.5</v>
      </c>
      <c r="X11" s="45">
        <v>90.5</v>
      </c>
      <c r="Y11" s="45">
        <v>85.8</v>
      </c>
      <c r="Z11" s="45">
        <v>85.8</v>
      </c>
      <c r="AA11" s="45">
        <v>85.8</v>
      </c>
      <c r="AB11" s="45">
        <v>85.8</v>
      </c>
      <c r="AC11" s="45">
        <v>85.8</v>
      </c>
      <c r="AD11" s="45">
        <v>85.8</v>
      </c>
      <c r="AE11" s="45">
        <v>85.8</v>
      </c>
      <c r="AF11" s="45">
        <v>90</v>
      </c>
      <c r="AG11" s="46">
        <v>86</v>
      </c>
      <c r="AH11" s="47">
        <f t="shared" ref="AH11:AH76" si="2">MAX(B11:AF11)</f>
        <v>90.5</v>
      </c>
      <c r="AI11" s="48">
        <f t="shared" ref="AI11:AI76" si="3">MIN(B11:AF11)</f>
        <v>60.3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11</v>
      </c>
      <c r="L12" s="45">
        <v>26</v>
      </c>
      <c r="M12" s="45">
        <v>26</v>
      </c>
      <c r="N12" s="45">
        <v>26</v>
      </c>
      <c r="O12" s="45">
        <v>26</v>
      </c>
      <c r="P12" s="45">
        <v>26</v>
      </c>
      <c r="Q12" s="45">
        <v>26</v>
      </c>
      <c r="R12" s="45">
        <v>26</v>
      </c>
      <c r="S12" s="45">
        <v>26</v>
      </c>
      <c r="T12" s="45">
        <v>26</v>
      </c>
      <c r="U12" s="45">
        <v>26</v>
      </c>
      <c r="V12" s="45">
        <v>18</v>
      </c>
      <c r="W12" s="45">
        <v>0</v>
      </c>
      <c r="X12" s="45">
        <v>0</v>
      </c>
      <c r="Y12" s="45">
        <v>0</v>
      </c>
      <c r="Z12" s="45">
        <v>27</v>
      </c>
      <c r="AA12" s="45">
        <v>27</v>
      </c>
      <c r="AB12" s="45">
        <v>27</v>
      </c>
      <c r="AC12" s="45">
        <v>27</v>
      </c>
      <c r="AD12" s="45">
        <v>27</v>
      </c>
      <c r="AE12" s="45">
        <v>27</v>
      </c>
      <c r="AF12" s="45">
        <v>20</v>
      </c>
      <c r="AG12" s="49">
        <v>54</v>
      </c>
      <c r="AH12" s="47">
        <f t="shared" si="2"/>
        <v>27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55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>
        <v>55</v>
      </c>
      <c r="K13" s="45">
        <v>55</v>
      </c>
      <c r="L13" s="45">
        <v>55</v>
      </c>
      <c r="M13" s="45">
        <v>55</v>
      </c>
      <c r="N13" s="45">
        <v>55</v>
      </c>
      <c r="O13" s="45">
        <v>55</v>
      </c>
      <c r="P13" s="45">
        <v>55</v>
      </c>
      <c r="Q13" s="45">
        <v>55</v>
      </c>
      <c r="R13" s="45">
        <v>55</v>
      </c>
      <c r="S13" s="45">
        <v>55</v>
      </c>
      <c r="T13" s="45">
        <v>55</v>
      </c>
      <c r="U13" s="45">
        <v>55</v>
      </c>
      <c r="V13" s="45">
        <v>55</v>
      </c>
      <c r="W13" s="45">
        <v>55</v>
      </c>
      <c r="X13" s="45">
        <v>55</v>
      </c>
      <c r="Y13" s="45">
        <v>55</v>
      </c>
      <c r="Z13" s="45">
        <v>55</v>
      </c>
      <c r="AA13" s="45">
        <v>55</v>
      </c>
      <c r="AB13" s="45">
        <v>55</v>
      </c>
      <c r="AC13" s="45">
        <v>55</v>
      </c>
      <c r="AD13" s="45">
        <v>55</v>
      </c>
      <c r="AE13" s="45">
        <v>55</v>
      </c>
      <c r="AF13" s="45">
        <v>55</v>
      </c>
      <c r="AG13" s="46">
        <v>52.4</v>
      </c>
      <c r="AH13" s="47">
        <f t="shared" si="2"/>
        <v>55</v>
      </c>
      <c r="AI13" s="48">
        <f t="shared" si="3"/>
        <v>55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50.5</v>
      </c>
      <c r="C14" s="45">
        <v>50.5</v>
      </c>
      <c r="D14" s="45">
        <v>50.5</v>
      </c>
      <c r="E14" s="45">
        <v>50.5</v>
      </c>
      <c r="F14" s="45">
        <v>50.5</v>
      </c>
      <c r="G14" s="45">
        <v>50.5</v>
      </c>
      <c r="H14" s="45">
        <v>50.5</v>
      </c>
      <c r="I14" s="45">
        <v>50.5</v>
      </c>
      <c r="J14" s="45">
        <v>50.5</v>
      </c>
      <c r="K14" s="45">
        <v>50.5</v>
      </c>
      <c r="L14" s="45">
        <v>50.5</v>
      </c>
      <c r="M14" s="45">
        <v>50.5</v>
      </c>
      <c r="N14" s="45">
        <v>50.5</v>
      </c>
      <c r="O14" s="45">
        <v>50.5</v>
      </c>
      <c r="P14" s="45">
        <v>50.5</v>
      </c>
      <c r="Q14" s="45">
        <v>50.5</v>
      </c>
      <c r="R14" s="45">
        <v>50.3</v>
      </c>
      <c r="S14" s="45">
        <v>50.3</v>
      </c>
      <c r="T14" s="45">
        <v>50.3</v>
      </c>
      <c r="U14" s="45">
        <v>50.3</v>
      </c>
      <c r="V14" s="45">
        <v>50.3</v>
      </c>
      <c r="W14" s="45">
        <v>50.3</v>
      </c>
      <c r="X14" s="45">
        <v>50.3</v>
      </c>
      <c r="Y14" s="45">
        <v>50.3</v>
      </c>
      <c r="Z14" s="45">
        <v>50.3</v>
      </c>
      <c r="AA14" s="45">
        <v>50.3</v>
      </c>
      <c r="AB14" s="45">
        <v>50.3</v>
      </c>
      <c r="AC14" s="45">
        <v>50.3</v>
      </c>
      <c r="AD14" s="45">
        <v>50.3</v>
      </c>
      <c r="AE14" s="45">
        <v>50.3</v>
      </c>
      <c r="AF14" s="45">
        <v>50.3</v>
      </c>
      <c r="AG14" s="49">
        <v>50</v>
      </c>
      <c r="AH14" s="47">
        <f t="shared" si="2"/>
        <v>50.5</v>
      </c>
      <c r="AI14" s="48">
        <f t="shared" si="3"/>
        <v>50.3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36</v>
      </c>
      <c r="C15" s="45">
        <v>36</v>
      </c>
      <c r="D15" s="45">
        <v>36</v>
      </c>
      <c r="E15" s="45">
        <v>36</v>
      </c>
      <c r="F15" s="45">
        <v>36</v>
      </c>
      <c r="G15" s="45">
        <v>36</v>
      </c>
      <c r="H15" s="45">
        <v>36</v>
      </c>
      <c r="I15" s="45">
        <v>36</v>
      </c>
      <c r="J15" s="45">
        <v>36</v>
      </c>
      <c r="K15" s="45">
        <v>36</v>
      </c>
      <c r="L15" s="45">
        <v>36</v>
      </c>
      <c r="M15" s="45">
        <v>36</v>
      </c>
      <c r="N15" s="45">
        <v>36</v>
      </c>
      <c r="O15" s="45">
        <v>36</v>
      </c>
      <c r="P15" s="45">
        <v>36</v>
      </c>
      <c r="Q15" s="45">
        <v>36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</v>
      </c>
      <c r="AI15" s="48">
        <f t="shared" si="3"/>
        <v>36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30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30</v>
      </c>
      <c r="AF16" s="45">
        <v>0</v>
      </c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</v>
      </c>
      <c r="C17" s="45">
        <v>28</v>
      </c>
      <c r="D17" s="45">
        <v>28</v>
      </c>
      <c r="E17" s="45">
        <v>28</v>
      </c>
      <c r="F17" s="45">
        <v>0</v>
      </c>
      <c r="G17" s="45">
        <v>28</v>
      </c>
      <c r="H17" s="45">
        <v>29</v>
      </c>
      <c r="I17" s="45">
        <v>29</v>
      </c>
      <c r="J17" s="45">
        <v>29</v>
      </c>
      <c r="K17" s="45">
        <v>29</v>
      </c>
      <c r="L17" s="45">
        <v>29</v>
      </c>
      <c r="M17" s="45">
        <v>29</v>
      </c>
      <c r="N17" s="45">
        <v>29</v>
      </c>
      <c r="O17" s="45">
        <v>29</v>
      </c>
      <c r="P17" s="45">
        <v>24.4</v>
      </c>
      <c r="Q17" s="45">
        <v>28.4</v>
      </c>
      <c r="R17" s="45">
        <v>28.4</v>
      </c>
      <c r="S17" s="45">
        <v>28.4</v>
      </c>
      <c r="T17" s="45">
        <v>28.4</v>
      </c>
      <c r="U17" s="45">
        <v>28.4</v>
      </c>
      <c r="V17" s="45">
        <v>28.4</v>
      </c>
      <c r="W17" s="45">
        <v>28.4</v>
      </c>
      <c r="X17" s="45">
        <v>28.4</v>
      </c>
      <c r="Y17" s="45">
        <v>28.4</v>
      </c>
      <c r="Z17" s="45">
        <v>28.4</v>
      </c>
      <c r="AA17" s="45">
        <v>28.4</v>
      </c>
      <c r="AB17" s="45">
        <v>28.4</v>
      </c>
      <c r="AC17" s="45">
        <v>28.4</v>
      </c>
      <c r="AD17" s="45">
        <v>28.4</v>
      </c>
      <c r="AE17" s="45">
        <v>28.4</v>
      </c>
      <c r="AF17" s="45">
        <v>28.4</v>
      </c>
      <c r="AG17" s="49">
        <v>42</v>
      </c>
      <c r="AH17" s="47">
        <f t="shared" si="2"/>
        <v>29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0</v>
      </c>
      <c r="J18" s="45">
        <v>0</v>
      </c>
      <c r="K18" s="45">
        <v>24</v>
      </c>
      <c r="L18" s="45">
        <v>14</v>
      </c>
      <c r="M18" s="45">
        <v>14</v>
      </c>
      <c r="N18" s="45">
        <v>14</v>
      </c>
      <c r="O18" s="45">
        <v>14</v>
      </c>
      <c r="P18" s="45">
        <v>14</v>
      </c>
      <c r="Q18" s="45">
        <v>14</v>
      </c>
      <c r="R18" s="45">
        <v>14</v>
      </c>
      <c r="S18" s="45">
        <v>14</v>
      </c>
      <c r="T18" s="45">
        <v>14</v>
      </c>
      <c r="U18" s="45">
        <v>14</v>
      </c>
      <c r="V18" s="45">
        <v>14</v>
      </c>
      <c r="W18" s="45">
        <v>14</v>
      </c>
      <c r="X18" s="45">
        <v>14</v>
      </c>
      <c r="Y18" s="45">
        <v>14</v>
      </c>
      <c r="Z18" s="45">
        <v>14</v>
      </c>
      <c r="AA18" s="45">
        <v>14</v>
      </c>
      <c r="AB18" s="45">
        <v>14</v>
      </c>
      <c r="AC18" s="45">
        <v>14</v>
      </c>
      <c r="AD18" s="45">
        <v>14</v>
      </c>
      <c r="AE18" s="45">
        <v>14</v>
      </c>
      <c r="AF18" s="45">
        <v>14</v>
      </c>
      <c r="AG18" s="49">
        <v>38.46</v>
      </c>
      <c r="AH18" s="47">
        <f t="shared" si="2"/>
        <v>38</v>
      </c>
      <c r="AI18" s="48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32</v>
      </c>
      <c r="E19" s="45">
        <v>32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24</v>
      </c>
      <c r="O19" s="45">
        <v>24</v>
      </c>
      <c r="P19" s="45">
        <v>24</v>
      </c>
      <c r="Q19" s="45">
        <v>24</v>
      </c>
      <c r="R19" s="45">
        <v>24</v>
      </c>
      <c r="S19" s="45">
        <v>24</v>
      </c>
      <c r="T19" s="45">
        <v>24</v>
      </c>
      <c r="U19" s="45">
        <v>24</v>
      </c>
      <c r="V19" s="45">
        <v>24</v>
      </c>
      <c r="W19" s="45">
        <v>24</v>
      </c>
      <c r="X19" s="45">
        <v>24</v>
      </c>
      <c r="Y19" s="45">
        <v>24</v>
      </c>
      <c r="Z19" s="45">
        <v>24</v>
      </c>
      <c r="AA19" s="45">
        <v>24</v>
      </c>
      <c r="AB19" s="45">
        <v>24</v>
      </c>
      <c r="AC19" s="45">
        <v>24</v>
      </c>
      <c r="AD19" s="45">
        <v>24</v>
      </c>
      <c r="AE19" s="45">
        <v>24</v>
      </c>
      <c r="AF19" s="45">
        <v>24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5</v>
      </c>
      <c r="K20" s="45">
        <v>15</v>
      </c>
      <c r="L20" s="45">
        <v>30</v>
      </c>
      <c r="M20" s="45">
        <v>25</v>
      </c>
      <c r="N20" s="45">
        <v>25</v>
      </c>
      <c r="O20" s="45">
        <v>30</v>
      </c>
      <c r="P20" s="45">
        <v>30</v>
      </c>
      <c r="Q20" s="45">
        <v>30</v>
      </c>
      <c r="R20" s="45">
        <v>30.1</v>
      </c>
      <c r="S20" s="45">
        <v>29.6</v>
      </c>
      <c r="T20" s="45">
        <v>29.6</v>
      </c>
      <c r="U20" s="45">
        <v>29.9</v>
      </c>
      <c r="V20" s="45">
        <v>10</v>
      </c>
      <c r="W20" s="45">
        <v>0</v>
      </c>
      <c r="X20" s="45">
        <v>0</v>
      </c>
      <c r="Y20" s="45">
        <v>0</v>
      </c>
      <c r="Z20" s="45">
        <v>15</v>
      </c>
      <c r="AA20" s="45">
        <v>30</v>
      </c>
      <c r="AB20" s="45">
        <v>30</v>
      </c>
      <c r="AC20" s="45">
        <v>30</v>
      </c>
      <c r="AD20" s="45">
        <v>30</v>
      </c>
      <c r="AE20" s="45">
        <v>16</v>
      </c>
      <c r="AF20" s="45">
        <v>11</v>
      </c>
      <c r="AG20" s="51">
        <v>30</v>
      </c>
      <c r="AH20" s="47">
        <f t="shared" si="2"/>
        <v>30.1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23</v>
      </c>
      <c r="C21" s="45">
        <v>23</v>
      </c>
      <c r="D21" s="45">
        <v>23</v>
      </c>
      <c r="E21" s="45">
        <v>23</v>
      </c>
      <c r="F21" s="45">
        <v>23</v>
      </c>
      <c r="G21" s="45">
        <v>23</v>
      </c>
      <c r="H21" s="45">
        <v>23.8</v>
      </c>
      <c r="I21" s="45">
        <v>23.8</v>
      </c>
      <c r="J21" s="45">
        <v>23.8</v>
      </c>
      <c r="K21" s="45">
        <v>23.8</v>
      </c>
      <c r="L21" s="45">
        <v>23.8</v>
      </c>
      <c r="M21" s="45">
        <v>23.8</v>
      </c>
      <c r="N21" s="45">
        <v>23.8</v>
      </c>
      <c r="O21" s="45">
        <v>23.8</v>
      </c>
      <c r="P21" s="45">
        <v>23.8</v>
      </c>
      <c r="Q21" s="45">
        <v>23.8</v>
      </c>
      <c r="R21" s="45">
        <v>23.8</v>
      </c>
      <c r="S21" s="45">
        <v>23.8</v>
      </c>
      <c r="T21" s="45">
        <v>23.8</v>
      </c>
      <c r="U21" s="45">
        <v>23.8</v>
      </c>
      <c r="V21" s="45">
        <v>23.8</v>
      </c>
      <c r="W21" s="45">
        <v>23.8</v>
      </c>
      <c r="X21" s="45">
        <v>23.8</v>
      </c>
      <c r="Y21" s="45">
        <v>23.8</v>
      </c>
      <c r="Z21" s="45">
        <v>23.8</v>
      </c>
      <c r="AA21" s="45">
        <v>23.8</v>
      </c>
      <c r="AB21" s="45">
        <v>23.8</v>
      </c>
      <c r="AC21" s="45">
        <v>23.8</v>
      </c>
      <c r="AD21" s="45">
        <v>23.8</v>
      </c>
      <c r="AE21" s="45">
        <v>21</v>
      </c>
      <c r="AF21" s="45">
        <v>21</v>
      </c>
      <c r="AG21" s="49">
        <v>24.2</v>
      </c>
      <c r="AH21" s="47">
        <f t="shared" si="2"/>
        <v>23.8</v>
      </c>
      <c r="AI21" s="48">
        <f t="shared" si="3"/>
        <v>21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14.5</v>
      </c>
      <c r="C22" s="45">
        <v>14.5</v>
      </c>
      <c r="D22" s="45">
        <v>14.5</v>
      </c>
      <c r="E22" s="45">
        <v>14.5</v>
      </c>
      <c r="F22" s="45">
        <v>14.5</v>
      </c>
      <c r="G22" s="45">
        <v>14.5</v>
      </c>
      <c r="H22" s="45">
        <v>14.5</v>
      </c>
      <c r="I22" s="45">
        <v>14.5</v>
      </c>
      <c r="J22" s="45">
        <v>14.5</v>
      </c>
      <c r="K22" s="45">
        <v>14.5</v>
      </c>
      <c r="L22" s="45">
        <v>14.5</v>
      </c>
      <c r="M22" s="45">
        <v>14.5</v>
      </c>
      <c r="N22" s="45">
        <v>14.5</v>
      </c>
      <c r="O22" s="45">
        <v>14.5</v>
      </c>
      <c r="P22" s="45">
        <v>14.5</v>
      </c>
      <c r="Q22" s="45">
        <v>14.5</v>
      </c>
      <c r="R22" s="45">
        <v>14.8</v>
      </c>
      <c r="S22" s="45">
        <v>14.8</v>
      </c>
      <c r="T22" s="45">
        <v>14.8</v>
      </c>
      <c r="U22" s="45">
        <v>14.8</v>
      </c>
      <c r="V22" s="45">
        <v>15.6</v>
      </c>
      <c r="W22" s="45">
        <v>15.6</v>
      </c>
      <c r="X22" s="45">
        <v>15.6</v>
      </c>
      <c r="Y22" s="45">
        <v>15.6</v>
      </c>
      <c r="Z22" s="45">
        <v>15.6</v>
      </c>
      <c r="AA22" s="45">
        <v>15.6</v>
      </c>
      <c r="AB22" s="45">
        <v>15.6</v>
      </c>
      <c r="AC22" s="45">
        <v>15.6</v>
      </c>
      <c r="AD22" s="45">
        <v>15.6</v>
      </c>
      <c r="AE22" s="45">
        <v>14.5</v>
      </c>
      <c r="AF22" s="45">
        <v>14.5</v>
      </c>
      <c r="AG22" s="49">
        <v>28</v>
      </c>
      <c r="AH22" s="47">
        <f t="shared" si="2"/>
        <v>15.6</v>
      </c>
      <c r="AI22" s="48">
        <f t="shared" si="3"/>
        <v>14.5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3</v>
      </c>
      <c r="K23" s="45">
        <v>3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0</v>
      </c>
      <c r="X23" s="45">
        <v>0</v>
      </c>
      <c r="Y23" s="45">
        <v>0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</v>
      </c>
      <c r="C24" s="45">
        <v>24</v>
      </c>
      <c r="D24" s="45">
        <v>24</v>
      </c>
      <c r="E24" s="45">
        <v>24</v>
      </c>
      <c r="F24" s="45">
        <v>0</v>
      </c>
      <c r="G24" s="45">
        <v>24</v>
      </c>
      <c r="H24" s="45">
        <v>24</v>
      </c>
      <c r="I24" s="45">
        <v>24</v>
      </c>
      <c r="J24" s="45">
        <v>24</v>
      </c>
      <c r="K24" s="45">
        <v>24</v>
      </c>
      <c r="L24" s="45">
        <v>24</v>
      </c>
      <c r="M24" s="45">
        <v>24</v>
      </c>
      <c r="N24" s="45">
        <v>0</v>
      </c>
      <c r="O24" s="45">
        <v>0</v>
      </c>
      <c r="P24" s="45">
        <v>24</v>
      </c>
      <c r="Q24" s="45">
        <v>24</v>
      </c>
      <c r="R24" s="45">
        <v>23.3</v>
      </c>
      <c r="S24" s="45">
        <v>23.3</v>
      </c>
      <c r="T24" s="45">
        <v>23.3</v>
      </c>
      <c r="U24" s="45">
        <v>23.3</v>
      </c>
      <c r="V24" s="45">
        <v>25.4</v>
      </c>
      <c r="W24" s="45">
        <v>25.4</v>
      </c>
      <c r="X24" s="45">
        <v>25.4</v>
      </c>
      <c r="Y24" s="45">
        <v>25.4</v>
      </c>
      <c r="Z24" s="45">
        <v>25.4</v>
      </c>
      <c r="AA24" s="45">
        <v>25.4</v>
      </c>
      <c r="AB24" s="45">
        <v>25.4</v>
      </c>
      <c r="AC24" s="45">
        <v>25.4</v>
      </c>
      <c r="AD24" s="45">
        <v>25.4</v>
      </c>
      <c r="AE24" s="45">
        <v>25.4</v>
      </c>
      <c r="AF24" s="45">
        <v>25.4</v>
      </c>
      <c r="AG24" s="49">
        <v>25</v>
      </c>
      <c r="AH24" s="47">
        <f t="shared" si="2"/>
        <v>25.4</v>
      </c>
      <c r="AI24" s="48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0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5</v>
      </c>
      <c r="L27" s="45">
        <v>15</v>
      </c>
      <c r="M27" s="45">
        <v>20</v>
      </c>
      <c r="N27" s="45">
        <v>20</v>
      </c>
      <c r="O27" s="45">
        <v>20</v>
      </c>
      <c r="P27" s="45">
        <v>20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8.5</v>
      </c>
      <c r="W27" s="45">
        <v>0</v>
      </c>
      <c r="X27" s="45">
        <v>0</v>
      </c>
      <c r="Y27" s="45">
        <v>0</v>
      </c>
      <c r="Z27" s="45">
        <v>12.5</v>
      </c>
      <c r="AA27" s="45">
        <v>25</v>
      </c>
      <c r="AB27" s="45">
        <v>25</v>
      </c>
      <c r="AC27" s="45">
        <v>25</v>
      </c>
      <c r="AD27" s="45">
        <v>25</v>
      </c>
      <c r="AE27" s="45">
        <v>12.5</v>
      </c>
      <c r="AF27" s="45">
        <v>12.5</v>
      </c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24.8</v>
      </c>
      <c r="C28" s="45">
        <v>24.8</v>
      </c>
      <c r="D28" s="45">
        <v>24.8</v>
      </c>
      <c r="E28" s="45">
        <v>24.8</v>
      </c>
      <c r="F28" s="45">
        <v>24.8</v>
      </c>
      <c r="G28" s="45">
        <v>24.8</v>
      </c>
      <c r="H28" s="45">
        <v>24.8</v>
      </c>
      <c r="I28" s="45">
        <v>24.8</v>
      </c>
      <c r="J28" s="45">
        <v>24.8</v>
      </c>
      <c r="K28" s="45">
        <v>24.8</v>
      </c>
      <c r="L28" s="45">
        <v>24.8</v>
      </c>
      <c r="M28" s="45">
        <v>24.8</v>
      </c>
      <c r="N28" s="45">
        <v>24.8</v>
      </c>
      <c r="O28" s="45">
        <v>24.8</v>
      </c>
      <c r="P28" s="45">
        <v>24.8</v>
      </c>
      <c r="Q28" s="45">
        <v>24.8</v>
      </c>
      <c r="R28" s="45">
        <v>24.8</v>
      </c>
      <c r="S28" s="45">
        <v>24.8</v>
      </c>
      <c r="T28" s="45">
        <v>24.8</v>
      </c>
      <c r="U28" s="45">
        <v>24.8</v>
      </c>
      <c r="V28" s="45">
        <v>24.8</v>
      </c>
      <c r="W28" s="45">
        <v>24.8</v>
      </c>
      <c r="X28" s="45">
        <v>24.8</v>
      </c>
      <c r="Y28" s="45">
        <v>24.8</v>
      </c>
      <c r="Z28" s="45">
        <v>24.8</v>
      </c>
      <c r="AA28" s="45">
        <v>24.8</v>
      </c>
      <c r="AB28" s="45">
        <v>24.8</v>
      </c>
      <c r="AC28" s="45">
        <v>24.8</v>
      </c>
      <c r="AD28" s="45">
        <v>24.8</v>
      </c>
      <c r="AE28" s="45">
        <v>24.8</v>
      </c>
      <c r="AF28" s="45">
        <v>24.8</v>
      </c>
      <c r="AG28" s="49">
        <v>23.5</v>
      </c>
      <c r="AH28" s="47">
        <f t="shared" si="2"/>
        <v>24.8</v>
      </c>
      <c r="AI28" s="48">
        <f t="shared" si="3"/>
        <v>24.8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10</v>
      </c>
      <c r="N33" s="45">
        <v>15</v>
      </c>
      <c r="O33" s="45">
        <v>15</v>
      </c>
      <c r="P33" s="45">
        <v>15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0</v>
      </c>
      <c r="X33" s="45">
        <v>0</v>
      </c>
      <c r="Y33" s="45">
        <v>0</v>
      </c>
      <c r="Z33" s="45">
        <v>5</v>
      </c>
      <c r="AA33" s="45">
        <v>12.5</v>
      </c>
      <c r="AB33" s="45">
        <v>12.5</v>
      </c>
      <c r="AC33" s="45">
        <v>12.5</v>
      </c>
      <c r="AD33" s="45">
        <v>12.5</v>
      </c>
      <c r="AE33" s="45">
        <v>20</v>
      </c>
      <c r="AF33" s="45">
        <v>20</v>
      </c>
      <c r="AG33" s="49">
        <v>20</v>
      </c>
      <c r="AH33" s="47">
        <f t="shared" si="2"/>
        <v>20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4</v>
      </c>
      <c r="I34" s="45">
        <v>4</v>
      </c>
      <c r="J34" s="45">
        <v>4</v>
      </c>
      <c r="K34" s="45">
        <v>4</v>
      </c>
      <c r="L34" s="45">
        <v>4</v>
      </c>
      <c r="M34" s="45">
        <v>8</v>
      </c>
      <c r="N34" s="45">
        <v>8</v>
      </c>
      <c r="O34" s="45">
        <v>12</v>
      </c>
      <c r="P34" s="45">
        <v>12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0</v>
      </c>
      <c r="X34" s="45">
        <v>0</v>
      </c>
      <c r="Y34" s="45">
        <v>0</v>
      </c>
      <c r="Z34" s="45">
        <v>3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49">
        <v>18</v>
      </c>
      <c r="AH34" s="47">
        <f t="shared" si="2"/>
        <v>12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15.8</v>
      </c>
      <c r="C35" s="45">
        <v>15.8</v>
      </c>
      <c r="D35" s="45">
        <v>15.8</v>
      </c>
      <c r="E35" s="45">
        <v>15.8</v>
      </c>
      <c r="F35" s="45">
        <v>0</v>
      </c>
      <c r="G35" s="45">
        <v>0</v>
      </c>
      <c r="H35" s="45">
        <v>15</v>
      </c>
      <c r="I35" s="45">
        <v>15</v>
      </c>
      <c r="J35" s="45">
        <v>15</v>
      </c>
      <c r="K35" s="45">
        <v>15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9">
        <v>14.9</v>
      </c>
      <c r="AH35" s="47">
        <f t="shared" si="2"/>
        <v>15.8</v>
      </c>
      <c r="AI35" s="48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3</v>
      </c>
      <c r="L39" s="45">
        <v>6</v>
      </c>
      <c r="M39" s="45">
        <v>6</v>
      </c>
      <c r="N39" s="45">
        <v>6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4</v>
      </c>
      <c r="W39" s="45">
        <v>0</v>
      </c>
      <c r="X39" s="45">
        <v>0</v>
      </c>
      <c r="Y39" s="45">
        <v>0</v>
      </c>
      <c r="Z39" s="45">
        <v>6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3</v>
      </c>
      <c r="C41" s="45">
        <v>3</v>
      </c>
      <c r="D41" s="45">
        <v>3</v>
      </c>
      <c r="E41" s="45">
        <v>3</v>
      </c>
      <c r="F41" s="45">
        <v>3</v>
      </c>
      <c r="G41" s="45">
        <v>0</v>
      </c>
      <c r="H41" s="45">
        <v>0</v>
      </c>
      <c r="I41" s="45">
        <v>0</v>
      </c>
      <c r="J41" s="45">
        <v>5</v>
      </c>
      <c r="K41" s="45">
        <v>5</v>
      </c>
      <c r="L41" s="45">
        <v>12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11.8</v>
      </c>
      <c r="C43" s="45">
        <v>11.8</v>
      </c>
      <c r="D43" s="45">
        <v>11.8</v>
      </c>
      <c r="E43" s="45">
        <v>11.8</v>
      </c>
      <c r="F43" s="45">
        <v>11.8</v>
      </c>
      <c r="G43" s="45">
        <v>11.8</v>
      </c>
      <c r="H43" s="45">
        <v>11.8</v>
      </c>
      <c r="I43" s="45">
        <v>11.8</v>
      </c>
      <c r="J43" s="45">
        <v>11.8</v>
      </c>
      <c r="K43" s="45">
        <v>11.8</v>
      </c>
      <c r="L43" s="45">
        <v>11.8</v>
      </c>
      <c r="M43" s="45">
        <v>11.8</v>
      </c>
      <c r="N43" s="45">
        <v>11.8</v>
      </c>
      <c r="O43" s="45">
        <v>11.8</v>
      </c>
      <c r="P43" s="45">
        <v>11.8</v>
      </c>
      <c r="Q43" s="45">
        <v>11.8</v>
      </c>
      <c r="R43" s="45">
        <v>11.8</v>
      </c>
      <c r="S43" s="45">
        <v>11.8</v>
      </c>
      <c r="T43" s="45">
        <v>11.8</v>
      </c>
      <c r="U43" s="45">
        <v>11.8</v>
      </c>
      <c r="V43" s="45">
        <v>11.8</v>
      </c>
      <c r="W43" s="45">
        <v>11.8</v>
      </c>
      <c r="X43" s="45">
        <v>11.8</v>
      </c>
      <c r="Y43" s="45">
        <v>11.8</v>
      </c>
      <c r="Z43" s="45">
        <v>11.8</v>
      </c>
      <c r="AA43" s="45">
        <v>11.8</v>
      </c>
      <c r="AB43" s="45">
        <v>11.8</v>
      </c>
      <c r="AC43" s="45">
        <v>11.8</v>
      </c>
      <c r="AD43" s="45">
        <v>11.8</v>
      </c>
      <c r="AE43" s="45">
        <v>11.8</v>
      </c>
      <c r="AF43" s="45">
        <v>11.8</v>
      </c>
      <c r="AG43" s="51">
        <v>11.88</v>
      </c>
      <c r="AH43" s="47">
        <f t="shared" si="2"/>
        <v>11.8</v>
      </c>
      <c r="AI43" s="48">
        <f t="shared" si="3"/>
        <v>11.8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50"/>
    </row>
    <row r="50" spans="1:41" ht="15.75" thickBot="1" x14ac:dyDescent="0.3">
      <c r="A50" s="59" t="s">
        <v>58</v>
      </c>
      <c r="B50" s="60">
        <f t="shared" ref="B50:AF50" si="4">SUM(B11:B48)</f>
        <v>942.8</v>
      </c>
      <c r="C50" s="60">
        <f t="shared" si="4"/>
        <v>942.8</v>
      </c>
      <c r="D50" s="60">
        <f t="shared" si="4"/>
        <v>938.8</v>
      </c>
      <c r="E50" s="60">
        <f t="shared" si="4"/>
        <v>938.8</v>
      </c>
      <c r="F50" s="60">
        <f t="shared" si="4"/>
        <v>800</v>
      </c>
      <c r="G50" s="60">
        <f t="shared" si="4"/>
        <v>888</v>
      </c>
      <c r="H50" s="60">
        <f t="shared" si="4"/>
        <v>908.8</v>
      </c>
      <c r="I50" s="60">
        <f t="shared" si="4"/>
        <v>870.8</v>
      </c>
      <c r="J50" s="60">
        <f t="shared" si="4"/>
        <v>883.8</v>
      </c>
      <c r="K50" s="60">
        <f t="shared" si="4"/>
        <v>936.8</v>
      </c>
      <c r="L50" s="60">
        <f t="shared" si="4"/>
        <v>967.8</v>
      </c>
      <c r="M50" s="60">
        <f t="shared" si="4"/>
        <v>976.8</v>
      </c>
      <c r="N50" s="60">
        <f t="shared" si="4"/>
        <v>981.8</v>
      </c>
      <c r="O50" s="60">
        <f t="shared" si="4"/>
        <v>996.8</v>
      </c>
      <c r="P50" s="60">
        <f t="shared" si="4"/>
        <v>986.3</v>
      </c>
      <c r="Q50" s="60">
        <f t="shared" si="4"/>
        <v>986.3</v>
      </c>
      <c r="R50" s="60">
        <f t="shared" ref="R50" si="5">SUM(R11:R48)</f>
        <v>1026</v>
      </c>
      <c r="S50" s="60">
        <f t="shared" si="4"/>
        <v>1025.5</v>
      </c>
      <c r="T50" s="60">
        <f t="shared" si="4"/>
        <v>1025.5</v>
      </c>
      <c r="U50" s="60">
        <f t="shared" si="4"/>
        <v>1025.8</v>
      </c>
      <c r="V50" s="60">
        <f t="shared" si="4"/>
        <v>976.3</v>
      </c>
      <c r="W50" s="60">
        <f t="shared" si="4"/>
        <v>908.8</v>
      </c>
      <c r="X50" s="60">
        <f t="shared" si="4"/>
        <v>908.8</v>
      </c>
      <c r="Y50" s="60">
        <f t="shared" si="4"/>
        <v>904.1</v>
      </c>
      <c r="Z50" s="60">
        <f t="shared" si="4"/>
        <v>981.6</v>
      </c>
      <c r="AA50" s="60">
        <v>995.39999999999986</v>
      </c>
      <c r="AB50" s="60">
        <f t="shared" si="4"/>
        <v>1029.5999999999999</v>
      </c>
      <c r="AC50" s="60">
        <f t="shared" ref="AC50:AD50" si="6">SUM(AC11:AC48)</f>
        <v>1029.5999999999999</v>
      </c>
      <c r="AD50" s="60">
        <f t="shared" si="6"/>
        <v>1029.5999999999999</v>
      </c>
      <c r="AE50" s="60">
        <f t="shared" si="4"/>
        <v>992.7</v>
      </c>
      <c r="AF50" s="60">
        <f t="shared" si="4"/>
        <v>954.9</v>
      </c>
      <c r="AG50" s="61">
        <f>SUM(AG13:AG48)</f>
        <v>922.14</v>
      </c>
      <c r="AH50" s="47">
        <f t="shared" si="2"/>
        <v>1029.5999999999999</v>
      </c>
      <c r="AI50" s="48">
        <f t="shared" si="3"/>
        <v>800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60</v>
      </c>
      <c r="AB52" s="64">
        <v>60</v>
      </c>
      <c r="AC52" s="64">
        <v>60</v>
      </c>
      <c r="AD52" s="64">
        <v>60</v>
      </c>
      <c r="AE52" s="64">
        <v>50</v>
      </c>
      <c r="AF52" s="64">
        <v>50</v>
      </c>
      <c r="AG52" s="54">
        <v>60</v>
      </c>
      <c r="AH52" s="47">
        <f t="shared" si="2"/>
        <v>60</v>
      </c>
      <c r="AI52" s="48">
        <f t="shared" si="3"/>
        <v>50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22.5</v>
      </c>
      <c r="AK53" s="50"/>
    </row>
    <row r="54" spans="1:41" ht="15.75" thickBot="1" x14ac:dyDescent="0.3">
      <c r="A54" s="68" t="s">
        <v>62</v>
      </c>
      <c r="B54" s="60">
        <f t="shared" ref="B54:AG54" si="7">SUM(B51:B53)</f>
        <v>533.5</v>
      </c>
      <c r="C54" s="60">
        <f t="shared" si="7"/>
        <v>533.5</v>
      </c>
      <c r="D54" s="60">
        <f t="shared" si="7"/>
        <v>533.5</v>
      </c>
      <c r="E54" s="60">
        <f t="shared" si="7"/>
        <v>533.5</v>
      </c>
      <c r="F54" s="60">
        <f t="shared" si="7"/>
        <v>533.5</v>
      </c>
      <c r="G54" s="60">
        <f t="shared" si="7"/>
        <v>533.5</v>
      </c>
      <c r="H54" s="60">
        <f t="shared" si="7"/>
        <v>533.5</v>
      </c>
      <c r="I54" s="60">
        <f t="shared" si="7"/>
        <v>533.5</v>
      </c>
      <c r="J54" s="60">
        <f t="shared" ref="J54" si="8">SUM(J51:J53)</f>
        <v>533.5</v>
      </c>
      <c r="K54" s="60">
        <f t="shared" si="7"/>
        <v>533.5</v>
      </c>
      <c r="L54" s="60">
        <f t="shared" si="7"/>
        <v>533.5</v>
      </c>
      <c r="M54" s="60">
        <f t="shared" si="7"/>
        <v>533.5</v>
      </c>
      <c r="N54" s="60">
        <f t="shared" si="7"/>
        <v>533.5</v>
      </c>
      <c r="O54" s="60">
        <f t="shared" si="7"/>
        <v>533.5</v>
      </c>
      <c r="P54" s="60">
        <f t="shared" si="7"/>
        <v>533.5</v>
      </c>
      <c r="Q54" s="60">
        <f t="shared" si="7"/>
        <v>533.5</v>
      </c>
      <c r="R54" s="60">
        <f t="shared" ref="R54" si="9">SUM(R51:R53)</f>
        <v>533.5</v>
      </c>
      <c r="S54" s="60">
        <f t="shared" si="7"/>
        <v>533.5</v>
      </c>
      <c r="T54" s="60">
        <f t="shared" si="7"/>
        <v>533.5</v>
      </c>
      <c r="U54" s="60">
        <f t="shared" si="7"/>
        <v>533.5</v>
      </c>
      <c r="V54" s="60">
        <f t="shared" si="7"/>
        <v>533.5</v>
      </c>
      <c r="W54" s="60">
        <f t="shared" si="7"/>
        <v>533.5</v>
      </c>
      <c r="X54" s="60">
        <f t="shared" si="7"/>
        <v>533.5</v>
      </c>
      <c r="Y54" s="60">
        <f t="shared" si="7"/>
        <v>533.5</v>
      </c>
      <c r="Z54" s="60">
        <f t="shared" si="7"/>
        <v>533.5</v>
      </c>
      <c r="AA54" s="60">
        <v>533.5</v>
      </c>
      <c r="AB54" s="60">
        <f t="shared" si="7"/>
        <v>538.5</v>
      </c>
      <c r="AC54" s="60">
        <f t="shared" ref="AC54:AD54" si="10">SUM(AC51:AC53)</f>
        <v>538.5</v>
      </c>
      <c r="AD54" s="60">
        <f t="shared" si="10"/>
        <v>538.5</v>
      </c>
      <c r="AE54" s="60">
        <f t="shared" ref="AE54" si="11">SUM(AE51:AE53)</f>
        <v>528.5</v>
      </c>
      <c r="AF54" s="60">
        <f t="shared" si="7"/>
        <v>528.5</v>
      </c>
      <c r="AG54" s="61">
        <f t="shared" si="7"/>
        <v>538.1</v>
      </c>
      <c r="AH54" s="47">
        <f t="shared" si="2"/>
        <v>538.5</v>
      </c>
      <c r="AI54" s="48">
        <f t="shared" si="3"/>
        <v>528.5</v>
      </c>
      <c r="AK54" s="50"/>
    </row>
    <row r="55" spans="1:41" x14ac:dyDescent="0.25">
      <c r="A55" s="44" t="s">
        <v>63</v>
      </c>
      <c r="B55" s="45">
        <v>72</v>
      </c>
      <c r="C55" s="45">
        <v>73.099999999999994</v>
      </c>
      <c r="D55" s="45">
        <v>73.099999999999994</v>
      </c>
      <c r="E55" s="45">
        <v>72.8</v>
      </c>
      <c r="F55" s="45">
        <v>72.8</v>
      </c>
      <c r="G55" s="45">
        <v>72.8</v>
      </c>
      <c r="H55" s="45">
        <v>72.599999999999994</v>
      </c>
      <c r="I55" s="45">
        <v>112</v>
      </c>
      <c r="J55" s="45">
        <v>132</v>
      </c>
      <c r="K55" s="45">
        <v>137.1</v>
      </c>
      <c r="L55" s="45">
        <v>137</v>
      </c>
      <c r="M55" s="45">
        <v>137</v>
      </c>
      <c r="N55" s="45">
        <v>137</v>
      </c>
      <c r="O55" s="45">
        <v>137</v>
      </c>
      <c r="P55" s="45">
        <v>137</v>
      </c>
      <c r="Q55" s="45">
        <v>133.69999999999999</v>
      </c>
      <c r="R55" s="45">
        <v>131.1</v>
      </c>
      <c r="S55" s="45">
        <v>131.1</v>
      </c>
      <c r="T55" s="45">
        <v>131.1</v>
      </c>
      <c r="U55" s="45">
        <v>135.69999999999999</v>
      </c>
      <c r="V55" s="45">
        <v>135.69999999999999</v>
      </c>
      <c r="W55" s="45">
        <v>135.69999999999999</v>
      </c>
      <c r="X55" s="45">
        <v>138.1</v>
      </c>
      <c r="Y55" s="45">
        <v>138.1</v>
      </c>
      <c r="Z55" s="45">
        <v>138.1</v>
      </c>
      <c r="AA55" s="45">
        <v>136</v>
      </c>
      <c r="AB55" s="45">
        <v>137.5</v>
      </c>
      <c r="AC55" s="45">
        <v>137.5</v>
      </c>
      <c r="AD55" s="45">
        <v>137.5</v>
      </c>
      <c r="AE55" s="45">
        <v>137.5</v>
      </c>
      <c r="AF55" s="45"/>
      <c r="AG55" s="51">
        <v>144</v>
      </c>
      <c r="AH55" s="47">
        <f t="shared" si="2"/>
        <v>138.1</v>
      </c>
      <c r="AI55" s="48">
        <f t="shared" si="3"/>
        <v>72</v>
      </c>
      <c r="AK55" s="50"/>
    </row>
    <row r="56" spans="1:41" x14ac:dyDescent="0.25">
      <c r="A56" s="53" t="s">
        <v>64</v>
      </c>
      <c r="B56" s="45">
        <v>60</v>
      </c>
      <c r="C56" s="45">
        <v>61.6</v>
      </c>
      <c r="D56" s="45">
        <v>61.6</v>
      </c>
      <c r="E56" s="45">
        <v>68.2</v>
      </c>
      <c r="F56" s="45">
        <v>68.2</v>
      </c>
      <c r="G56" s="45">
        <v>68.2</v>
      </c>
      <c r="H56" s="45">
        <v>66</v>
      </c>
      <c r="I56" s="45">
        <v>72.7</v>
      </c>
      <c r="J56" s="45">
        <v>66</v>
      </c>
      <c r="K56" s="45">
        <v>71</v>
      </c>
      <c r="L56" s="45">
        <v>71.599999999999994</v>
      </c>
      <c r="M56" s="45">
        <v>71.599999999999994</v>
      </c>
      <c r="N56" s="45">
        <v>71.599999999999994</v>
      </c>
      <c r="O56" s="45">
        <v>71.599999999999994</v>
      </c>
      <c r="P56" s="45">
        <v>71.599999999999994</v>
      </c>
      <c r="Q56" s="45">
        <v>69.8</v>
      </c>
      <c r="R56" s="45">
        <v>69.400000000000006</v>
      </c>
      <c r="S56" s="45">
        <v>69.400000000000006</v>
      </c>
      <c r="T56" s="45">
        <v>69.400000000000006</v>
      </c>
      <c r="U56" s="45">
        <v>70.8</v>
      </c>
      <c r="V56" s="45">
        <v>69.599999999999994</v>
      </c>
      <c r="W56" s="45">
        <v>69.599999999999994</v>
      </c>
      <c r="X56" s="45">
        <v>70</v>
      </c>
      <c r="Y56" s="45">
        <v>70</v>
      </c>
      <c r="Z56" s="45">
        <v>70</v>
      </c>
      <c r="AA56" s="45">
        <v>70</v>
      </c>
      <c r="AB56" s="45">
        <v>70</v>
      </c>
      <c r="AC56" s="45">
        <v>70</v>
      </c>
      <c r="AD56" s="45">
        <v>70</v>
      </c>
      <c r="AE56" s="45">
        <v>70</v>
      </c>
      <c r="AF56" s="45">
        <v>70</v>
      </c>
      <c r="AG56" s="54">
        <v>70</v>
      </c>
      <c r="AH56" s="47">
        <f t="shared" si="2"/>
        <v>72.7</v>
      </c>
      <c r="AI56" s="48">
        <f t="shared" si="3"/>
        <v>60</v>
      </c>
      <c r="AK56" s="50"/>
    </row>
    <row r="57" spans="1:41" x14ac:dyDescent="0.25">
      <c r="A57" s="53" t="s">
        <v>65</v>
      </c>
      <c r="B57" s="45">
        <v>53</v>
      </c>
      <c r="C57" s="45">
        <v>50.7</v>
      </c>
      <c r="D57" s="45">
        <v>50.7</v>
      </c>
      <c r="E57" s="45">
        <v>59.66</v>
      </c>
      <c r="F57" s="45">
        <v>59.66</v>
      </c>
      <c r="G57" s="45">
        <v>59.66</v>
      </c>
      <c r="H57" s="45">
        <v>63.4</v>
      </c>
      <c r="I57" s="45">
        <v>63.3</v>
      </c>
      <c r="J57" s="45">
        <v>63</v>
      </c>
      <c r="K57" s="45">
        <v>63.2</v>
      </c>
      <c r="L57" s="45">
        <v>63.2</v>
      </c>
      <c r="M57" s="45">
        <v>63.2</v>
      </c>
      <c r="N57" s="45">
        <v>63.2</v>
      </c>
      <c r="O57" s="45">
        <v>63.2</v>
      </c>
      <c r="P57" s="45">
        <v>63.2</v>
      </c>
      <c r="Q57" s="45">
        <v>0</v>
      </c>
      <c r="R57" s="45">
        <v>0</v>
      </c>
      <c r="S57" s="45">
        <v>0</v>
      </c>
      <c r="T57" s="45">
        <v>0</v>
      </c>
      <c r="U57" s="45">
        <v>0</v>
      </c>
      <c r="V57" s="45">
        <v>0</v>
      </c>
      <c r="W57" s="45">
        <v>53</v>
      </c>
      <c r="X57" s="45">
        <v>51.5</v>
      </c>
      <c r="Y57" s="45">
        <v>69.3</v>
      </c>
      <c r="Z57" s="45">
        <v>69.3</v>
      </c>
      <c r="AA57" s="45">
        <v>64</v>
      </c>
      <c r="AB57" s="45">
        <v>64.099999999999994</v>
      </c>
      <c r="AC57" s="45">
        <v>64.099999999999994</v>
      </c>
      <c r="AD57" s="45">
        <v>64.099999999999994</v>
      </c>
      <c r="AE57" s="45">
        <v>64.099999999999994</v>
      </c>
      <c r="AF57" s="45">
        <v>64.099999999999994</v>
      </c>
      <c r="AG57" s="54">
        <v>69</v>
      </c>
      <c r="AH57" s="47">
        <f t="shared" si="2"/>
        <v>69.3</v>
      </c>
      <c r="AI57" s="48">
        <f t="shared" si="3"/>
        <v>0</v>
      </c>
      <c r="AK57" s="50"/>
    </row>
    <row r="58" spans="1:41" x14ac:dyDescent="0.25">
      <c r="A58" s="53" t="s">
        <v>66</v>
      </c>
      <c r="B58" s="45">
        <v>50</v>
      </c>
      <c r="C58" s="45">
        <v>50</v>
      </c>
      <c r="D58" s="45">
        <v>50</v>
      </c>
      <c r="E58" s="45">
        <v>0</v>
      </c>
      <c r="F58" s="45">
        <v>0</v>
      </c>
      <c r="G58" s="45">
        <v>0</v>
      </c>
      <c r="H58" s="45">
        <v>60</v>
      </c>
      <c r="I58" s="45">
        <v>60</v>
      </c>
      <c r="J58" s="45">
        <v>60</v>
      </c>
      <c r="K58" s="45">
        <v>60</v>
      </c>
      <c r="L58" s="45">
        <v>60</v>
      </c>
      <c r="M58" s="45">
        <v>60</v>
      </c>
      <c r="N58" s="45">
        <v>60</v>
      </c>
      <c r="O58" s="45">
        <v>0</v>
      </c>
      <c r="P58" s="45">
        <v>60</v>
      </c>
      <c r="Q58" s="45">
        <v>55.7</v>
      </c>
      <c r="R58" s="45">
        <v>50.6</v>
      </c>
      <c r="S58" s="45">
        <v>50.6</v>
      </c>
      <c r="T58" s="45">
        <v>50.6</v>
      </c>
      <c r="U58" s="45">
        <v>0</v>
      </c>
      <c r="V58" s="45">
        <v>60</v>
      </c>
      <c r="W58" s="45">
        <v>60</v>
      </c>
      <c r="X58" s="45">
        <v>60</v>
      </c>
      <c r="Y58" s="45">
        <v>60</v>
      </c>
      <c r="Z58" s="45">
        <v>60</v>
      </c>
      <c r="AA58" s="45">
        <v>60</v>
      </c>
      <c r="AB58" s="45">
        <v>30</v>
      </c>
      <c r="AC58" s="45">
        <v>30</v>
      </c>
      <c r="AD58" s="45">
        <v>0</v>
      </c>
      <c r="AE58" s="45">
        <v>0</v>
      </c>
      <c r="AF58" s="45">
        <v>0</v>
      </c>
      <c r="AG58" s="54">
        <v>60</v>
      </c>
      <c r="AH58" s="47">
        <f t="shared" si="2"/>
        <v>60</v>
      </c>
      <c r="AI58" s="48">
        <f t="shared" si="3"/>
        <v>0</v>
      </c>
      <c r="AK58" s="50"/>
    </row>
    <row r="59" spans="1:41" x14ac:dyDescent="0.25">
      <c r="A59" s="53" t="s">
        <v>67</v>
      </c>
      <c r="B59" s="45">
        <v>30</v>
      </c>
      <c r="C59" s="45">
        <v>30</v>
      </c>
      <c r="D59" s="45">
        <v>30</v>
      </c>
      <c r="E59" s="45">
        <v>30</v>
      </c>
      <c r="F59" s="45">
        <v>27</v>
      </c>
      <c r="G59" s="45">
        <v>26</v>
      </c>
      <c r="H59" s="45">
        <v>25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15</v>
      </c>
      <c r="V59" s="45">
        <v>15</v>
      </c>
      <c r="W59" s="45">
        <v>15</v>
      </c>
      <c r="X59" s="45">
        <v>15</v>
      </c>
      <c r="Y59" s="45">
        <v>15</v>
      </c>
      <c r="Z59" s="45">
        <v>15</v>
      </c>
      <c r="AA59" s="45">
        <v>15</v>
      </c>
      <c r="AB59" s="45">
        <v>15</v>
      </c>
      <c r="AC59" s="45">
        <v>15</v>
      </c>
      <c r="AD59" s="45">
        <v>15</v>
      </c>
      <c r="AE59" s="45">
        <v>15</v>
      </c>
      <c r="AF59" s="45">
        <v>15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1.2</v>
      </c>
      <c r="K60" s="45">
        <v>2.1</v>
      </c>
      <c r="L60" s="45">
        <v>2.1</v>
      </c>
      <c r="M60" s="45">
        <v>2.1</v>
      </c>
      <c r="N60" s="45">
        <v>2.1</v>
      </c>
      <c r="O60" s="45">
        <v>2.1</v>
      </c>
      <c r="P60" s="45">
        <v>14.3</v>
      </c>
      <c r="Q60" s="45">
        <v>13</v>
      </c>
      <c r="R60" s="45">
        <v>13</v>
      </c>
      <c r="S60" s="45">
        <v>10.9</v>
      </c>
      <c r="T60" s="45">
        <v>10.9</v>
      </c>
      <c r="U60" s="45">
        <v>2.8</v>
      </c>
      <c r="V60" s="45">
        <v>1.1000000000000001</v>
      </c>
      <c r="W60" s="45">
        <v>1.1000000000000001</v>
      </c>
      <c r="X60" s="45">
        <v>1.1000000000000001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14.3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9</v>
      </c>
      <c r="R61" s="64">
        <v>9</v>
      </c>
      <c r="S61" s="64">
        <v>9</v>
      </c>
      <c r="T61" s="64">
        <v>9</v>
      </c>
      <c r="U61" s="64">
        <v>9</v>
      </c>
      <c r="V61" s="64">
        <v>9</v>
      </c>
      <c r="W61" s="64">
        <v>9</v>
      </c>
      <c r="X61" s="64">
        <v>9</v>
      </c>
      <c r="Y61" s="64">
        <v>9</v>
      </c>
      <c r="Z61" s="64">
        <v>9</v>
      </c>
      <c r="AA61" s="64">
        <v>9</v>
      </c>
      <c r="AB61" s="64">
        <v>9</v>
      </c>
      <c r="AC61" s="64">
        <v>9</v>
      </c>
      <c r="AD61" s="64">
        <v>9</v>
      </c>
      <c r="AE61" s="64">
        <v>9</v>
      </c>
      <c r="AF61" s="64">
        <v>9</v>
      </c>
      <c r="AG61" s="54">
        <v>24</v>
      </c>
      <c r="AH61" s="47">
        <f t="shared" si="2"/>
        <v>15</v>
      </c>
      <c r="AI61" s="48">
        <f t="shared" si="3"/>
        <v>9</v>
      </c>
      <c r="AK61" s="50"/>
    </row>
    <row r="62" spans="1:41" x14ac:dyDescent="0.25">
      <c r="A62" s="53" t="s">
        <v>70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4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11.2</v>
      </c>
      <c r="C63" s="64">
        <v>11.2</v>
      </c>
      <c r="D63" s="64">
        <v>11.2</v>
      </c>
      <c r="E63" s="64">
        <v>8.6999999999999993</v>
      </c>
      <c r="F63" s="64">
        <v>8.6999999999999993</v>
      </c>
      <c r="G63" s="64">
        <v>8.6999999999999993</v>
      </c>
      <c r="H63" s="64">
        <v>8.6999999999999993</v>
      </c>
      <c r="I63" s="64">
        <v>7.7</v>
      </c>
      <c r="J63" s="64">
        <v>8.4</v>
      </c>
      <c r="K63" s="64">
        <v>8.4</v>
      </c>
      <c r="L63" s="64">
        <v>8.4</v>
      </c>
      <c r="M63" s="64">
        <v>8.4</v>
      </c>
      <c r="N63" s="64">
        <v>8.4</v>
      </c>
      <c r="O63" s="64">
        <v>8.4</v>
      </c>
      <c r="P63" s="64">
        <v>8.4</v>
      </c>
      <c r="Q63" s="64">
        <v>8.9</v>
      </c>
      <c r="R63" s="64">
        <v>8.9</v>
      </c>
      <c r="S63" s="64">
        <v>4.5</v>
      </c>
      <c r="T63" s="64">
        <v>4.5</v>
      </c>
      <c r="U63" s="64">
        <v>8.1999999999999993</v>
      </c>
      <c r="V63" s="64">
        <v>8.1999999999999993</v>
      </c>
      <c r="W63" s="64">
        <v>8.1999999999999993</v>
      </c>
      <c r="X63" s="64">
        <v>8.1999999999999993</v>
      </c>
      <c r="Y63" s="64">
        <v>8.1999999999999993</v>
      </c>
      <c r="Z63" s="64">
        <v>8.1999999999999993</v>
      </c>
      <c r="AA63" s="64">
        <v>8.1999999999999993</v>
      </c>
      <c r="AB63" s="64">
        <v>8.1999999999999993</v>
      </c>
      <c r="AC63" s="64">
        <v>8.1999999999999993</v>
      </c>
      <c r="AD63" s="64">
        <v>8.1999999999999993</v>
      </c>
      <c r="AE63" s="64">
        <v>8.1999999999999993</v>
      </c>
      <c r="AF63" s="64">
        <v>8.1999999999999993</v>
      </c>
      <c r="AG63" s="54">
        <v>14.1</v>
      </c>
      <c r="AH63" s="47">
        <f t="shared" si="2"/>
        <v>11.2</v>
      </c>
      <c r="AI63" s="48">
        <f t="shared" si="3"/>
        <v>4.5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13.8</v>
      </c>
      <c r="C64" s="64">
        <v>13.8</v>
      </c>
      <c r="D64" s="64">
        <v>13.8</v>
      </c>
      <c r="E64" s="64">
        <v>4</v>
      </c>
      <c r="F64" s="64">
        <v>4</v>
      </c>
      <c r="G64" s="64">
        <v>4</v>
      </c>
      <c r="H64" s="64">
        <v>4</v>
      </c>
      <c r="I64" s="64">
        <v>8.8000000000000007</v>
      </c>
      <c r="J64" s="64">
        <v>13.6</v>
      </c>
      <c r="K64" s="64">
        <v>5.9</v>
      </c>
      <c r="L64" s="64">
        <v>5.9</v>
      </c>
      <c r="M64" s="64">
        <v>5.9</v>
      </c>
      <c r="N64" s="64">
        <v>5.9</v>
      </c>
      <c r="O64" s="64">
        <v>5.9</v>
      </c>
      <c r="P64" s="64">
        <v>5.9</v>
      </c>
      <c r="Q64" s="64">
        <v>7</v>
      </c>
      <c r="R64" s="64">
        <v>7</v>
      </c>
      <c r="S64" s="64">
        <v>5.7</v>
      </c>
      <c r="T64" s="64">
        <v>5.7</v>
      </c>
      <c r="U64" s="64">
        <v>7.3</v>
      </c>
      <c r="V64" s="64">
        <v>7.3</v>
      </c>
      <c r="W64" s="64">
        <v>7.3</v>
      </c>
      <c r="X64" s="64">
        <v>7.3</v>
      </c>
      <c r="Y64" s="64">
        <v>7.3</v>
      </c>
      <c r="Z64" s="64">
        <v>7.3</v>
      </c>
      <c r="AA64" s="64">
        <v>7.3</v>
      </c>
      <c r="AB64" s="64">
        <v>7.3</v>
      </c>
      <c r="AC64" s="64">
        <v>7.3</v>
      </c>
      <c r="AD64" s="64">
        <v>7.3</v>
      </c>
      <c r="AE64" s="64">
        <v>7.3</v>
      </c>
      <c r="AF64" s="64">
        <v>7.3</v>
      </c>
      <c r="AG64" s="54">
        <v>14</v>
      </c>
      <c r="AH64" s="47">
        <f t="shared" si="2"/>
        <v>13.8</v>
      </c>
      <c r="AI64" s="48">
        <f t="shared" si="3"/>
        <v>4</v>
      </c>
      <c r="AK64" s="50"/>
    </row>
    <row r="65" spans="1:40" x14ac:dyDescent="0.25">
      <c r="A65" s="53" t="s">
        <v>73</v>
      </c>
      <c r="B65" s="64">
        <v>9.3000000000000007</v>
      </c>
      <c r="C65" s="64">
        <v>9.3000000000000007</v>
      </c>
      <c r="D65" s="64">
        <v>9.3000000000000007</v>
      </c>
      <c r="E65" s="64">
        <v>9.3000000000000007</v>
      </c>
      <c r="F65" s="64">
        <v>9.3000000000000007</v>
      </c>
      <c r="G65" s="64">
        <v>9.3000000000000007</v>
      </c>
      <c r="H65" s="64">
        <v>9.3000000000000007</v>
      </c>
      <c r="I65" s="64">
        <v>9.3000000000000007</v>
      </c>
      <c r="J65" s="64">
        <v>9.3000000000000007</v>
      </c>
      <c r="K65" s="64">
        <v>9.3000000000000007</v>
      </c>
      <c r="L65" s="64">
        <v>9.3000000000000007</v>
      </c>
      <c r="M65" s="64">
        <v>9.3000000000000007</v>
      </c>
      <c r="N65" s="64">
        <v>9.3000000000000007</v>
      </c>
      <c r="O65" s="64">
        <v>9.3000000000000007</v>
      </c>
      <c r="P65" s="64">
        <v>9.3000000000000007</v>
      </c>
      <c r="Q65" s="64">
        <v>9.3000000000000007</v>
      </c>
      <c r="R65" s="64">
        <v>9.3000000000000007</v>
      </c>
      <c r="S65" s="64">
        <v>9.3000000000000007</v>
      </c>
      <c r="T65" s="64">
        <v>9.3000000000000007</v>
      </c>
      <c r="U65" s="64">
        <v>9.3000000000000007</v>
      </c>
      <c r="V65" s="64">
        <v>9.3000000000000007</v>
      </c>
      <c r="W65" s="64">
        <v>9.3000000000000007</v>
      </c>
      <c r="X65" s="64">
        <v>9.3000000000000007</v>
      </c>
      <c r="Y65" s="64">
        <v>9.3000000000000007</v>
      </c>
      <c r="Z65" s="64">
        <v>9.3000000000000007</v>
      </c>
      <c r="AA65" s="64">
        <v>9.3000000000000007</v>
      </c>
      <c r="AB65" s="64">
        <v>9.3000000000000007</v>
      </c>
      <c r="AC65" s="64">
        <v>9.3000000000000007</v>
      </c>
      <c r="AD65" s="64">
        <v>9.3000000000000007</v>
      </c>
      <c r="AE65" s="64">
        <v>9.3000000000000007</v>
      </c>
      <c r="AF65" s="64">
        <v>9.3000000000000007</v>
      </c>
      <c r="AG65" s="54">
        <v>10.050000000000001</v>
      </c>
      <c r="AH65" s="47">
        <f t="shared" si="2"/>
        <v>9.3000000000000007</v>
      </c>
      <c r="AI65" s="48">
        <f t="shared" si="3"/>
        <v>9.3000000000000007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2">SUM(B55:B67)</f>
        <v>328.04</v>
      </c>
      <c r="C68" s="60">
        <f t="shared" si="12"/>
        <v>328.44</v>
      </c>
      <c r="D68" s="60">
        <f t="shared" si="12"/>
        <v>328.44</v>
      </c>
      <c r="E68" s="60">
        <f t="shared" si="12"/>
        <v>281.40000000000003</v>
      </c>
      <c r="F68" s="60">
        <f t="shared" si="12"/>
        <v>278.40000000000003</v>
      </c>
      <c r="G68" s="60">
        <f t="shared" si="12"/>
        <v>277.40000000000003</v>
      </c>
      <c r="H68" s="60">
        <f t="shared" si="12"/>
        <v>337.74</v>
      </c>
      <c r="I68" s="60">
        <f t="shared" si="12"/>
        <v>362.54</v>
      </c>
      <c r="J68" s="60">
        <f t="shared" si="12"/>
        <v>382.24</v>
      </c>
      <c r="K68" s="60">
        <f t="shared" si="12"/>
        <v>385.74</v>
      </c>
      <c r="L68" s="60">
        <f t="shared" si="12"/>
        <v>386.24</v>
      </c>
      <c r="M68" s="60">
        <f t="shared" si="12"/>
        <v>386.24</v>
      </c>
      <c r="N68" s="60">
        <f t="shared" si="12"/>
        <v>386.24</v>
      </c>
      <c r="O68" s="60">
        <f t="shared" si="12"/>
        <v>326.24</v>
      </c>
      <c r="P68" s="60">
        <f t="shared" si="12"/>
        <v>398.44</v>
      </c>
      <c r="Q68" s="60">
        <f t="shared" si="12"/>
        <v>320.14</v>
      </c>
      <c r="R68" s="60">
        <f t="shared" si="12"/>
        <v>312.04000000000002</v>
      </c>
      <c r="S68" s="60">
        <f t="shared" si="12"/>
        <v>304.24</v>
      </c>
      <c r="T68" s="60">
        <f t="shared" si="12"/>
        <v>304.24</v>
      </c>
      <c r="U68" s="60">
        <f t="shared" si="12"/>
        <v>271.84000000000003</v>
      </c>
      <c r="V68" s="60">
        <f t="shared" si="12"/>
        <v>328.94</v>
      </c>
      <c r="W68" s="60">
        <f t="shared" si="12"/>
        <v>381.94</v>
      </c>
      <c r="X68" s="60">
        <f t="shared" si="12"/>
        <v>383.24000000000007</v>
      </c>
      <c r="Y68" s="60">
        <f t="shared" si="12"/>
        <v>399.94</v>
      </c>
      <c r="Z68" s="60">
        <f t="shared" si="12"/>
        <v>399.94</v>
      </c>
      <c r="AA68" s="60">
        <v>423.84000000000003</v>
      </c>
      <c r="AB68" s="60">
        <f t="shared" si="12"/>
        <v>364.14000000000004</v>
      </c>
      <c r="AC68" s="60">
        <f t="shared" ref="AC68:AD68" si="13">SUM(AC55:AC67)</f>
        <v>364.14000000000004</v>
      </c>
      <c r="AD68" s="60">
        <f t="shared" si="13"/>
        <v>334.14000000000004</v>
      </c>
      <c r="AE68" s="60">
        <f t="shared" si="12"/>
        <v>334.14000000000004</v>
      </c>
      <c r="AF68" s="60">
        <f t="shared" si="12"/>
        <v>196.64</v>
      </c>
      <c r="AG68" s="61">
        <f t="shared" si="12"/>
        <v>489.91</v>
      </c>
      <c r="AH68" s="47">
        <f t="shared" si="2"/>
        <v>423.84000000000003</v>
      </c>
      <c r="AI68" s="48">
        <f t="shared" si="3"/>
        <v>196.64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66">
        <v>0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 t="shared" ref="B72:D72" si="14">B69+B70+B71</f>
        <v>0</v>
      </c>
      <c r="C72" s="60">
        <f t="shared" si="14"/>
        <v>0</v>
      </c>
      <c r="D72" s="60">
        <f t="shared" si="14"/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5">M69+M70+M71</f>
        <v>0</v>
      </c>
      <c r="N72" s="60">
        <f t="shared" si="15"/>
        <v>0</v>
      </c>
      <c r="O72" s="60">
        <f t="shared" si="15"/>
        <v>0</v>
      </c>
      <c r="P72" s="60">
        <f t="shared" si="15"/>
        <v>0</v>
      </c>
      <c r="Q72" s="60">
        <f t="shared" si="15"/>
        <v>0</v>
      </c>
      <c r="R72" s="60">
        <f t="shared" si="15"/>
        <v>0</v>
      </c>
      <c r="S72" s="60">
        <f t="shared" si="15"/>
        <v>0</v>
      </c>
      <c r="T72" s="60">
        <f t="shared" si="15"/>
        <v>0</v>
      </c>
      <c r="U72" s="60">
        <f t="shared" si="15"/>
        <v>0</v>
      </c>
      <c r="V72" s="60">
        <f t="shared" si="15"/>
        <v>0</v>
      </c>
      <c r="W72" s="60">
        <f t="shared" si="15"/>
        <v>0</v>
      </c>
      <c r="X72" s="60">
        <f t="shared" si="15"/>
        <v>0</v>
      </c>
      <c r="Y72" s="60">
        <f t="shared" si="15"/>
        <v>0</v>
      </c>
      <c r="Z72" s="60">
        <f t="shared" si="15"/>
        <v>0</v>
      </c>
      <c r="AA72" s="60">
        <v>0</v>
      </c>
      <c r="AB72" s="60">
        <f t="shared" si="15"/>
        <v>0</v>
      </c>
      <c r="AC72" s="60">
        <f t="shared" ref="AC72:AD72" si="16">AC69+AC70+AC71</f>
        <v>0</v>
      </c>
      <c r="AD72" s="60">
        <f t="shared" si="16"/>
        <v>0</v>
      </c>
      <c r="AE72" s="60">
        <f t="shared" si="15"/>
        <v>0</v>
      </c>
      <c r="AF72" s="60">
        <f t="shared" si="15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40</v>
      </c>
      <c r="C73" s="45">
        <v>40</v>
      </c>
      <c r="D73" s="45">
        <v>40</v>
      </c>
      <c r="E73" s="45">
        <v>35.6</v>
      </c>
      <c r="F73" s="45">
        <v>-7</v>
      </c>
      <c r="G73" s="45">
        <v>49.2</v>
      </c>
      <c r="H73" s="45">
        <v>30.3</v>
      </c>
      <c r="I73" s="45">
        <v>43.6</v>
      </c>
      <c r="J73" s="45">
        <v>27.9</v>
      </c>
      <c r="K73" s="45">
        <v>32.1</v>
      </c>
      <c r="L73" s="45">
        <v>31.9</v>
      </c>
      <c r="M73" s="45">
        <v>35.299999999999997</v>
      </c>
      <c r="N73" s="45">
        <v>15</v>
      </c>
      <c r="O73" s="45">
        <v>2.8</v>
      </c>
      <c r="P73" s="45">
        <v>4.7</v>
      </c>
      <c r="Q73" s="45">
        <v>4.8</v>
      </c>
      <c r="R73" s="45">
        <v>1.7</v>
      </c>
      <c r="S73" s="45">
        <v>4.4000000000000004</v>
      </c>
      <c r="T73" s="45">
        <v>9.4</v>
      </c>
      <c r="U73" s="45">
        <v>0</v>
      </c>
      <c r="V73" s="45">
        <v>9.1</v>
      </c>
      <c r="W73" s="45">
        <v>11.7</v>
      </c>
      <c r="X73" s="45">
        <v>11.7</v>
      </c>
      <c r="Y73" s="45">
        <v>3.4</v>
      </c>
      <c r="Z73" s="45">
        <v>20</v>
      </c>
      <c r="AA73" s="45">
        <v>-5</v>
      </c>
      <c r="AB73" s="45">
        <v>9.1</v>
      </c>
      <c r="AC73" s="45">
        <v>9.1</v>
      </c>
      <c r="AD73" s="45">
        <v>9.1</v>
      </c>
      <c r="AE73" s="45">
        <v>9.1</v>
      </c>
      <c r="AF73" s="45">
        <v>34</v>
      </c>
      <c r="AG73" s="51"/>
      <c r="AH73" s="47">
        <f t="shared" si="2"/>
        <v>49.2</v>
      </c>
      <c r="AI73" s="48">
        <f t="shared" si="3"/>
        <v>-7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-302</v>
      </c>
      <c r="C75" s="64">
        <v>-307</v>
      </c>
      <c r="D75" s="64">
        <v>-307</v>
      </c>
      <c r="E75" s="64">
        <v>-326</v>
      </c>
      <c r="F75" s="64">
        <v>-348</v>
      </c>
      <c r="G75" s="64">
        <v>-322</v>
      </c>
      <c r="H75" s="64">
        <v>-363</v>
      </c>
      <c r="I75" s="64">
        <v>-353</v>
      </c>
      <c r="J75" s="64">
        <v>-335</v>
      </c>
      <c r="K75" s="64">
        <v>-352</v>
      </c>
      <c r="L75" s="64">
        <v>-362</v>
      </c>
      <c r="M75" s="64">
        <v>-342</v>
      </c>
      <c r="N75" s="64">
        <v>-338</v>
      </c>
      <c r="O75" s="64">
        <v>-318.2</v>
      </c>
      <c r="P75" s="64">
        <v>-385.4</v>
      </c>
      <c r="Q75" s="64">
        <v>-290</v>
      </c>
      <c r="R75" s="64">
        <v>-341</v>
      </c>
      <c r="S75" s="64">
        <v>-329</v>
      </c>
      <c r="T75" s="64">
        <v>-363</v>
      </c>
      <c r="U75" s="64">
        <v>-298</v>
      </c>
      <c r="V75" s="64">
        <v>-382</v>
      </c>
      <c r="W75" s="64">
        <v>-382</v>
      </c>
      <c r="X75" s="64">
        <v>-382</v>
      </c>
      <c r="Y75" s="64">
        <v>-398</v>
      </c>
      <c r="Z75" s="64">
        <v>-351</v>
      </c>
      <c r="AA75" s="64">
        <v>-345</v>
      </c>
      <c r="AB75" s="64">
        <v>-320</v>
      </c>
      <c r="AC75" s="64">
        <v>-300</v>
      </c>
      <c r="AD75" s="64">
        <v>-370</v>
      </c>
      <c r="AE75" s="64">
        <v>-350</v>
      </c>
      <c r="AF75" s="64">
        <v>-320</v>
      </c>
      <c r="AG75" s="74"/>
      <c r="AH75" s="47">
        <f t="shared" si="2"/>
        <v>-290</v>
      </c>
      <c r="AI75" s="48">
        <f t="shared" si="3"/>
        <v>-398</v>
      </c>
      <c r="AK75" s="50"/>
    </row>
    <row r="76" spans="1:40" x14ac:dyDescent="0.25">
      <c r="A76" s="53" t="s">
        <v>84</v>
      </c>
      <c r="B76" s="75">
        <v>0</v>
      </c>
      <c r="C76" s="75">
        <v>0</v>
      </c>
      <c r="D76" s="75">
        <v>0</v>
      </c>
      <c r="E76" s="75">
        <v>0</v>
      </c>
      <c r="F76" s="75">
        <v>0</v>
      </c>
      <c r="G76" s="75">
        <v>0</v>
      </c>
      <c r="H76" s="75">
        <v>0</v>
      </c>
      <c r="I76" s="75"/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75">
        <v>0</v>
      </c>
      <c r="N77" s="75">
        <v>0</v>
      </c>
      <c r="O77" s="75">
        <v>0</v>
      </c>
      <c r="P77" s="45">
        <v>0</v>
      </c>
      <c r="Q77" s="7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17">MAX(B77:AF77)</f>
        <v>0</v>
      </c>
      <c r="AI77" s="48">
        <f t="shared" ref="AI77:AI120" si="18">MIN(B77:AF77)</f>
        <v>0</v>
      </c>
      <c r="AK77" s="50"/>
    </row>
    <row r="78" spans="1:40" x14ac:dyDescent="0.25">
      <c r="A78" s="53" t="s">
        <v>86</v>
      </c>
      <c r="B78" s="76">
        <v>0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5">
        <v>0</v>
      </c>
      <c r="N78" s="75">
        <v>0</v>
      </c>
      <c r="O78" s="75">
        <v>0</v>
      </c>
      <c r="P78" s="76">
        <v>0</v>
      </c>
      <c r="Q78" s="75">
        <v>0</v>
      </c>
      <c r="R78" s="76">
        <v>0</v>
      </c>
      <c r="S78" s="76">
        <v>0</v>
      </c>
      <c r="T78" s="76">
        <v>5</v>
      </c>
      <c r="U78" s="76">
        <v>5</v>
      </c>
      <c r="V78" s="76">
        <v>5</v>
      </c>
      <c r="W78" s="76">
        <v>5</v>
      </c>
      <c r="X78" s="76">
        <v>5</v>
      </c>
      <c r="Y78" s="76">
        <v>5</v>
      </c>
      <c r="Z78" s="76">
        <v>5</v>
      </c>
      <c r="AA78" s="76">
        <v>5</v>
      </c>
      <c r="AB78" s="76">
        <v>5</v>
      </c>
      <c r="AC78" s="76">
        <v>5</v>
      </c>
      <c r="AD78" s="76">
        <v>5</v>
      </c>
      <c r="AE78" s="76">
        <v>5</v>
      </c>
      <c r="AF78" s="76">
        <v>5</v>
      </c>
      <c r="AG78" s="74"/>
      <c r="AH78" s="47">
        <f t="shared" si="17"/>
        <v>5</v>
      </c>
      <c r="AI78" s="48">
        <f t="shared" si="18"/>
        <v>0</v>
      </c>
      <c r="AK78" s="50"/>
    </row>
    <row r="79" spans="1:40" ht="15.75" thickBot="1" x14ac:dyDescent="0.3">
      <c r="A79" s="53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5">
        <v>0</v>
      </c>
      <c r="N79" s="75">
        <v>0</v>
      </c>
      <c r="O79" s="75">
        <v>0</v>
      </c>
      <c r="P79" s="76">
        <v>0</v>
      </c>
      <c r="Q79" s="75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17"/>
        <v>0</v>
      </c>
      <c r="AI79" s="48">
        <f t="shared" si="18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76">
        <v>0</v>
      </c>
      <c r="C80" s="76">
        <v>0</v>
      </c>
      <c r="D80" s="76">
        <v>0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76">
        <v>0</v>
      </c>
      <c r="K80" s="76">
        <v>0</v>
      </c>
      <c r="L80" s="76">
        <v>0</v>
      </c>
      <c r="M80" s="75">
        <v>0</v>
      </c>
      <c r="N80" s="75">
        <v>0</v>
      </c>
      <c r="O80" s="75">
        <v>0</v>
      </c>
      <c r="P80" s="76">
        <v>0</v>
      </c>
      <c r="Q80" s="75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17"/>
        <v>0</v>
      </c>
      <c r="AI80" s="48">
        <f t="shared" si="18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5">
        <v>0</v>
      </c>
      <c r="N81" s="75">
        <v>0</v>
      </c>
      <c r="O81" s="75">
        <v>0</v>
      </c>
      <c r="P81" s="76">
        <v>0</v>
      </c>
      <c r="Q81" s="75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17"/>
        <v>0</v>
      </c>
      <c r="AI81" s="48">
        <f t="shared" si="18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5">
        <v>0</v>
      </c>
      <c r="N82" s="75">
        <v>0</v>
      </c>
      <c r="O82" s="75">
        <v>0</v>
      </c>
      <c r="P82" s="76">
        <v>0</v>
      </c>
      <c r="Q82" s="75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17"/>
        <v>0</v>
      </c>
      <c r="AI82" s="48">
        <f t="shared" si="18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5">
        <v>0</v>
      </c>
      <c r="N83" s="75">
        <v>0</v>
      </c>
      <c r="O83" s="75">
        <v>0</v>
      </c>
      <c r="P83" s="76">
        <v>0</v>
      </c>
      <c r="Q83" s="75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17"/>
        <v>0</v>
      </c>
      <c r="AI83" s="48">
        <f t="shared" si="18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19">SUMIF(B73:B83,"&gt;0")</f>
        <v>40</v>
      </c>
      <c r="C84" s="60">
        <f t="shared" si="19"/>
        <v>40</v>
      </c>
      <c r="D84" s="60">
        <f t="shared" si="19"/>
        <v>40</v>
      </c>
      <c r="E84" s="60">
        <f t="shared" si="19"/>
        <v>35.6</v>
      </c>
      <c r="F84" s="60">
        <f t="shared" si="19"/>
        <v>0</v>
      </c>
      <c r="G84" s="60">
        <f t="shared" si="19"/>
        <v>49.2</v>
      </c>
      <c r="H84" s="60">
        <f t="shared" si="19"/>
        <v>30.3</v>
      </c>
      <c r="I84" s="60">
        <f t="shared" si="19"/>
        <v>43.6</v>
      </c>
      <c r="J84" s="60">
        <f t="shared" si="19"/>
        <v>27.9</v>
      </c>
      <c r="K84" s="60">
        <f t="shared" si="19"/>
        <v>32.1</v>
      </c>
      <c r="L84" s="60">
        <f t="shared" si="19"/>
        <v>31.9</v>
      </c>
      <c r="M84" s="60">
        <f t="shared" si="19"/>
        <v>35.299999999999997</v>
      </c>
      <c r="N84" s="60">
        <f t="shared" si="19"/>
        <v>15</v>
      </c>
      <c r="O84" s="60">
        <f t="shared" si="19"/>
        <v>2.8</v>
      </c>
      <c r="P84" s="60">
        <f t="shared" si="19"/>
        <v>4.7</v>
      </c>
      <c r="Q84" s="60">
        <f t="shared" si="19"/>
        <v>4.8</v>
      </c>
      <c r="R84" s="60">
        <f t="shared" si="19"/>
        <v>1.7</v>
      </c>
      <c r="S84" s="60">
        <f t="shared" si="19"/>
        <v>4.4000000000000004</v>
      </c>
      <c r="T84" s="60">
        <f t="shared" si="19"/>
        <v>14.4</v>
      </c>
      <c r="U84" s="60">
        <f t="shared" si="19"/>
        <v>5</v>
      </c>
      <c r="V84" s="60">
        <f t="shared" si="19"/>
        <v>14.1</v>
      </c>
      <c r="W84" s="60">
        <f t="shared" si="19"/>
        <v>16.7</v>
      </c>
      <c r="X84" s="60">
        <f t="shared" si="19"/>
        <v>16.7</v>
      </c>
      <c r="Y84" s="60">
        <f t="shared" si="19"/>
        <v>8.4</v>
      </c>
      <c r="Z84" s="60">
        <f t="shared" si="19"/>
        <v>25</v>
      </c>
      <c r="AA84" s="60">
        <v>0</v>
      </c>
      <c r="AB84" s="60">
        <f t="shared" si="19"/>
        <v>14.1</v>
      </c>
      <c r="AC84" s="60">
        <f t="shared" ref="AC84:AD84" si="20">SUMIF(AC73:AC83,"&gt;0")</f>
        <v>14.1</v>
      </c>
      <c r="AD84" s="60">
        <f t="shared" si="20"/>
        <v>14.1</v>
      </c>
      <c r="AE84" s="60">
        <f t="shared" si="19"/>
        <v>14.1</v>
      </c>
      <c r="AF84" s="60">
        <f t="shared" si="19"/>
        <v>39</v>
      </c>
      <c r="AG84" s="87">
        <f>SUM(AG73:AG83)</f>
        <v>0</v>
      </c>
      <c r="AH84" s="47">
        <f t="shared" si="17"/>
        <v>49.2</v>
      </c>
      <c r="AI84" s="48">
        <f t="shared" si="18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/>
      <c r="F85" s="75"/>
      <c r="G85" s="75"/>
      <c r="H85" s="75"/>
      <c r="I85" s="75"/>
      <c r="J85" s="75"/>
      <c r="K85" s="75"/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7"/>
        <v>0</v>
      </c>
      <c r="AI85" s="48">
        <f t="shared" si="18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/>
      <c r="F86" s="76"/>
      <c r="G86" s="76"/>
      <c r="H86" s="76"/>
      <c r="I86" s="76"/>
      <c r="J86" s="76"/>
      <c r="K86" s="76"/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7"/>
        <v>0</v>
      </c>
      <c r="AI86" s="48">
        <f t="shared" si="18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/>
      <c r="F87" s="93"/>
      <c r="G87" s="93"/>
      <c r="H87" s="93"/>
      <c r="I87" s="93"/>
      <c r="J87" s="93"/>
      <c r="K87" s="93"/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7"/>
        <v>0</v>
      </c>
      <c r="AI87" s="48">
        <f t="shared" si="18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>
        <v>0</v>
      </c>
      <c r="Z88" s="60">
        <v>0</v>
      </c>
      <c r="AA88" s="60">
        <v>0</v>
      </c>
      <c r="AB88" s="60"/>
      <c r="AC88" s="60"/>
      <c r="AD88" s="60"/>
      <c r="AE88" s="60"/>
      <c r="AF88" s="60"/>
      <c r="AG88" s="87">
        <f>SUM(AG85:AG87)</f>
        <v>55.4</v>
      </c>
      <c r="AH88" s="47">
        <f t="shared" si="17"/>
        <v>0</v>
      </c>
      <c r="AI88" s="48">
        <f t="shared" si="18"/>
        <v>0</v>
      </c>
    </row>
    <row r="89" spans="1:40" ht="15.75" thickBot="1" x14ac:dyDescent="0.3">
      <c r="A89" s="73" t="s">
        <v>100</v>
      </c>
      <c r="B89" s="94">
        <f t="shared" ref="B89:AG89" si="21">B50+B54+B72+B68+B84+B88</f>
        <v>1844.34</v>
      </c>
      <c r="C89" s="94">
        <f t="shared" si="21"/>
        <v>1844.74</v>
      </c>
      <c r="D89" s="94">
        <f t="shared" si="21"/>
        <v>1840.74</v>
      </c>
      <c r="E89" s="94">
        <f t="shared" si="21"/>
        <v>1789.3</v>
      </c>
      <c r="F89" s="94">
        <f t="shared" si="21"/>
        <v>1611.9</v>
      </c>
      <c r="G89" s="94">
        <f t="shared" si="21"/>
        <v>1748.1000000000001</v>
      </c>
      <c r="H89" s="94">
        <f t="shared" si="21"/>
        <v>1810.34</v>
      </c>
      <c r="I89" s="94">
        <f t="shared" si="21"/>
        <v>1810.4399999999998</v>
      </c>
      <c r="J89" s="94">
        <f t="shared" si="21"/>
        <v>1827.44</v>
      </c>
      <c r="K89" s="94">
        <f t="shared" si="21"/>
        <v>1888.1399999999999</v>
      </c>
      <c r="L89" s="94">
        <f t="shared" si="21"/>
        <v>1919.44</v>
      </c>
      <c r="M89" s="94">
        <f t="shared" si="21"/>
        <v>1931.84</v>
      </c>
      <c r="N89" s="94">
        <f t="shared" si="21"/>
        <v>1916.54</v>
      </c>
      <c r="O89" s="94">
        <f t="shared" si="21"/>
        <v>1859.34</v>
      </c>
      <c r="P89" s="94">
        <f t="shared" si="21"/>
        <v>1922.94</v>
      </c>
      <c r="Q89" s="94">
        <f t="shared" si="21"/>
        <v>1844.74</v>
      </c>
      <c r="R89" s="94">
        <f t="shared" si="21"/>
        <v>1873.24</v>
      </c>
      <c r="S89" s="94">
        <f t="shared" si="21"/>
        <v>1867.64</v>
      </c>
      <c r="T89" s="94">
        <f t="shared" si="21"/>
        <v>1877.64</v>
      </c>
      <c r="U89" s="94">
        <f t="shared" si="21"/>
        <v>1836.1399999999999</v>
      </c>
      <c r="V89" s="94">
        <f t="shared" si="21"/>
        <v>1852.84</v>
      </c>
      <c r="W89" s="94">
        <f t="shared" si="21"/>
        <v>1840.94</v>
      </c>
      <c r="X89" s="94">
        <f t="shared" si="21"/>
        <v>1842.24</v>
      </c>
      <c r="Y89" s="94">
        <f t="shared" si="21"/>
        <v>1845.94</v>
      </c>
      <c r="Z89" s="94">
        <f t="shared" si="21"/>
        <v>1940.04</v>
      </c>
      <c r="AA89" s="94">
        <v>1952.7399999999998</v>
      </c>
      <c r="AB89" s="94">
        <f t="shared" si="21"/>
        <v>1946.34</v>
      </c>
      <c r="AC89" s="94">
        <f t="shared" ref="AC89:AD89" si="22">AC50+AC54+AC72+AC68+AC84+AC88</f>
        <v>1946.34</v>
      </c>
      <c r="AD89" s="94">
        <f t="shared" si="22"/>
        <v>1916.34</v>
      </c>
      <c r="AE89" s="94">
        <f t="shared" si="21"/>
        <v>1869.44</v>
      </c>
      <c r="AF89" s="94">
        <f t="shared" si="21"/>
        <v>1719.04</v>
      </c>
      <c r="AG89" s="61">
        <f t="shared" si="21"/>
        <v>2111.5500000000002</v>
      </c>
      <c r="AH89" s="47">
        <f t="shared" si="17"/>
        <v>1952.7399999999998</v>
      </c>
      <c r="AI89" s="48">
        <f t="shared" si="18"/>
        <v>1611.9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7"/>
        <v>0</v>
      </c>
      <c r="AI90" s="48">
        <f t="shared" si="18"/>
        <v>0</v>
      </c>
    </row>
    <row r="91" spans="1:40" ht="15.75" thickBot="1" x14ac:dyDescent="0.3">
      <c r="A91" s="73" t="s">
        <v>102</v>
      </c>
      <c r="B91" s="94">
        <f t="shared" ref="B91:AF91" si="23">B89+B90</f>
        <v>1844.34</v>
      </c>
      <c r="C91" s="94">
        <f t="shared" si="23"/>
        <v>1844.74</v>
      </c>
      <c r="D91" s="94">
        <f t="shared" si="23"/>
        <v>1840.74</v>
      </c>
      <c r="E91" s="94">
        <f t="shared" si="23"/>
        <v>1789.3</v>
      </c>
      <c r="F91" s="94">
        <f t="shared" si="23"/>
        <v>1611.9</v>
      </c>
      <c r="G91" s="94">
        <f t="shared" si="23"/>
        <v>1748.1000000000001</v>
      </c>
      <c r="H91" s="94">
        <f t="shared" si="23"/>
        <v>1810.34</v>
      </c>
      <c r="I91" s="94">
        <f t="shared" si="23"/>
        <v>1810.4399999999998</v>
      </c>
      <c r="J91" s="94">
        <f t="shared" si="23"/>
        <v>1827.44</v>
      </c>
      <c r="K91" s="94">
        <f t="shared" si="23"/>
        <v>1888.1399999999999</v>
      </c>
      <c r="L91" s="94">
        <f t="shared" si="23"/>
        <v>1919.44</v>
      </c>
      <c r="M91" s="94">
        <f t="shared" si="23"/>
        <v>1931.84</v>
      </c>
      <c r="N91" s="94">
        <f t="shared" si="23"/>
        <v>1916.54</v>
      </c>
      <c r="O91" s="94">
        <f t="shared" si="23"/>
        <v>1859.34</v>
      </c>
      <c r="P91" s="94">
        <f t="shared" si="23"/>
        <v>1922.94</v>
      </c>
      <c r="Q91" s="94">
        <f t="shared" si="23"/>
        <v>1844.74</v>
      </c>
      <c r="R91" s="94">
        <f t="shared" si="23"/>
        <v>1873.24</v>
      </c>
      <c r="S91" s="94">
        <f t="shared" si="23"/>
        <v>1867.64</v>
      </c>
      <c r="T91" s="94">
        <f t="shared" si="23"/>
        <v>1877.64</v>
      </c>
      <c r="U91" s="94">
        <f t="shared" si="23"/>
        <v>1836.1399999999999</v>
      </c>
      <c r="V91" s="94">
        <f t="shared" si="23"/>
        <v>1852.84</v>
      </c>
      <c r="W91" s="94">
        <f t="shared" si="23"/>
        <v>1840.94</v>
      </c>
      <c r="X91" s="94">
        <f t="shared" si="23"/>
        <v>1842.24</v>
      </c>
      <c r="Y91" s="94">
        <f t="shared" si="23"/>
        <v>1845.94</v>
      </c>
      <c r="Z91" s="94">
        <f t="shared" si="23"/>
        <v>1940.04</v>
      </c>
      <c r="AA91" s="94">
        <v>1952.7399999999998</v>
      </c>
      <c r="AB91" s="94">
        <f t="shared" si="23"/>
        <v>1946.34</v>
      </c>
      <c r="AC91" s="94">
        <f t="shared" ref="AC91:AD91" si="24">AC89+AC90</f>
        <v>1946.34</v>
      </c>
      <c r="AD91" s="94">
        <f t="shared" si="24"/>
        <v>1916.34</v>
      </c>
      <c r="AE91" s="94">
        <f t="shared" si="23"/>
        <v>1869.44</v>
      </c>
      <c r="AF91" s="94">
        <f t="shared" si="23"/>
        <v>1719.04</v>
      </c>
      <c r="AG91" s="87">
        <f>AG88+AG84+AG72+AG68+AG50+AG90</f>
        <v>1573.45</v>
      </c>
      <c r="AH91" s="47">
        <f t="shared" si="17"/>
        <v>1952.7399999999998</v>
      </c>
      <c r="AI91" s="48">
        <f t="shared" si="18"/>
        <v>1611.9</v>
      </c>
    </row>
    <row r="92" spans="1:40" ht="15.75" thickBot="1" x14ac:dyDescent="0.3">
      <c r="A92" s="73" t="s">
        <v>103</v>
      </c>
      <c r="B92" s="94">
        <f t="shared" ref="B92:AF92" si="25">B91-B99</f>
        <v>1844.34</v>
      </c>
      <c r="C92" s="94">
        <f t="shared" si="25"/>
        <v>1844.74</v>
      </c>
      <c r="D92" s="94">
        <f t="shared" si="25"/>
        <v>1840.74</v>
      </c>
      <c r="E92" s="94">
        <f t="shared" si="25"/>
        <v>1789.3</v>
      </c>
      <c r="F92" s="94">
        <f t="shared" si="25"/>
        <v>1611.9</v>
      </c>
      <c r="G92" s="94">
        <f t="shared" si="25"/>
        <v>1748.1000000000001</v>
      </c>
      <c r="H92" s="94">
        <f t="shared" si="25"/>
        <v>1810.34</v>
      </c>
      <c r="I92" s="94">
        <f t="shared" si="25"/>
        <v>1810.4399999999998</v>
      </c>
      <c r="J92" s="94">
        <f t="shared" si="25"/>
        <v>1827.44</v>
      </c>
      <c r="K92" s="94">
        <f t="shared" si="25"/>
        <v>1888.1399999999999</v>
      </c>
      <c r="L92" s="94">
        <f t="shared" si="25"/>
        <v>1919.44</v>
      </c>
      <c r="M92" s="94">
        <f t="shared" si="25"/>
        <v>1931.84</v>
      </c>
      <c r="N92" s="94">
        <f t="shared" si="25"/>
        <v>1916.54</v>
      </c>
      <c r="O92" s="94">
        <f t="shared" si="25"/>
        <v>1859.34</v>
      </c>
      <c r="P92" s="94">
        <f t="shared" si="25"/>
        <v>1922.94</v>
      </c>
      <c r="Q92" s="94">
        <f t="shared" si="25"/>
        <v>1844.74</v>
      </c>
      <c r="R92" s="94">
        <f t="shared" si="25"/>
        <v>1873.24</v>
      </c>
      <c r="S92" s="94">
        <f t="shared" si="25"/>
        <v>1867.64</v>
      </c>
      <c r="T92" s="94">
        <f t="shared" si="25"/>
        <v>1877.64</v>
      </c>
      <c r="U92" s="94">
        <f t="shared" si="25"/>
        <v>1836.1399999999999</v>
      </c>
      <c r="V92" s="94">
        <f t="shared" si="25"/>
        <v>1852.84</v>
      </c>
      <c r="W92" s="94">
        <f t="shared" si="25"/>
        <v>1840.94</v>
      </c>
      <c r="X92" s="94">
        <f t="shared" si="25"/>
        <v>1842.24</v>
      </c>
      <c r="Y92" s="94">
        <f t="shared" si="25"/>
        <v>1845.94</v>
      </c>
      <c r="Z92" s="94">
        <f t="shared" si="25"/>
        <v>1940.04</v>
      </c>
      <c r="AA92" s="94">
        <v>1952.7399999999998</v>
      </c>
      <c r="AB92" s="94">
        <f t="shared" si="25"/>
        <v>1946.34</v>
      </c>
      <c r="AC92" s="94">
        <f t="shared" ref="AC92:AD92" si="26">AC91-AC99</f>
        <v>1946.34</v>
      </c>
      <c r="AD92" s="94">
        <f t="shared" si="26"/>
        <v>1916.34</v>
      </c>
      <c r="AE92" s="94">
        <f t="shared" si="25"/>
        <v>1869.44</v>
      </c>
      <c r="AF92" s="94">
        <f t="shared" si="25"/>
        <v>1719.04</v>
      </c>
      <c r="AG92" s="87"/>
      <c r="AH92" s="47">
        <f t="shared" si="17"/>
        <v>1952.7399999999998</v>
      </c>
      <c r="AI92" s="48">
        <f t="shared" si="18"/>
        <v>1611.9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/>
      <c r="F93" s="75"/>
      <c r="G93" s="75"/>
      <c r="H93" s="75"/>
      <c r="I93" s="75"/>
      <c r="J93" s="75"/>
      <c r="K93" s="75"/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7"/>
        <v>0</v>
      </c>
      <c r="AI93" s="48">
        <f t="shared" si="18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/>
      <c r="F94" s="75"/>
      <c r="G94" s="75"/>
      <c r="H94" s="75"/>
      <c r="I94" s="75"/>
      <c r="J94" s="75"/>
      <c r="K94" s="75"/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7"/>
        <v>0</v>
      </c>
      <c r="AI94" s="48">
        <f t="shared" si="18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/>
      <c r="F95" s="75"/>
      <c r="G95" s="75"/>
      <c r="H95" s="75"/>
      <c r="I95" s="75"/>
      <c r="J95" s="75"/>
      <c r="K95" s="75"/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7"/>
        <v>0</v>
      </c>
      <c r="AI95" s="48">
        <f t="shared" si="18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/>
      <c r="F96" s="75"/>
      <c r="G96" s="75"/>
      <c r="H96" s="75"/>
      <c r="I96" s="75"/>
      <c r="J96" s="75"/>
      <c r="K96" s="75"/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7"/>
        <v>0</v>
      </c>
      <c r="AI96" s="48">
        <f t="shared" si="18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/>
      <c r="F97" s="75"/>
      <c r="G97" s="75"/>
      <c r="H97" s="75"/>
      <c r="I97" s="75"/>
      <c r="J97" s="75"/>
      <c r="K97" s="75"/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7"/>
        <v>0</v>
      </c>
      <c r="AI97" s="48">
        <f t="shared" si="18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/>
      <c r="F98" s="93"/>
      <c r="G98" s="93"/>
      <c r="H98" s="93"/>
      <c r="I98" s="93"/>
      <c r="J98" s="93"/>
      <c r="K98" s="93"/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7"/>
        <v>0</v>
      </c>
      <c r="AI98" s="48">
        <f t="shared" si="18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17"/>
        <v>0</v>
      </c>
      <c r="AI99" s="48">
        <f t="shared" si="18"/>
        <v>0</v>
      </c>
      <c r="AK99" s="50"/>
    </row>
    <row r="100" spans="1:37" ht="15.75" thickBot="1" x14ac:dyDescent="0.3">
      <c r="A100" s="73" t="s">
        <v>108</v>
      </c>
      <c r="B100" s="60">
        <f t="shared" ref="B100:AF100" si="27">B84-B99</f>
        <v>40</v>
      </c>
      <c r="C100" s="60">
        <f t="shared" si="27"/>
        <v>40</v>
      </c>
      <c r="D100" s="60">
        <f t="shared" si="27"/>
        <v>40</v>
      </c>
      <c r="E100" s="60">
        <f t="shared" si="27"/>
        <v>35.6</v>
      </c>
      <c r="F100" s="60">
        <f t="shared" si="27"/>
        <v>0</v>
      </c>
      <c r="G100" s="60">
        <f t="shared" si="27"/>
        <v>49.2</v>
      </c>
      <c r="H100" s="60">
        <f t="shared" si="27"/>
        <v>30.3</v>
      </c>
      <c r="I100" s="60">
        <f t="shared" si="27"/>
        <v>43.6</v>
      </c>
      <c r="J100" s="60">
        <f t="shared" si="27"/>
        <v>27.9</v>
      </c>
      <c r="K100" s="60">
        <f t="shared" si="27"/>
        <v>32.1</v>
      </c>
      <c r="L100" s="60">
        <f t="shared" si="27"/>
        <v>31.9</v>
      </c>
      <c r="M100" s="60">
        <f t="shared" si="27"/>
        <v>35.299999999999997</v>
      </c>
      <c r="N100" s="60">
        <f t="shared" si="27"/>
        <v>15</v>
      </c>
      <c r="O100" s="60">
        <f t="shared" si="27"/>
        <v>2.8</v>
      </c>
      <c r="P100" s="60">
        <f t="shared" si="27"/>
        <v>4.7</v>
      </c>
      <c r="Q100" s="60">
        <f t="shared" si="27"/>
        <v>4.8</v>
      </c>
      <c r="R100" s="60">
        <f t="shared" si="27"/>
        <v>1.7</v>
      </c>
      <c r="S100" s="60">
        <f t="shared" si="27"/>
        <v>4.4000000000000004</v>
      </c>
      <c r="T100" s="60">
        <f t="shared" si="27"/>
        <v>14.4</v>
      </c>
      <c r="U100" s="60">
        <f t="shared" si="27"/>
        <v>5</v>
      </c>
      <c r="V100" s="60">
        <f t="shared" si="27"/>
        <v>14.1</v>
      </c>
      <c r="W100" s="60">
        <f t="shared" si="27"/>
        <v>16.7</v>
      </c>
      <c r="X100" s="60">
        <f t="shared" si="27"/>
        <v>16.7</v>
      </c>
      <c r="Y100" s="60">
        <f t="shared" si="27"/>
        <v>8.4</v>
      </c>
      <c r="Z100" s="60">
        <f t="shared" si="27"/>
        <v>25</v>
      </c>
      <c r="AA100" s="60">
        <v>0</v>
      </c>
      <c r="AB100" s="60">
        <f t="shared" si="27"/>
        <v>14.1</v>
      </c>
      <c r="AC100" s="60">
        <f t="shared" ref="AC100:AD100" si="28">AC84-AC99</f>
        <v>14.1</v>
      </c>
      <c r="AD100" s="60">
        <f t="shared" si="28"/>
        <v>14.1</v>
      </c>
      <c r="AE100" s="60">
        <f t="shared" si="27"/>
        <v>14.1</v>
      </c>
      <c r="AF100" s="60">
        <f t="shared" si="27"/>
        <v>39</v>
      </c>
      <c r="AG100" s="87"/>
      <c r="AH100" s="47">
        <f t="shared" si="17"/>
        <v>49.2</v>
      </c>
      <c r="AI100" s="48">
        <f t="shared" si="18"/>
        <v>0</v>
      </c>
    </row>
    <row r="101" spans="1:37" x14ac:dyDescent="0.25">
      <c r="A101" s="99" t="s">
        <v>109</v>
      </c>
      <c r="B101" s="100">
        <v>50.036000000000001</v>
      </c>
      <c r="C101" s="100">
        <v>50.037999999999997</v>
      </c>
      <c r="D101" s="100">
        <v>50.037999999999997</v>
      </c>
      <c r="E101" s="100">
        <v>49.963999999999999</v>
      </c>
      <c r="F101" s="100"/>
      <c r="G101" s="100">
        <v>50.002000000000002</v>
      </c>
      <c r="H101" s="100">
        <v>49.996000000000002</v>
      </c>
      <c r="I101" s="100">
        <v>49.917000000000002</v>
      </c>
      <c r="J101" s="100">
        <v>49.984999999999999</v>
      </c>
      <c r="K101" s="100">
        <v>49.984999999999999</v>
      </c>
      <c r="L101" s="100">
        <v>49.956000000000003</v>
      </c>
      <c r="M101" s="100">
        <v>50</v>
      </c>
      <c r="N101" s="100">
        <v>50.01</v>
      </c>
      <c r="O101" s="100">
        <v>50.01</v>
      </c>
      <c r="P101" s="100">
        <v>49.96</v>
      </c>
      <c r="Q101" s="100">
        <v>50.01</v>
      </c>
      <c r="R101" s="100">
        <v>49.95</v>
      </c>
      <c r="S101" s="100">
        <v>49.93</v>
      </c>
      <c r="T101" s="100">
        <v>49.901000000000003</v>
      </c>
      <c r="U101" s="100">
        <v>49.963999999999999</v>
      </c>
      <c r="V101" s="100">
        <v>50.006</v>
      </c>
      <c r="W101" s="100">
        <v>50.052999999999997</v>
      </c>
      <c r="X101" s="100">
        <v>50.052999999999997</v>
      </c>
      <c r="Y101" s="100">
        <v>50.064</v>
      </c>
      <c r="Z101" s="100">
        <v>50.100999999999999</v>
      </c>
      <c r="AA101" s="100">
        <v>49.97</v>
      </c>
      <c r="AB101" s="100">
        <v>50.03</v>
      </c>
      <c r="AC101" s="100">
        <v>50</v>
      </c>
      <c r="AD101" s="100">
        <v>49.96</v>
      </c>
      <c r="AE101" s="100">
        <v>50</v>
      </c>
      <c r="AF101" s="100">
        <v>50.02</v>
      </c>
      <c r="AG101" s="101"/>
      <c r="AH101" s="47">
        <f t="shared" si="17"/>
        <v>50.100999999999999</v>
      </c>
      <c r="AI101" s="48">
        <f t="shared" si="18"/>
        <v>49.901000000000003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7"/>
        <v>0</v>
      </c>
      <c r="AI102" s="48">
        <f t="shared" si="18"/>
        <v>0</v>
      </c>
    </row>
    <row r="103" spans="1:37" x14ac:dyDescent="0.25">
      <c r="A103" s="102" t="s">
        <v>111</v>
      </c>
      <c r="B103" s="64">
        <v>131.6</v>
      </c>
      <c r="C103" s="64">
        <v>130.69999999999999</v>
      </c>
      <c r="D103" s="64">
        <v>131.80000000000001</v>
      </c>
      <c r="E103" s="64">
        <v>129.69999999999999</v>
      </c>
      <c r="F103" s="64"/>
      <c r="G103" s="64">
        <v>130.5</v>
      </c>
      <c r="H103" s="64">
        <v>131</v>
      </c>
      <c r="I103" s="64">
        <v>130.1</v>
      </c>
      <c r="J103" s="64">
        <v>127.8</v>
      </c>
      <c r="K103" s="64">
        <v>127.8</v>
      </c>
      <c r="L103" s="64">
        <v>126.1</v>
      </c>
      <c r="M103" s="64">
        <v>126.3</v>
      </c>
      <c r="N103" s="64">
        <v>122.5</v>
      </c>
      <c r="O103" s="64">
        <v>122.5</v>
      </c>
      <c r="P103" s="64">
        <v>125.5</v>
      </c>
      <c r="Q103" s="64">
        <v>122.9</v>
      </c>
      <c r="R103" s="64">
        <v>126</v>
      </c>
      <c r="S103" s="64">
        <v>124.1</v>
      </c>
      <c r="T103" s="64">
        <v>124.6</v>
      </c>
      <c r="U103" s="64">
        <v>124.1</v>
      </c>
      <c r="V103" s="64">
        <v>127.6</v>
      </c>
      <c r="W103" s="64">
        <v>128.5</v>
      </c>
      <c r="X103" s="64">
        <v>128.5</v>
      </c>
      <c r="Y103" s="64">
        <v>128.69999999999999</v>
      </c>
      <c r="Z103" s="64">
        <v>126.7</v>
      </c>
      <c r="AA103" s="64">
        <v>126.1</v>
      </c>
      <c r="AB103" s="64">
        <v>126.7</v>
      </c>
      <c r="AC103" s="64">
        <v>126.7</v>
      </c>
      <c r="AD103" s="64">
        <v>126.7</v>
      </c>
      <c r="AE103" s="64">
        <v>127</v>
      </c>
      <c r="AF103" s="64">
        <v>127</v>
      </c>
      <c r="AG103" s="103"/>
      <c r="AH103" s="47">
        <f t="shared" si="17"/>
        <v>131.80000000000001</v>
      </c>
      <c r="AI103" s="48">
        <f t="shared" si="18"/>
        <v>122.5</v>
      </c>
    </row>
    <row r="104" spans="1:37" x14ac:dyDescent="0.25">
      <c r="A104" s="102" t="s">
        <v>112</v>
      </c>
      <c r="B104" s="64">
        <v>130.80000000000001</v>
      </c>
      <c r="C104" s="64">
        <v>128.1</v>
      </c>
      <c r="D104" s="64">
        <v>128.6</v>
      </c>
      <c r="E104" s="64">
        <v>129.9</v>
      </c>
      <c r="F104" s="64"/>
      <c r="G104" s="64">
        <v>130.5</v>
      </c>
      <c r="H104" s="64">
        <v>131.69999999999999</v>
      </c>
      <c r="I104" s="64">
        <v>130.30000000000001</v>
      </c>
      <c r="J104" s="64">
        <v>128.4</v>
      </c>
      <c r="K104" s="64">
        <v>128.4</v>
      </c>
      <c r="L104" s="64">
        <v>125.3</v>
      </c>
      <c r="M104" s="64">
        <v>127.8</v>
      </c>
      <c r="N104" s="64">
        <v>126.4</v>
      </c>
      <c r="O104" s="64">
        <v>126.4</v>
      </c>
      <c r="P104" s="64">
        <v>128.34</v>
      </c>
      <c r="Q104" s="64"/>
      <c r="R104" s="64"/>
      <c r="S104" s="64"/>
      <c r="T104" s="64"/>
      <c r="U104" s="64">
        <v>127.3</v>
      </c>
      <c r="V104" s="64">
        <v>128.4</v>
      </c>
      <c r="W104" s="64">
        <v>124.7</v>
      </c>
      <c r="X104" s="64">
        <v>124.7</v>
      </c>
      <c r="Y104" s="64">
        <v>128.30000000000001</v>
      </c>
      <c r="Z104" s="64">
        <v>126</v>
      </c>
      <c r="AA104" s="64">
        <v>129.5</v>
      </c>
      <c r="AB104" s="64">
        <v>125.9</v>
      </c>
      <c r="AC104" s="64">
        <v>125.9</v>
      </c>
      <c r="AD104" s="64">
        <v>125.9</v>
      </c>
      <c r="AE104" s="64">
        <v>125</v>
      </c>
      <c r="AF104" s="64">
        <v>125</v>
      </c>
      <c r="AG104" s="103"/>
      <c r="AH104" s="47">
        <f t="shared" si="17"/>
        <v>131.69999999999999</v>
      </c>
      <c r="AI104" s="48">
        <f t="shared" si="18"/>
        <v>124.7</v>
      </c>
    </row>
    <row r="105" spans="1:37" x14ac:dyDescent="0.25">
      <c r="A105" s="104" t="s">
        <v>113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3"/>
      <c r="AH105" s="47">
        <f t="shared" si="17"/>
        <v>0</v>
      </c>
      <c r="AI105" s="48">
        <f t="shared" si="18"/>
        <v>0</v>
      </c>
    </row>
    <row r="106" spans="1:37" x14ac:dyDescent="0.25">
      <c r="A106" s="104" t="s">
        <v>114</v>
      </c>
      <c r="B106" s="105">
        <v>131.6</v>
      </c>
      <c r="C106" s="105">
        <v>130.30000000000001</v>
      </c>
      <c r="D106" s="105">
        <v>133.4</v>
      </c>
      <c r="E106" s="105">
        <v>133.9</v>
      </c>
      <c r="F106" s="105"/>
      <c r="G106" s="105">
        <v>130.80000000000001</v>
      </c>
      <c r="H106" s="105">
        <v>134</v>
      </c>
      <c r="I106" s="105">
        <v>135.30000000000001</v>
      </c>
      <c r="J106" s="105">
        <v>134.6</v>
      </c>
      <c r="K106" s="105">
        <v>134.6</v>
      </c>
      <c r="L106" s="105">
        <v>132.69999999999999</v>
      </c>
      <c r="M106" s="105">
        <v>133.1</v>
      </c>
      <c r="N106" s="105">
        <v>131.19999999999999</v>
      </c>
      <c r="O106" s="105">
        <v>131.19999999999999</v>
      </c>
      <c r="P106" s="105">
        <v>133.4</v>
      </c>
      <c r="Q106" s="105">
        <v>129.4</v>
      </c>
      <c r="R106" s="105">
        <v>130.6</v>
      </c>
      <c r="S106" s="105">
        <v>128.19999999999999</v>
      </c>
      <c r="T106" s="105">
        <v>130.30000000000001</v>
      </c>
      <c r="U106" s="105">
        <v>132.80000000000001</v>
      </c>
      <c r="V106" s="105">
        <v>134.4</v>
      </c>
      <c r="W106" s="105">
        <v>135.4</v>
      </c>
      <c r="X106" s="105">
        <v>135.4</v>
      </c>
      <c r="Y106" s="105">
        <v>130.9</v>
      </c>
      <c r="Z106" s="105">
        <v>132.4</v>
      </c>
      <c r="AA106" s="105">
        <v>128.5</v>
      </c>
      <c r="AB106" s="105">
        <v>132</v>
      </c>
      <c r="AC106" s="105">
        <v>132</v>
      </c>
      <c r="AD106" s="105">
        <v>132</v>
      </c>
      <c r="AE106" s="105">
        <v>133</v>
      </c>
      <c r="AF106" s="105">
        <v>133</v>
      </c>
      <c r="AG106" s="106"/>
      <c r="AH106" s="47">
        <f t="shared" si="17"/>
        <v>135.4</v>
      </c>
      <c r="AI106" s="48">
        <f t="shared" si="18"/>
        <v>128.19999999999999</v>
      </c>
    </row>
    <row r="107" spans="1:37" x14ac:dyDescent="0.25">
      <c r="A107" s="102" t="s">
        <v>115</v>
      </c>
      <c r="B107" s="64">
        <v>125.8</v>
      </c>
      <c r="C107" s="64">
        <v>131.80000000000001</v>
      </c>
      <c r="D107" s="64">
        <v>130.4</v>
      </c>
      <c r="E107" s="64">
        <v>130</v>
      </c>
      <c r="F107" s="64"/>
      <c r="G107" s="64">
        <v>131.9</v>
      </c>
      <c r="H107" s="64">
        <v>133.30000000000001</v>
      </c>
      <c r="I107" s="64">
        <v>132.4</v>
      </c>
      <c r="J107" s="64">
        <v>130.4</v>
      </c>
      <c r="K107" s="64">
        <v>130.4</v>
      </c>
      <c r="L107" s="64">
        <v>128.4</v>
      </c>
      <c r="M107" s="64">
        <v>135.80000000000001</v>
      </c>
      <c r="N107" s="64">
        <v>132.4</v>
      </c>
      <c r="O107" s="64">
        <v>132.4</v>
      </c>
      <c r="P107" s="64">
        <v>129.9</v>
      </c>
      <c r="Q107" s="64">
        <v>124.7</v>
      </c>
      <c r="R107" s="64">
        <v>124</v>
      </c>
      <c r="S107" s="64">
        <v>122.9</v>
      </c>
      <c r="T107" s="64">
        <v>130.9</v>
      </c>
      <c r="U107" s="64">
        <v>135.4</v>
      </c>
      <c r="V107" s="64">
        <v>131.5</v>
      </c>
      <c r="W107" s="64">
        <v>128.69999999999999</v>
      </c>
      <c r="X107" s="64">
        <v>128.69999999999999</v>
      </c>
      <c r="Y107" s="64">
        <v>133.5</v>
      </c>
      <c r="Z107" s="64">
        <v>130.19999999999999</v>
      </c>
      <c r="AA107" s="64">
        <v>128</v>
      </c>
      <c r="AB107" s="64">
        <v>131.80000000000001</v>
      </c>
      <c r="AC107" s="64">
        <v>131.80000000000001</v>
      </c>
      <c r="AD107" s="64">
        <v>131.80000000000001</v>
      </c>
      <c r="AE107" s="64">
        <v>124</v>
      </c>
      <c r="AF107" s="64">
        <v>124</v>
      </c>
      <c r="AG107" s="103"/>
      <c r="AH107" s="47">
        <f t="shared" si="17"/>
        <v>135.80000000000001</v>
      </c>
      <c r="AI107" s="48">
        <f t="shared" si="18"/>
        <v>122.9</v>
      </c>
    </row>
    <row r="108" spans="1:37" ht="15.75" thickBot="1" x14ac:dyDescent="0.3">
      <c r="A108" s="102" t="s">
        <v>116</v>
      </c>
      <c r="B108" s="91">
        <v>66.099999999999994</v>
      </c>
      <c r="C108" s="91">
        <v>65.7</v>
      </c>
      <c r="D108" s="91">
        <v>66.099999999999994</v>
      </c>
      <c r="E108" s="91">
        <v>65.400000000000006</v>
      </c>
      <c r="F108" s="91"/>
      <c r="G108" s="91">
        <v>65.400000000000006</v>
      </c>
      <c r="H108" s="91">
        <v>65.599999999999994</v>
      </c>
      <c r="I108" s="91">
        <v>65</v>
      </c>
      <c r="J108" s="91">
        <v>64.3</v>
      </c>
      <c r="K108" s="91">
        <v>64.3</v>
      </c>
      <c r="L108" s="91">
        <v>63.5</v>
      </c>
      <c r="M108" s="91">
        <v>63.6</v>
      </c>
      <c r="N108" s="91">
        <v>61.9</v>
      </c>
      <c r="O108" s="91">
        <v>61.9</v>
      </c>
      <c r="P108" s="91">
        <v>62.7</v>
      </c>
      <c r="Q108" s="91">
        <v>61.5</v>
      </c>
      <c r="R108" s="91">
        <v>62.9</v>
      </c>
      <c r="S108" s="91">
        <v>61.9</v>
      </c>
      <c r="T108" s="91">
        <v>62.5</v>
      </c>
      <c r="U108" s="91">
        <v>62.3</v>
      </c>
      <c r="V108" s="91">
        <v>64.099999999999994</v>
      </c>
      <c r="W108" s="91">
        <v>64.7</v>
      </c>
      <c r="X108" s="91">
        <v>64.7</v>
      </c>
      <c r="Y108" s="91">
        <v>64.599999999999994</v>
      </c>
      <c r="Z108" s="91">
        <v>63.6</v>
      </c>
      <c r="AA108" s="91">
        <v>63.3</v>
      </c>
      <c r="AB108" s="91">
        <v>64.400000000000006</v>
      </c>
      <c r="AC108" s="91">
        <v>64.400000000000006</v>
      </c>
      <c r="AD108" s="91">
        <v>64.400000000000006</v>
      </c>
      <c r="AE108" s="91">
        <v>64</v>
      </c>
      <c r="AF108" s="91">
        <v>64</v>
      </c>
      <c r="AG108" s="107"/>
      <c r="AH108" s="47">
        <f t="shared" si="17"/>
        <v>66.099999999999994</v>
      </c>
      <c r="AI108" s="48">
        <f t="shared" si="18"/>
        <v>61.5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 t="s">
        <v>117</v>
      </c>
      <c r="Z109" s="91" t="s">
        <v>117</v>
      </c>
      <c r="AA109" s="91" t="s">
        <v>117</v>
      </c>
      <c r="AB109" s="91"/>
      <c r="AC109" s="91"/>
      <c r="AD109" s="91"/>
      <c r="AE109" s="91"/>
      <c r="AF109" s="91"/>
      <c r="AG109" s="107"/>
      <c r="AH109" s="47">
        <f t="shared" si="17"/>
        <v>0</v>
      </c>
      <c r="AI109" s="48">
        <f t="shared" si="18"/>
        <v>0</v>
      </c>
    </row>
    <row r="110" spans="1:37" ht="15.75" thickBot="1" x14ac:dyDescent="0.3">
      <c r="A110" s="109" t="s">
        <v>118</v>
      </c>
      <c r="B110" s="110">
        <f t="shared" ref="B110:O110" si="29">SUM(B20,B26,B29:B30,B58,B60:B61,B63,B65,B111:B115,B138,B144,B150,B159,B161,B173,B180,B183:B184,B191,B193,B195,B199:B201,B203:B205,B210,B216:B217,B219:B221,B229,B234)</f>
        <v>31.499999999999989</v>
      </c>
      <c r="C110" s="110">
        <f t="shared" si="29"/>
        <v>16.339999999999989</v>
      </c>
      <c r="D110" s="110">
        <f t="shared" si="29"/>
        <v>25.84</v>
      </c>
      <c r="E110" s="110">
        <f t="shared" si="29"/>
        <v>19.640000000000004</v>
      </c>
      <c r="F110" s="110">
        <f t="shared" si="29"/>
        <v>55.94</v>
      </c>
      <c r="G110" s="110">
        <f t="shared" si="29"/>
        <v>15.04</v>
      </c>
      <c r="H110" s="110">
        <f t="shared" si="29"/>
        <v>100.03999999999999</v>
      </c>
      <c r="I110" s="110">
        <f t="shared" si="29"/>
        <v>137.64000000000001</v>
      </c>
      <c r="J110" s="110">
        <f t="shared" si="29"/>
        <v>167.04000000000005</v>
      </c>
      <c r="K110" s="110">
        <f t="shared" si="29"/>
        <v>202.74</v>
      </c>
      <c r="L110" s="110">
        <f t="shared" si="29"/>
        <v>235.22</v>
      </c>
      <c r="M110" s="110">
        <f t="shared" si="29"/>
        <v>224.44</v>
      </c>
      <c r="N110" s="110">
        <f t="shared" si="29"/>
        <v>233.50000000000003</v>
      </c>
      <c r="O110" s="110">
        <f t="shared" si="29"/>
        <v>194.75999999999996</v>
      </c>
      <c r="P110" s="110">
        <v>42</v>
      </c>
      <c r="Q110" s="110">
        <f t="shared" ref="Q110:AF110" si="30">SUM(Q20,Q26,Q29:Q30,Q58,Q60:Q61,Q63,Q65,Q111:Q115,Q138,Q144,Q150,Q159,Q161,Q173,Q180,Q183:Q184,Q191,Q193,Q195,Q199:Q201,Q203:Q205,Q210,Q216:Q217,Q219:Q221,Q229,Q234)</f>
        <v>214.50000000000006</v>
      </c>
      <c r="R110" s="110">
        <f t="shared" si="30"/>
        <v>201.70000000000002</v>
      </c>
      <c r="S110" s="110">
        <f t="shared" si="30"/>
        <v>175.89999999999998</v>
      </c>
      <c r="T110" s="110">
        <f t="shared" si="30"/>
        <v>171.3</v>
      </c>
      <c r="U110" s="110">
        <f t="shared" si="30"/>
        <v>186.7</v>
      </c>
      <c r="V110" s="110">
        <f t="shared" si="30"/>
        <v>158.9</v>
      </c>
      <c r="W110" s="110">
        <f t="shared" si="30"/>
        <v>154.19999999999999</v>
      </c>
      <c r="X110" s="110">
        <f t="shared" si="30"/>
        <v>154.19999999999999</v>
      </c>
      <c r="Y110" s="110">
        <f t="shared" si="30"/>
        <v>163.10000000000002</v>
      </c>
      <c r="Z110" s="110">
        <f t="shared" si="30"/>
        <v>209.7</v>
      </c>
      <c r="AA110" s="110">
        <v>443.24</v>
      </c>
      <c r="AB110" s="110">
        <f t="shared" si="30"/>
        <v>223.4</v>
      </c>
      <c r="AC110" s="110">
        <f t="shared" ref="AC110:AD110" si="31">SUM(AC20,AC26,AC29:AC30,AC58,AC60:AC61,AC63,AC65,AC111:AC115,AC138,AC144,AC150,AC159,AC161,AC173,AC180,AC183:AC184,AC191,AC193,AC195,AC199:AC201,AC203:AC205,AC210,AC216:AC217,AC219:AC221,AC229,AC234)</f>
        <v>223.4</v>
      </c>
      <c r="AD110" s="110">
        <f t="shared" si="31"/>
        <v>193.4</v>
      </c>
      <c r="AE110" s="110">
        <f t="shared" si="30"/>
        <v>73</v>
      </c>
      <c r="AF110" s="110">
        <f t="shared" si="30"/>
        <v>39.5</v>
      </c>
      <c r="AG110" s="111"/>
      <c r="AH110" s="47">
        <f t="shared" si="17"/>
        <v>443.24</v>
      </c>
      <c r="AI110" s="48">
        <f t="shared" si="18"/>
        <v>15.04</v>
      </c>
    </row>
    <row r="111" spans="1:37" x14ac:dyDescent="0.25">
      <c r="A111" s="99" t="s">
        <v>119</v>
      </c>
      <c r="B111" s="112">
        <v>-2.8</v>
      </c>
      <c r="C111" s="112">
        <v>-2.9</v>
      </c>
      <c r="D111" s="112">
        <v>-2.7</v>
      </c>
      <c r="E111" s="112">
        <v>16.7</v>
      </c>
      <c r="F111" s="112"/>
      <c r="G111" s="112">
        <v>16.3</v>
      </c>
      <c r="H111" s="112">
        <v>27</v>
      </c>
      <c r="I111" s="112">
        <v>34.4</v>
      </c>
      <c r="J111" s="112">
        <v>47.1</v>
      </c>
      <c r="K111" s="112">
        <v>52.5</v>
      </c>
      <c r="L111" s="112">
        <v>65</v>
      </c>
      <c r="M111" s="112">
        <v>62</v>
      </c>
      <c r="N111" s="112">
        <v>69</v>
      </c>
      <c r="O111" s="112">
        <v>56.43</v>
      </c>
      <c r="P111" s="112">
        <v>52.6</v>
      </c>
      <c r="Q111" s="112">
        <v>53.9</v>
      </c>
      <c r="R111" s="112">
        <v>44.8</v>
      </c>
      <c r="S111" s="112">
        <v>35.6</v>
      </c>
      <c r="T111" s="112">
        <v>47.8</v>
      </c>
      <c r="U111" s="112">
        <v>43.9</v>
      </c>
      <c r="V111" s="112">
        <v>34.1</v>
      </c>
      <c r="W111" s="112">
        <v>30.8</v>
      </c>
      <c r="X111" s="112">
        <v>30.8</v>
      </c>
      <c r="Y111" s="112">
        <v>44.3</v>
      </c>
      <c r="Z111" s="112">
        <v>65</v>
      </c>
      <c r="AA111" s="112">
        <v>56.4</v>
      </c>
      <c r="AB111" s="112">
        <v>47.2</v>
      </c>
      <c r="AC111" s="112">
        <v>47.2</v>
      </c>
      <c r="AD111" s="112">
        <v>47.2</v>
      </c>
      <c r="AE111" s="112">
        <v>94</v>
      </c>
      <c r="AF111" s="112">
        <v>80</v>
      </c>
      <c r="AG111" s="113">
        <v>75</v>
      </c>
      <c r="AH111" s="47">
        <f t="shared" si="17"/>
        <v>94</v>
      </c>
      <c r="AI111" s="48">
        <f t="shared" si="18"/>
        <v>-2.9</v>
      </c>
    </row>
    <row r="112" spans="1:37" x14ac:dyDescent="0.25">
      <c r="A112" s="102" t="s">
        <v>120</v>
      </c>
      <c r="B112" s="114">
        <v>-1.5</v>
      </c>
      <c r="C112" s="114">
        <v>-2.4</v>
      </c>
      <c r="D112" s="114">
        <v>-1.8</v>
      </c>
      <c r="E112" s="114">
        <v>24.8</v>
      </c>
      <c r="F112" s="114"/>
      <c r="G112" s="114">
        <v>21.8</v>
      </c>
      <c r="H112" s="114">
        <v>35.700000000000003</v>
      </c>
      <c r="I112" s="114">
        <v>46.7</v>
      </c>
      <c r="J112" s="114">
        <v>64.599999999999994</v>
      </c>
      <c r="K112" s="114">
        <v>88</v>
      </c>
      <c r="L112" s="114">
        <v>91.6</v>
      </c>
      <c r="M112" s="114">
        <v>90.2</v>
      </c>
      <c r="N112" s="114">
        <v>103.06</v>
      </c>
      <c r="O112" s="114">
        <v>81.239999999999995</v>
      </c>
      <c r="P112" s="114">
        <v>76.5</v>
      </c>
      <c r="Q112" s="114">
        <v>68.900000000000006</v>
      </c>
      <c r="R112" s="114">
        <v>71.900000000000006</v>
      </c>
      <c r="S112" s="114">
        <v>60.9</v>
      </c>
      <c r="T112" s="114">
        <v>72.400000000000006</v>
      </c>
      <c r="U112" s="114">
        <v>70</v>
      </c>
      <c r="V112" s="114">
        <v>57.3</v>
      </c>
      <c r="W112" s="114">
        <v>43.8</v>
      </c>
      <c r="X112" s="114">
        <v>43.8</v>
      </c>
      <c r="Y112" s="114">
        <v>61.1</v>
      </c>
      <c r="Z112" s="114">
        <v>90</v>
      </c>
      <c r="AA112" s="114">
        <v>82.5</v>
      </c>
      <c r="AB112" s="114">
        <v>72.5</v>
      </c>
      <c r="AC112" s="114">
        <v>72.5</v>
      </c>
      <c r="AD112" s="114">
        <v>72.5</v>
      </c>
      <c r="AE112" s="114">
        <v>63</v>
      </c>
      <c r="AF112" s="114">
        <v>53</v>
      </c>
      <c r="AG112" s="113">
        <v>240</v>
      </c>
      <c r="AH112" s="47">
        <f t="shared" si="17"/>
        <v>103.06</v>
      </c>
      <c r="AI112" s="48">
        <f t="shared" si="18"/>
        <v>-2.4</v>
      </c>
    </row>
    <row r="113" spans="1:37" x14ac:dyDescent="0.25">
      <c r="A113" s="102" t="s">
        <v>121</v>
      </c>
      <c r="B113" s="114">
        <v>-103</v>
      </c>
      <c r="C113" s="114">
        <v>-114</v>
      </c>
      <c r="D113" s="114">
        <v>-106</v>
      </c>
      <c r="E113" s="114">
        <v>-105.6</v>
      </c>
      <c r="F113" s="114"/>
      <c r="G113" s="114">
        <v>-99.8</v>
      </c>
      <c r="H113" s="114">
        <v>-100</v>
      </c>
      <c r="I113" s="114">
        <v>-84.9</v>
      </c>
      <c r="J113" s="114">
        <v>-97.6</v>
      </c>
      <c r="K113" s="114">
        <v>-104.8</v>
      </c>
      <c r="L113" s="114">
        <v>-111.32</v>
      </c>
      <c r="M113" s="114">
        <v>-115.5</v>
      </c>
      <c r="N113" s="114">
        <f>-61-66</f>
        <v>-127</v>
      </c>
      <c r="O113" s="114">
        <f>-36-47</f>
        <v>-83</v>
      </c>
      <c r="P113" s="114">
        <v>-124</v>
      </c>
      <c r="Q113" s="114">
        <f>-52.9-56.7</f>
        <v>-109.6</v>
      </c>
      <c r="R113" s="114">
        <f>-55.5-58.4</f>
        <v>-113.9</v>
      </c>
      <c r="S113" s="114">
        <v>-109</v>
      </c>
      <c r="T113" s="114">
        <f>-75-78</f>
        <v>-153</v>
      </c>
      <c r="U113" s="114">
        <v>-99.6</v>
      </c>
      <c r="V113" s="114">
        <v>-142</v>
      </c>
      <c r="W113" s="114">
        <v>-124</v>
      </c>
      <c r="X113" s="114">
        <v>-124</v>
      </c>
      <c r="Y113" s="114">
        <v>-142</v>
      </c>
      <c r="Z113" s="114">
        <v>-160</v>
      </c>
      <c r="AA113" s="114">
        <v>-140</v>
      </c>
      <c r="AB113" s="114">
        <f>-50.2-53.9</f>
        <v>-104.1</v>
      </c>
      <c r="AC113" s="114">
        <f>-50.2-53.9</f>
        <v>-104.1</v>
      </c>
      <c r="AD113" s="114">
        <f>-50.2-53.9</f>
        <v>-104.1</v>
      </c>
      <c r="AE113" s="114">
        <v>-180</v>
      </c>
      <c r="AF113" s="114">
        <v>-180</v>
      </c>
      <c r="AG113" s="113">
        <v>240</v>
      </c>
      <c r="AH113" s="47">
        <f t="shared" si="17"/>
        <v>-83</v>
      </c>
      <c r="AI113" s="48">
        <f t="shared" si="18"/>
        <v>-180</v>
      </c>
    </row>
    <row r="114" spans="1:37" x14ac:dyDescent="0.25">
      <c r="A114" s="102" t="s">
        <v>122</v>
      </c>
      <c r="B114" s="114">
        <v>-4.4000000000000004</v>
      </c>
      <c r="C114" s="114">
        <v>-8.3000000000000007</v>
      </c>
      <c r="D114" s="114">
        <v>-7.7</v>
      </c>
      <c r="E114" s="114">
        <v>-7.8</v>
      </c>
      <c r="F114" s="114"/>
      <c r="G114" s="114">
        <v>-6.9</v>
      </c>
      <c r="H114" s="114">
        <v>-6.1</v>
      </c>
      <c r="I114" s="114">
        <v>-2.5</v>
      </c>
      <c r="J114" s="114">
        <v>-1.2</v>
      </c>
      <c r="K114" s="114">
        <v>2</v>
      </c>
      <c r="L114" s="114">
        <v>-2.1</v>
      </c>
      <c r="M114" s="114">
        <v>-1.5</v>
      </c>
      <c r="N114" s="114">
        <v>-1.7</v>
      </c>
      <c r="O114" s="114">
        <v>3.85</v>
      </c>
      <c r="P114" s="114">
        <v>1.8</v>
      </c>
      <c r="Q114" s="114">
        <v>5.6</v>
      </c>
      <c r="R114" s="114">
        <v>7.5</v>
      </c>
      <c r="S114" s="114">
        <v>4.5</v>
      </c>
      <c r="T114" s="114">
        <v>4.2</v>
      </c>
      <c r="U114" s="114">
        <v>5.8</v>
      </c>
      <c r="V114" s="114">
        <v>6.9</v>
      </c>
      <c r="W114" s="114">
        <v>9</v>
      </c>
      <c r="X114" s="114">
        <v>9</v>
      </c>
      <c r="Y114" s="114">
        <v>7.2</v>
      </c>
      <c r="Z114" s="114">
        <v>8.1999999999999993</v>
      </c>
      <c r="AA114" s="114">
        <v>10.6</v>
      </c>
      <c r="AB114" s="114">
        <v>10.8</v>
      </c>
      <c r="AC114" s="114">
        <v>10.8</v>
      </c>
      <c r="AD114" s="114">
        <v>10.8</v>
      </c>
      <c r="AE114" s="114">
        <v>-5.5</v>
      </c>
      <c r="AF114" s="114">
        <v>-10</v>
      </c>
      <c r="AG114" s="113">
        <v>60</v>
      </c>
      <c r="AH114" s="47">
        <f t="shared" si="17"/>
        <v>10.8</v>
      </c>
      <c r="AI114" s="48">
        <f t="shared" si="18"/>
        <v>-10</v>
      </c>
    </row>
    <row r="115" spans="1:37" x14ac:dyDescent="0.25">
      <c r="A115" s="115" t="s">
        <v>123</v>
      </c>
      <c r="B115" s="116">
        <v>10.7</v>
      </c>
      <c r="C115" s="116">
        <v>10.5</v>
      </c>
      <c r="D115" s="116">
        <v>10.6</v>
      </c>
      <c r="E115" s="116">
        <v>10.6</v>
      </c>
      <c r="F115" s="116"/>
      <c r="G115" s="116">
        <v>2.7</v>
      </c>
      <c r="H115" s="116">
        <v>2.5</v>
      </c>
      <c r="I115" s="116">
        <v>4</v>
      </c>
      <c r="J115" s="116">
        <v>7.3</v>
      </c>
      <c r="K115" s="116">
        <v>7.3</v>
      </c>
      <c r="L115" s="116">
        <v>19.3</v>
      </c>
      <c r="M115" s="116">
        <v>21.5</v>
      </c>
      <c r="N115" s="116">
        <v>22.4</v>
      </c>
      <c r="O115" s="116">
        <v>23.5</v>
      </c>
      <c r="P115" s="116">
        <v>24.1</v>
      </c>
      <c r="Q115" s="116">
        <v>22.8</v>
      </c>
      <c r="R115" s="116">
        <v>23.5</v>
      </c>
      <c r="S115" s="116">
        <v>23</v>
      </c>
      <c r="T115" s="116">
        <v>39</v>
      </c>
      <c r="U115" s="116">
        <v>60.4</v>
      </c>
      <c r="V115" s="116">
        <v>58</v>
      </c>
      <c r="W115" s="116">
        <v>60</v>
      </c>
      <c r="X115" s="116">
        <v>60</v>
      </c>
      <c r="Y115" s="116">
        <v>59</v>
      </c>
      <c r="Z115" s="116">
        <v>58</v>
      </c>
      <c r="AA115" s="116">
        <v>64</v>
      </c>
      <c r="AB115" s="116">
        <v>63.5</v>
      </c>
      <c r="AC115" s="116">
        <v>63.5</v>
      </c>
      <c r="AD115" s="116">
        <v>63.5</v>
      </c>
      <c r="AE115" s="116">
        <v>12</v>
      </c>
      <c r="AF115" s="116">
        <v>12</v>
      </c>
      <c r="AG115" s="117">
        <v>120</v>
      </c>
      <c r="AH115" s="47">
        <f t="shared" si="17"/>
        <v>64</v>
      </c>
      <c r="AI115" s="48">
        <f t="shared" si="18"/>
        <v>2.5</v>
      </c>
    </row>
    <row r="116" spans="1:37" x14ac:dyDescent="0.25">
      <c r="A116" s="115" t="s">
        <v>124</v>
      </c>
      <c r="B116" s="116">
        <v>84.4</v>
      </c>
      <c r="C116" s="116">
        <v>78.099999999999994</v>
      </c>
      <c r="D116" s="116">
        <v>86.2</v>
      </c>
      <c r="E116" s="116">
        <v>82.8</v>
      </c>
      <c r="F116" s="116"/>
      <c r="G116" s="116">
        <v>88.5</v>
      </c>
      <c r="H116" s="116">
        <v>66.400000000000006</v>
      </c>
      <c r="I116" s="116">
        <v>89</v>
      </c>
      <c r="J116" s="116">
        <v>82.5</v>
      </c>
      <c r="K116" s="116">
        <v>79.5</v>
      </c>
      <c r="L116" s="116">
        <v>74.400000000000006</v>
      </c>
      <c r="M116" s="116">
        <v>75.8</v>
      </c>
      <c r="N116" s="116">
        <v>72.5</v>
      </c>
      <c r="O116" s="116">
        <v>96</v>
      </c>
      <c r="P116" s="116">
        <v>84.1</v>
      </c>
      <c r="Q116" s="116">
        <v>87.1</v>
      </c>
      <c r="R116" s="116">
        <v>82.1</v>
      </c>
      <c r="S116" s="116">
        <v>70.2</v>
      </c>
      <c r="T116" s="116">
        <v>55</v>
      </c>
      <c r="U116" s="116">
        <v>72.5</v>
      </c>
      <c r="V116" s="116">
        <v>39</v>
      </c>
      <c r="W116" s="116">
        <v>41</v>
      </c>
      <c r="X116" s="116">
        <v>41</v>
      </c>
      <c r="Y116" s="116">
        <v>27</v>
      </c>
      <c r="Z116" s="116">
        <v>30</v>
      </c>
      <c r="AA116" s="116">
        <v>48.2</v>
      </c>
      <c r="AB116" s="116">
        <v>71.2</v>
      </c>
      <c r="AC116" s="116">
        <v>71.2</v>
      </c>
      <c r="AD116" s="116">
        <v>71.2</v>
      </c>
      <c r="AE116" s="116">
        <v>33</v>
      </c>
      <c r="AF116" s="116">
        <v>48</v>
      </c>
      <c r="AG116" s="117"/>
      <c r="AH116" s="47">
        <f t="shared" si="17"/>
        <v>96</v>
      </c>
      <c r="AI116" s="48">
        <f t="shared" si="18"/>
        <v>27</v>
      </c>
    </row>
    <row r="117" spans="1:37" x14ac:dyDescent="0.25">
      <c r="A117" s="115" t="s">
        <v>125</v>
      </c>
      <c r="B117" s="116">
        <f>--30</f>
        <v>30</v>
      </c>
      <c r="C117" s="116">
        <v>-32</v>
      </c>
      <c r="D117" s="116">
        <v>-32.200000000000003</v>
      </c>
      <c r="E117" s="116">
        <v>-22.1</v>
      </c>
      <c r="F117" s="116"/>
      <c r="G117" s="116">
        <v>-29.1</v>
      </c>
      <c r="H117" s="116">
        <v>-18.100000000000001</v>
      </c>
      <c r="I117" s="116">
        <v>-13.8</v>
      </c>
      <c r="J117" s="116">
        <v>3.9</v>
      </c>
      <c r="K117" s="116">
        <v>4</v>
      </c>
      <c r="L117" s="116">
        <v>-5.5</v>
      </c>
      <c r="M117" s="116">
        <v>4.7</v>
      </c>
      <c r="N117" s="116">
        <v>4.8</v>
      </c>
      <c r="O117" s="116">
        <v>5</v>
      </c>
      <c r="P117" s="116">
        <v>-6.8</v>
      </c>
      <c r="Q117" s="116">
        <v>1.7</v>
      </c>
      <c r="R117" s="116">
        <v>3.3</v>
      </c>
      <c r="S117" s="116">
        <v>6.8</v>
      </c>
      <c r="T117" s="116">
        <v>12</v>
      </c>
      <c r="U117" s="116">
        <v>0.8</v>
      </c>
      <c r="V117" s="116">
        <v>13.2</v>
      </c>
      <c r="W117" s="116">
        <v>6</v>
      </c>
      <c r="X117" s="116">
        <v>6</v>
      </c>
      <c r="Y117" s="116">
        <v>13</v>
      </c>
      <c r="Z117" s="116">
        <v>12</v>
      </c>
      <c r="AA117" s="116">
        <v>-12</v>
      </c>
      <c r="AB117" s="116">
        <v>-15.8</v>
      </c>
      <c r="AC117" s="116">
        <v>-15.8</v>
      </c>
      <c r="AD117" s="116">
        <v>-15.8</v>
      </c>
      <c r="AE117" s="116">
        <v>8</v>
      </c>
      <c r="AF117" s="116">
        <v>-1.2</v>
      </c>
      <c r="AG117" s="118"/>
      <c r="AH117" s="47">
        <f t="shared" si="17"/>
        <v>30</v>
      </c>
      <c r="AI117" s="48">
        <f t="shared" si="18"/>
        <v>-32.200000000000003</v>
      </c>
    </row>
    <row r="118" spans="1:37" x14ac:dyDescent="0.25">
      <c r="A118" s="119" t="s">
        <v>126</v>
      </c>
      <c r="B118" s="105">
        <v>48.3</v>
      </c>
      <c r="C118" s="105">
        <v>51.2</v>
      </c>
      <c r="D118" s="105">
        <v>53.9</v>
      </c>
      <c r="E118" s="105">
        <v>52</v>
      </c>
      <c r="F118" s="105"/>
      <c r="G118" s="105">
        <v>55.3</v>
      </c>
      <c r="H118" s="105">
        <v>54.3</v>
      </c>
      <c r="I118" s="105">
        <v>51.6</v>
      </c>
      <c r="J118" s="105">
        <v>49.5</v>
      </c>
      <c r="K118" s="105">
        <v>46</v>
      </c>
      <c r="L118" s="105">
        <v>44.1</v>
      </c>
      <c r="M118" s="105">
        <v>34.799999999999997</v>
      </c>
      <c r="N118" s="105">
        <v>25</v>
      </c>
      <c r="O118" s="105">
        <v>28</v>
      </c>
      <c r="P118" s="105"/>
      <c r="Q118" s="105"/>
      <c r="R118" s="105"/>
      <c r="S118" s="105"/>
      <c r="T118" s="105"/>
      <c r="U118" s="105">
        <v>28.5</v>
      </c>
      <c r="V118" s="105">
        <v>12</v>
      </c>
      <c r="W118" s="105">
        <v>22</v>
      </c>
      <c r="X118" s="105">
        <v>22</v>
      </c>
      <c r="Y118" s="105">
        <v>-6.3</v>
      </c>
      <c r="Z118" s="105">
        <v>-16</v>
      </c>
      <c r="AA118" s="105">
        <v>52</v>
      </c>
      <c r="AB118" s="105">
        <v>11.3</v>
      </c>
      <c r="AC118" s="105">
        <v>11.3</v>
      </c>
      <c r="AD118" s="105">
        <v>11.3</v>
      </c>
      <c r="AE118" s="105">
        <v>22</v>
      </c>
      <c r="AF118" s="105">
        <v>27</v>
      </c>
      <c r="AG118" s="118"/>
      <c r="AH118" s="47">
        <f t="shared" si="17"/>
        <v>55.3</v>
      </c>
      <c r="AI118" s="48">
        <f t="shared" si="18"/>
        <v>-16</v>
      </c>
    </row>
    <row r="119" spans="1:37" x14ac:dyDescent="0.25">
      <c r="A119" s="120" t="s">
        <v>127</v>
      </c>
      <c r="B119" s="105">
        <v>0</v>
      </c>
      <c r="C119" s="105">
        <v>0</v>
      </c>
      <c r="D119" s="105">
        <v>0</v>
      </c>
      <c r="E119" s="105">
        <v>0</v>
      </c>
      <c r="F119" s="105"/>
      <c r="G119" s="105">
        <v>0</v>
      </c>
      <c r="H119" s="105">
        <v>0</v>
      </c>
      <c r="I119" s="105">
        <v>0</v>
      </c>
      <c r="J119" s="105">
        <v>0</v>
      </c>
      <c r="K119" s="105">
        <v>0</v>
      </c>
      <c r="L119" s="105">
        <v>0</v>
      </c>
      <c r="M119" s="105">
        <v>0</v>
      </c>
      <c r="N119" s="105">
        <v>0</v>
      </c>
      <c r="O119" s="105">
        <v>0</v>
      </c>
      <c r="P119" s="105">
        <v>0</v>
      </c>
      <c r="Q119" s="105">
        <v>0</v>
      </c>
      <c r="R119" s="105">
        <v>0</v>
      </c>
      <c r="S119" s="105"/>
      <c r="T119" s="105">
        <v>78</v>
      </c>
      <c r="U119" s="105">
        <v>49.9</v>
      </c>
      <c r="V119" s="105">
        <v>71</v>
      </c>
      <c r="W119" s="105">
        <v>59</v>
      </c>
      <c r="X119" s="105">
        <v>59</v>
      </c>
      <c r="Y119" s="105">
        <v>70</v>
      </c>
      <c r="Z119" s="105">
        <v>80</v>
      </c>
      <c r="AA119" s="105">
        <v>68</v>
      </c>
      <c r="AB119" s="105">
        <v>70.7</v>
      </c>
      <c r="AC119" s="105">
        <v>70.7</v>
      </c>
      <c r="AD119" s="105">
        <v>70.7</v>
      </c>
      <c r="AE119" s="105">
        <v>93</v>
      </c>
      <c r="AF119" s="105">
        <v>95</v>
      </c>
      <c r="AG119" s="118"/>
      <c r="AH119" s="47">
        <f t="shared" si="17"/>
        <v>95</v>
      </c>
      <c r="AI119" s="48">
        <f t="shared" si="18"/>
        <v>0</v>
      </c>
    </row>
    <row r="120" spans="1:37" ht="15.75" thickBot="1" x14ac:dyDescent="0.3">
      <c r="A120" s="119" t="s">
        <v>128</v>
      </c>
      <c r="B120" s="105">
        <v>11.8</v>
      </c>
      <c r="C120" s="105">
        <v>15.1</v>
      </c>
      <c r="D120" s="105">
        <v>9.6999999999999993</v>
      </c>
      <c r="E120" s="105">
        <v>4.0999999999999996</v>
      </c>
      <c r="F120" s="105"/>
      <c r="G120" s="105">
        <v>6</v>
      </c>
      <c r="H120" s="105">
        <v>87.5</v>
      </c>
      <c r="I120" s="105">
        <v>-1.4</v>
      </c>
      <c r="J120" s="105">
        <v>1.3</v>
      </c>
      <c r="K120" s="105">
        <v>6</v>
      </c>
      <c r="L120" s="105">
        <v>11</v>
      </c>
      <c r="M120" s="105">
        <v>22.8</v>
      </c>
      <c r="N120" s="105">
        <v>32</v>
      </c>
      <c r="O120" s="105">
        <v>34</v>
      </c>
      <c r="P120" s="105">
        <v>-9.8000000000000007</v>
      </c>
      <c r="Q120" s="105">
        <v>22.8</v>
      </c>
      <c r="R120" s="105">
        <v>45.8</v>
      </c>
      <c r="S120" s="105">
        <v>21</v>
      </c>
      <c r="T120" s="105">
        <v>17</v>
      </c>
      <c r="U120" s="105">
        <v>23.2</v>
      </c>
      <c r="V120" s="105">
        <v>31</v>
      </c>
      <c r="W120" s="105">
        <v>26</v>
      </c>
      <c r="X120" s="105">
        <v>26</v>
      </c>
      <c r="Y120" s="105">
        <v>20</v>
      </c>
      <c r="Z120" s="105">
        <v>36</v>
      </c>
      <c r="AA120" s="105">
        <v>24</v>
      </c>
      <c r="AB120" s="105">
        <v>61.9</v>
      </c>
      <c r="AC120" s="105">
        <v>61.9</v>
      </c>
      <c r="AD120" s="105">
        <v>61.9</v>
      </c>
      <c r="AE120" s="105">
        <v>53</v>
      </c>
      <c r="AF120" s="105">
        <v>49</v>
      </c>
      <c r="AG120" s="118"/>
      <c r="AH120" s="47">
        <f t="shared" si="17"/>
        <v>87.5</v>
      </c>
      <c r="AI120" s="48">
        <f t="shared" si="18"/>
        <v>-9.8000000000000007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 t="s">
        <v>258</v>
      </c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32">SUM(B122:B226)</f>
        <v>0</v>
      </c>
      <c r="C227" s="136">
        <f t="shared" si="32"/>
        <v>0</v>
      </c>
      <c r="D227" s="136">
        <f t="shared" si="32"/>
        <v>0</v>
      </c>
      <c r="E227" s="136">
        <f t="shared" si="32"/>
        <v>0</v>
      </c>
      <c r="F227" s="136">
        <f t="shared" si="32"/>
        <v>0</v>
      </c>
      <c r="G227" s="136">
        <f t="shared" si="32"/>
        <v>0</v>
      </c>
      <c r="H227" s="136">
        <f t="shared" si="32"/>
        <v>0</v>
      </c>
      <c r="I227" s="136">
        <f t="shared" si="32"/>
        <v>0</v>
      </c>
      <c r="J227" s="136">
        <f t="shared" si="32"/>
        <v>0</v>
      </c>
      <c r="K227" s="136">
        <f t="shared" si="32"/>
        <v>0</v>
      </c>
      <c r="L227" s="136">
        <f t="shared" si="32"/>
        <v>0</v>
      </c>
      <c r="M227" s="136">
        <f t="shared" si="32"/>
        <v>0</v>
      </c>
      <c r="N227" s="136">
        <f t="shared" si="32"/>
        <v>0</v>
      </c>
      <c r="O227" s="136">
        <f t="shared" si="32"/>
        <v>0</v>
      </c>
      <c r="P227" s="136">
        <f t="shared" si="32"/>
        <v>0</v>
      </c>
      <c r="Q227" s="136">
        <f t="shared" si="32"/>
        <v>0</v>
      </c>
      <c r="R227" s="136">
        <f t="shared" si="32"/>
        <v>0</v>
      </c>
      <c r="S227" s="136">
        <f t="shared" si="32"/>
        <v>0</v>
      </c>
      <c r="T227" s="136">
        <f t="shared" si="32"/>
        <v>0</v>
      </c>
      <c r="U227" s="136">
        <f t="shared" si="32"/>
        <v>0</v>
      </c>
      <c r="V227" s="136">
        <f t="shared" si="32"/>
        <v>0</v>
      </c>
      <c r="W227" s="136">
        <f t="shared" si="32"/>
        <v>0</v>
      </c>
      <c r="X227" s="136">
        <f t="shared" si="32"/>
        <v>0</v>
      </c>
      <c r="Y227" s="136">
        <f t="shared" si="32"/>
        <v>0</v>
      </c>
      <c r="Z227" s="136">
        <f t="shared" si="32"/>
        <v>0</v>
      </c>
      <c r="AA227" s="136">
        <f t="shared" si="32"/>
        <v>0</v>
      </c>
      <c r="AB227" s="136">
        <f t="shared" si="32"/>
        <v>0</v>
      </c>
      <c r="AC227" s="136">
        <f t="shared" si="32"/>
        <v>0</v>
      </c>
      <c r="AD227" s="136">
        <f t="shared" si="32"/>
        <v>0</v>
      </c>
      <c r="AE227" s="136">
        <f t="shared" si="32"/>
        <v>0</v>
      </c>
      <c r="AF227" s="137">
        <f t="shared" si="32"/>
        <v>0</v>
      </c>
      <c r="AG227" s="138">
        <f t="shared" si="32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33">AF229</f>
        <v>0</v>
      </c>
      <c r="C229" s="140">
        <v>0.3</v>
      </c>
      <c r="D229" s="140">
        <f t="shared" ref="D229:P234" si="34">C229</f>
        <v>0.3</v>
      </c>
      <c r="E229" s="140">
        <f t="shared" si="34"/>
        <v>0.3</v>
      </c>
      <c r="F229" s="140">
        <f t="shared" si="34"/>
        <v>0.3</v>
      </c>
      <c r="G229" s="140">
        <f t="shared" si="34"/>
        <v>0.3</v>
      </c>
      <c r="H229" s="140">
        <f t="shared" si="34"/>
        <v>0.3</v>
      </c>
      <c r="I229" s="140">
        <f t="shared" si="34"/>
        <v>0.3</v>
      </c>
      <c r="J229" s="140">
        <f t="shared" si="34"/>
        <v>0.3</v>
      </c>
      <c r="K229" s="140">
        <f t="shared" si="34"/>
        <v>0.3</v>
      </c>
      <c r="L229" s="140">
        <f t="shared" si="34"/>
        <v>0.3</v>
      </c>
      <c r="M229" s="140">
        <f t="shared" si="34"/>
        <v>0.3</v>
      </c>
      <c r="N229" s="140">
        <f t="shared" si="34"/>
        <v>0.3</v>
      </c>
      <c r="O229" s="140">
        <f t="shared" si="34"/>
        <v>0.3</v>
      </c>
      <c r="P229" s="140">
        <f t="shared" si="34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33"/>
        <v>0</v>
      </c>
      <c r="C230" s="128">
        <v>0.4</v>
      </c>
      <c r="D230" s="128">
        <f t="shared" si="34"/>
        <v>0.4</v>
      </c>
      <c r="E230" s="128">
        <f t="shared" si="34"/>
        <v>0.4</v>
      </c>
      <c r="F230" s="128">
        <f t="shared" si="34"/>
        <v>0.4</v>
      </c>
      <c r="G230" s="128">
        <f t="shared" si="34"/>
        <v>0.4</v>
      </c>
      <c r="H230" s="128">
        <f t="shared" si="34"/>
        <v>0.4</v>
      </c>
      <c r="I230" s="128">
        <f t="shared" si="34"/>
        <v>0.4</v>
      </c>
      <c r="J230" s="128">
        <f t="shared" si="34"/>
        <v>0.4</v>
      </c>
      <c r="K230" s="128">
        <f t="shared" si="34"/>
        <v>0.4</v>
      </c>
      <c r="L230" s="128">
        <f t="shared" si="34"/>
        <v>0.4</v>
      </c>
      <c r="M230" s="128">
        <f t="shared" si="34"/>
        <v>0.4</v>
      </c>
      <c r="N230" s="128">
        <f t="shared" si="34"/>
        <v>0.4</v>
      </c>
      <c r="O230" s="128">
        <f t="shared" si="34"/>
        <v>0.4</v>
      </c>
      <c r="P230" s="128">
        <f t="shared" si="34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33"/>
        <v>0</v>
      </c>
      <c r="C231" s="128">
        <v>1.5</v>
      </c>
      <c r="D231" s="128">
        <f t="shared" si="34"/>
        <v>1.5</v>
      </c>
      <c r="E231" s="128">
        <f t="shared" si="34"/>
        <v>1.5</v>
      </c>
      <c r="F231" s="128">
        <f t="shared" si="34"/>
        <v>1.5</v>
      </c>
      <c r="G231" s="128">
        <f t="shared" si="34"/>
        <v>1.5</v>
      </c>
      <c r="H231" s="128">
        <f t="shared" si="34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34"/>
        <v>123.21900000000009</v>
      </c>
      <c r="K231" s="128">
        <f t="shared" ca="1" si="34"/>
        <v>123.21900000000009</v>
      </c>
      <c r="L231" s="128">
        <f t="shared" ca="1" si="34"/>
        <v>123.21900000000009</v>
      </c>
      <c r="M231" s="128">
        <f t="shared" ca="1" si="34"/>
        <v>119.19900000000008</v>
      </c>
      <c r="N231" s="128">
        <f t="shared" ca="1" si="34"/>
        <v>119.19900000000008</v>
      </c>
      <c r="O231" s="128">
        <f t="shared" ca="1" si="34"/>
        <v>119.19900000000008</v>
      </c>
      <c r="P231" s="128">
        <f t="shared" ca="1" si="34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33"/>
        <v>0</v>
      </c>
      <c r="C232" s="128">
        <v>0.3</v>
      </c>
      <c r="D232" s="128">
        <f t="shared" si="34"/>
        <v>0.3</v>
      </c>
      <c r="E232" s="128">
        <f t="shared" si="34"/>
        <v>0.3</v>
      </c>
      <c r="F232" s="128">
        <f t="shared" si="34"/>
        <v>0.3</v>
      </c>
      <c r="G232" s="128">
        <f t="shared" si="34"/>
        <v>0.3</v>
      </c>
      <c r="H232" s="128">
        <f t="shared" si="34"/>
        <v>0.3</v>
      </c>
      <c r="I232" s="128">
        <f t="shared" si="34"/>
        <v>0.3</v>
      </c>
      <c r="J232" s="128">
        <f t="shared" si="34"/>
        <v>0.3</v>
      </c>
      <c r="K232" s="128">
        <f t="shared" si="34"/>
        <v>0.3</v>
      </c>
      <c r="L232" s="128">
        <f t="shared" si="34"/>
        <v>0.3</v>
      </c>
      <c r="M232" s="128">
        <f t="shared" si="34"/>
        <v>0.3</v>
      </c>
      <c r="N232" s="128">
        <f t="shared" si="34"/>
        <v>0.3</v>
      </c>
      <c r="O232" s="128">
        <f t="shared" si="34"/>
        <v>0.3</v>
      </c>
      <c r="P232" s="128">
        <f t="shared" si="34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33"/>
        <v>0</v>
      </c>
      <c r="C233" s="128">
        <v>0.4</v>
      </c>
      <c r="D233" s="128">
        <f t="shared" si="34"/>
        <v>0.4</v>
      </c>
      <c r="E233" s="128">
        <f t="shared" si="34"/>
        <v>0.4</v>
      </c>
      <c r="F233" s="128">
        <f t="shared" si="34"/>
        <v>0.4</v>
      </c>
      <c r="G233" s="128">
        <f t="shared" si="34"/>
        <v>0.4</v>
      </c>
      <c r="H233" s="128">
        <f t="shared" si="34"/>
        <v>0.4</v>
      </c>
      <c r="I233" s="128">
        <f t="shared" si="34"/>
        <v>0.4</v>
      </c>
      <c r="J233" s="128">
        <f t="shared" si="34"/>
        <v>0.4</v>
      </c>
      <c r="K233" s="128">
        <f t="shared" si="34"/>
        <v>0.4</v>
      </c>
      <c r="L233" s="128">
        <f t="shared" si="34"/>
        <v>0.4</v>
      </c>
      <c r="M233" s="128">
        <f t="shared" si="34"/>
        <v>0.4</v>
      </c>
      <c r="N233" s="128">
        <f t="shared" si="34"/>
        <v>0.4</v>
      </c>
      <c r="O233" s="128">
        <f t="shared" si="34"/>
        <v>0.4</v>
      </c>
      <c r="P233" s="128">
        <f t="shared" si="34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33"/>
        <v>0</v>
      </c>
      <c r="C234" s="132">
        <v>0.64</v>
      </c>
      <c r="D234" s="132">
        <f t="shared" si="34"/>
        <v>0.64</v>
      </c>
      <c r="E234" s="132">
        <f t="shared" si="34"/>
        <v>0.64</v>
      </c>
      <c r="F234" s="132">
        <f t="shared" si="34"/>
        <v>0.64</v>
      </c>
      <c r="G234" s="132">
        <f t="shared" si="34"/>
        <v>0.64</v>
      </c>
      <c r="H234" s="132">
        <f t="shared" si="34"/>
        <v>0.64</v>
      </c>
      <c r="I234" s="132">
        <f t="shared" si="34"/>
        <v>0.64</v>
      </c>
      <c r="J234" s="132">
        <f t="shared" si="34"/>
        <v>0.64</v>
      </c>
      <c r="K234" s="132">
        <f t="shared" si="34"/>
        <v>0.64</v>
      </c>
      <c r="L234" s="132">
        <f t="shared" si="34"/>
        <v>0.64</v>
      </c>
      <c r="M234" s="132">
        <f t="shared" si="34"/>
        <v>0.64</v>
      </c>
      <c r="N234" s="132">
        <f t="shared" si="34"/>
        <v>0.64</v>
      </c>
      <c r="O234" s="132">
        <f t="shared" si="34"/>
        <v>0.64</v>
      </c>
      <c r="P234" s="132">
        <f t="shared" si="34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35">SUM(B229:B234)</f>
        <v>0</v>
      </c>
      <c r="C235" s="136">
        <f t="shared" si="35"/>
        <v>3.54</v>
      </c>
      <c r="D235" s="136">
        <f t="shared" si="35"/>
        <v>3.54</v>
      </c>
      <c r="E235" s="136">
        <f t="shared" si="35"/>
        <v>3.54</v>
      </c>
      <c r="F235" s="136">
        <f t="shared" si="35"/>
        <v>3.54</v>
      </c>
      <c r="G235" s="136">
        <f t="shared" si="35"/>
        <v>3.54</v>
      </c>
      <c r="H235" s="136">
        <f t="shared" si="35"/>
        <v>3.54</v>
      </c>
      <c r="I235" s="136">
        <f t="shared" ca="1" si="35"/>
        <v>121.23900000000009</v>
      </c>
      <c r="J235" s="136">
        <f t="shared" ca="1" si="35"/>
        <v>121.23900000000009</v>
      </c>
      <c r="K235" s="136">
        <f t="shared" ca="1" si="35"/>
        <v>121.23900000000009</v>
      </c>
      <c r="L235" s="136">
        <f t="shared" ca="1" si="35"/>
        <v>125.2590000000001</v>
      </c>
      <c r="M235" s="136">
        <f t="shared" ca="1" si="35"/>
        <v>121.23900000000009</v>
      </c>
      <c r="N235" s="136">
        <f t="shared" ca="1" si="35"/>
        <v>121.23900000000009</v>
      </c>
      <c r="O235" s="136">
        <f t="shared" ca="1" si="35"/>
        <v>121.23900000000009</v>
      </c>
      <c r="P235" s="136">
        <f t="shared" ca="1" si="35"/>
        <v>121.23900000000009</v>
      </c>
      <c r="Q235" s="136">
        <f t="shared" si="35"/>
        <v>0</v>
      </c>
      <c r="R235" s="136">
        <f t="shared" si="35"/>
        <v>0</v>
      </c>
      <c r="S235" s="136">
        <f t="shared" si="35"/>
        <v>0</v>
      </c>
      <c r="T235" s="136">
        <f t="shared" si="35"/>
        <v>0</v>
      </c>
      <c r="U235" s="136">
        <f t="shared" si="35"/>
        <v>0</v>
      </c>
      <c r="V235" s="136">
        <f t="shared" si="35"/>
        <v>0</v>
      </c>
      <c r="W235" s="136">
        <f t="shared" si="35"/>
        <v>0</v>
      </c>
      <c r="X235" s="136">
        <f t="shared" si="35"/>
        <v>0</v>
      </c>
      <c r="Y235" s="136">
        <f t="shared" si="35"/>
        <v>0</v>
      </c>
      <c r="Z235" s="136">
        <f t="shared" si="35"/>
        <v>0</v>
      </c>
      <c r="AA235" s="136">
        <f t="shared" si="35"/>
        <v>0</v>
      </c>
      <c r="AB235" s="136">
        <f t="shared" si="35"/>
        <v>0</v>
      </c>
      <c r="AC235" s="136">
        <f t="shared" si="35"/>
        <v>0</v>
      </c>
      <c r="AD235" s="136">
        <f t="shared" si="35"/>
        <v>0</v>
      </c>
      <c r="AE235" s="136">
        <f t="shared" si="35"/>
        <v>0</v>
      </c>
      <c r="AF235" s="136">
        <f t="shared" si="35"/>
        <v>0</v>
      </c>
      <c r="AG235" s="145">
        <f t="shared" si="35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1931.84</v>
      </c>
      <c r="C244" s="161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2080/04/2)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2080/04/2)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36">B91</f>
        <v>1844.34</v>
      </c>
      <c r="U249" s="170">
        <f t="shared" si="36"/>
        <v>1844.74</v>
      </c>
      <c r="V249" s="170">
        <f t="shared" si="36"/>
        <v>1840.74</v>
      </c>
      <c r="W249" s="170">
        <f t="shared" si="36"/>
        <v>1789.3</v>
      </c>
      <c r="X249" s="170">
        <f t="shared" si="36"/>
        <v>1611.9</v>
      </c>
      <c r="Y249" s="170">
        <f t="shared" si="36"/>
        <v>1748.1000000000001</v>
      </c>
      <c r="Z249" s="170">
        <f t="shared" si="36"/>
        <v>1810.34</v>
      </c>
      <c r="AA249" s="170">
        <f t="shared" si="36"/>
        <v>1810.4399999999998</v>
      </c>
      <c r="AB249" s="170">
        <f t="shared" si="36"/>
        <v>1827.44</v>
      </c>
      <c r="AC249" s="170">
        <f t="shared" si="36"/>
        <v>1888.1399999999999</v>
      </c>
      <c r="AD249" s="170">
        <f t="shared" si="36"/>
        <v>1919.44</v>
      </c>
      <c r="AE249" s="170">
        <f t="shared" si="36"/>
        <v>1931.84</v>
      </c>
      <c r="AF249" s="170">
        <f t="shared" si="36"/>
        <v>1916.54</v>
      </c>
      <c r="AG249" s="170">
        <f t="shared" si="36"/>
        <v>1859.34</v>
      </c>
      <c r="AH249" s="170">
        <f t="shared" si="36"/>
        <v>1922.94</v>
      </c>
      <c r="AI249" s="170">
        <f t="shared" si="36"/>
        <v>1844.74</v>
      </c>
      <c r="AJ249" s="170">
        <f t="shared" si="36"/>
        <v>1873.24</v>
      </c>
      <c r="AK249" s="170">
        <f t="shared" si="36"/>
        <v>1867.64</v>
      </c>
      <c r="AL249" s="170">
        <f t="shared" si="36"/>
        <v>1877.64</v>
      </c>
      <c r="AM249" s="170">
        <f t="shared" si="36"/>
        <v>1836.1399999999999</v>
      </c>
      <c r="AN249" s="170">
        <f t="shared" si="36"/>
        <v>1852.84</v>
      </c>
      <c r="AO249" s="170">
        <f t="shared" si="36"/>
        <v>1840.94</v>
      </c>
      <c r="AP249" s="170">
        <f t="shared" si="36"/>
        <v>1842.24</v>
      </c>
      <c r="AQ249" s="170">
        <f t="shared" si="36"/>
        <v>1845.94</v>
      </c>
      <c r="AR249" s="170">
        <f t="shared" si="36"/>
        <v>1940.04</v>
      </c>
      <c r="AS249" s="170">
        <f t="shared" si="36"/>
        <v>1952.7399999999998</v>
      </c>
      <c r="AT249" s="170">
        <f t="shared" si="36"/>
        <v>1946.34</v>
      </c>
      <c r="AU249" s="170">
        <f t="shared" si="36"/>
        <v>1946.34</v>
      </c>
      <c r="AV249" s="170">
        <f t="shared" si="36"/>
        <v>1916.34</v>
      </c>
      <c r="AW249" s="170">
        <f t="shared" si="36"/>
        <v>1869.44</v>
      </c>
      <c r="AX249" s="170">
        <f t="shared" si="36"/>
        <v>1719.04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37">C234</f>
        <v>0.64</v>
      </c>
      <c r="C270" s="173">
        <f t="shared" si="37"/>
        <v>0.64</v>
      </c>
      <c r="D270" s="173">
        <f t="shared" si="37"/>
        <v>0.64</v>
      </c>
      <c r="E270" s="173">
        <f t="shared" si="37"/>
        <v>0.64</v>
      </c>
      <c r="F270" s="173">
        <f t="shared" si="37"/>
        <v>0.64</v>
      </c>
      <c r="G270" s="173">
        <f t="shared" si="37"/>
        <v>0.64</v>
      </c>
      <c r="H270" s="173">
        <f t="shared" si="37"/>
        <v>0.64</v>
      </c>
      <c r="I270" s="173">
        <f t="shared" si="37"/>
        <v>0.64</v>
      </c>
      <c r="J270" s="173">
        <f t="shared" si="37"/>
        <v>0.64</v>
      </c>
      <c r="K270" s="173">
        <f t="shared" si="37"/>
        <v>0.64</v>
      </c>
      <c r="L270" s="173">
        <f t="shared" si="37"/>
        <v>0.64</v>
      </c>
      <c r="M270" s="173">
        <f t="shared" si="37"/>
        <v>0.64</v>
      </c>
      <c r="N270" s="173">
        <f t="shared" si="37"/>
        <v>0.64</v>
      </c>
      <c r="O270" s="173">
        <f t="shared" si="37"/>
        <v>0.64</v>
      </c>
      <c r="P270" s="173">
        <f t="shared" si="37"/>
        <v>0</v>
      </c>
      <c r="Q270" s="173">
        <f t="shared" si="37"/>
        <v>0</v>
      </c>
      <c r="R270" s="173">
        <f t="shared" si="37"/>
        <v>0</v>
      </c>
      <c r="S270" s="173">
        <f t="shared" si="37"/>
        <v>0</v>
      </c>
      <c r="T270" s="173">
        <f t="shared" si="37"/>
        <v>0</v>
      </c>
      <c r="U270" s="173">
        <f t="shared" si="37"/>
        <v>0</v>
      </c>
      <c r="V270" s="173">
        <f t="shared" si="37"/>
        <v>0</v>
      </c>
      <c r="W270" s="173">
        <f t="shared" si="37"/>
        <v>0</v>
      </c>
      <c r="X270" s="173">
        <f t="shared" si="37"/>
        <v>0</v>
      </c>
      <c r="Y270" s="173">
        <f t="shared" si="37"/>
        <v>0</v>
      </c>
      <c r="Z270" s="173">
        <f t="shared" si="37"/>
        <v>0</v>
      </c>
      <c r="AA270" s="173">
        <f t="shared" si="37"/>
        <v>0</v>
      </c>
      <c r="AB270" s="173">
        <f t="shared" si="37"/>
        <v>0</v>
      </c>
      <c r="AC270" s="173">
        <f t="shared" si="37"/>
        <v>0</v>
      </c>
      <c r="AD270" s="173">
        <f t="shared" si="37"/>
        <v>0</v>
      </c>
      <c r="AE270" s="173">
        <f t="shared" si="37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38">IF(B238&lt;100,"",B238-520)</f>
        <v/>
      </c>
      <c r="C271" s="174" t="str">
        <f t="shared" si="38"/>
        <v/>
      </c>
      <c r="D271" s="174" t="str">
        <f t="shared" si="38"/>
        <v/>
      </c>
      <c r="E271" s="174" t="str">
        <f t="shared" si="38"/>
        <v/>
      </c>
      <c r="F271" s="174" t="str">
        <f t="shared" si="38"/>
        <v/>
      </c>
      <c r="G271" s="174" t="str">
        <f t="shared" si="38"/>
        <v/>
      </c>
      <c r="H271" s="174" t="str">
        <f t="shared" si="38"/>
        <v/>
      </c>
      <c r="I271" s="174" t="str">
        <f t="shared" si="38"/>
        <v/>
      </c>
      <c r="J271" s="174" t="str">
        <f t="shared" si="38"/>
        <v/>
      </c>
      <c r="K271" s="174" t="str">
        <f t="shared" si="38"/>
        <v/>
      </c>
      <c r="L271" s="174" t="str">
        <f t="shared" si="38"/>
        <v/>
      </c>
      <c r="M271" s="174" t="str">
        <f t="shared" si="38"/>
        <v/>
      </c>
      <c r="N271" s="174" t="str">
        <f t="shared" si="38"/>
        <v/>
      </c>
      <c r="O271" s="174" t="str">
        <f t="shared" si="38"/>
        <v/>
      </c>
      <c r="P271" s="174" t="str">
        <f t="shared" si="38"/>
        <v/>
      </c>
      <c r="Q271" s="174" t="str">
        <f t="shared" si="38"/>
        <v/>
      </c>
      <c r="R271" s="174" t="str">
        <f t="shared" si="38"/>
        <v/>
      </c>
      <c r="S271" s="174" t="str">
        <f t="shared" si="38"/>
        <v/>
      </c>
      <c r="T271" s="174" t="str">
        <f t="shared" si="38"/>
        <v/>
      </c>
      <c r="U271" s="174" t="str">
        <f t="shared" si="38"/>
        <v/>
      </c>
      <c r="V271" s="174" t="str">
        <f t="shared" si="38"/>
        <v/>
      </c>
      <c r="W271" s="174" t="str">
        <f t="shared" si="38"/>
        <v/>
      </c>
      <c r="X271" s="174" t="str">
        <f t="shared" si="38"/>
        <v/>
      </c>
      <c r="Y271" s="174" t="str">
        <f t="shared" si="38"/>
        <v/>
      </c>
      <c r="Z271" s="174" t="str">
        <f t="shared" si="38"/>
        <v/>
      </c>
      <c r="AA271" s="174" t="str">
        <f t="shared" si="38"/>
        <v/>
      </c>
      <c r="AB271" s="174" t="str">
        <f t="shared" si="38"/>
        <v/>
      </c>
      <c r="AC271" s="174" t="str">
        <f t="shared" si="38"/>
        <v/>
      </c>
      <c r="AD271" s="174" t="str">
        <f t="shared" si="38"/>
        <v/>
      </c>
      <c r="AE271" s="174" t="str">
        <f t="shared" si="38"/>
        <v/>
      </c>
      <c r="AF271" s="174" t="str">
        <f t="shared" si="38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39">IF(B239&lt;100,"",B239-620)</f>
        <v/>
      </c>
      <c r="C272" s="174" t="str">
        <f t="shared" si="39"/>
        <v/>
      </c>
      <c r="D272" s="174" t="str">
        <f t="shared" si="39"/>
        <v/>
      </c>
      <c r="E272" s="174" t="str">
        <f t="shared" si="39"/>
        <v/>
      </c>
      <c r="F272" s="174" t="str">
        <f t="shared" si="39"/>
        <v/>
      </c>
      <c r="G272" s="174" t="str">
        <f t="shared" si="39"/>
        <v/>
      </c>
      <c r="H272" s="174" t="str">
        <f t="shared" si="39"/>
        <v/>
      </c>
      <c r="I272" s="174" t="str">
        <f t="shared" si="39"/>
        <v/>
      </c>
      <c r="J272" s="174" t="str">
        <f t="shared" si="39"/>
        <v/>
      </c>
      <c r="K272" s="174" t="str">
        <f t="shared" si="39"/>
        <v/>
      </c>
      <c r="L272" s="174" t="str">
        <f t="shared" si="39"/>
        <v/>
      </c>
      <c r="M272" s="174" t="str">
        <f t="shared" si="39"/>
        <v/>
      </c>
      <c r="N272" s="174" t="str">
        <f t="shared" si="39"/>
        <v/>
      </c>
      <c r="O272" s="174" t="str">
        <f t="shared" si="39"/>
        <v/>
      </c>
      <c r="P272" s="174" t="str">
        <f t="shared" si="39"/>
        <v/>
      </c>
      <c r="Q272" s="174" t="str">
        <f t="shared" si="39"/>
        <v/>
      </c>
      <c r="R272" s="174" t="str">
        <f t="shared" si="39"/>
        <v/>
      </c>
      <c r="S272" s="174" t="str">
        <f t="shared" si="39"/>
        <v/>
      </c>
      <c r="T272" s="174" t="str">
        <f t="shared" si="39"/>
        <v/>
      </c>
      <c r="U272" s="174" t="str">
        <f t="shared" si="39"/>
        <v/>
      </c>
      <c r="V272" s="174" t="str">
        <f t="shared" si="39"/>
        <v/>
      </c>
      <c r="W272" s="174" t="str">
        <f t="shared" si="39"/>
        <v/>
      </c>
      <c r="X272" s="174" t="str">
        <f t="shared" si="39"/>
        <v/>
      </c>
      <c r="Y272" s="174" t="str">
        <f t="shared" si="39"/>
        <v/>
      </c>
      <c r="Z272" s="174" t="str">
        <f t="shared" si="39"/>
        <v/>
      </c>
      <c r="AA272" s="174" t="str">
        <f t="shared" si="39"/>
        <v/>
      </c>
      <c r="AB272" s="174" t="str">
        <f t="shared" si="39"/>
        <v/>
      </c>
      <c r="AC272" s="174" t="str">
        <f t="shared" si="39"/>
        <v/>
      </c>
      <c r="AD272" s="174" t="str">
        <f t="shared" si="39"/>
        <v/>
      </c>
      <c r="AE272" s="174" t="str">
        <f t="shared" si="39"/>
        <v/>
      </c>
      <c r="AF272" s="174" t="str">
        <f t="shared" si="39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40">IF(B240&lt;100,"",B240-330)</f>
        <v/>
      </c>
      <c r="C273" s="174" t="str">
        <f t="shared" si="40"/>
        <v/>
      </c>
      <c r="D273" s="174" t="str">
        <f t="shared" si="40"/>
        <v/>
      </c>
      <c r="E273" s="174" t="str">
        <f t="shared" si="40"/>
        <v/>
      </c>
      <c r="F273" s="174" t="str">
        <f t="shared" si="40"/>
        <v/>
      </c>
      <c r="G273" s="174" t="str">
        <f t="shared" si="40"/>
        <v/>
      </c>
      <c r="H273" s="174" t="str">
        <f t="shared" si="40"/>
        <v/>
      </c>
      <c r="I273" s="174" t="str">
        <f t="shared" si="40"/>
        <v/>
      </c>
      <c r="J273" s="174" t="str">
        <f t="shared" si="40"/>
        <v/>
      </c>
      <c r="K273" s="174" t="str">
        <f t="shared" si="40"/>
        <v/>
      </c>
      <c r="L273" s="174" t="str">
        <f t="shared" si="40"/>
        <v/>
      </c>
      <c r="M273" s="174" t="str">
        <f t="shared" si="40"/>
        <v/>
      </c>
      <c r="N273" s="174" t="str">
        <f t="shared" si="40"/>
        <v/>
      </c>
      <c r="O273" s="174" t="str">
        <f t="shared" si="40"/>
        <v/>
      </c>
      <c r="P273" s="174" t="str">
        <f t="shared" si="40"/>
        <v/>
      </c>
      <c r="Q273" s="174" t="str">
        <f t="shared" si="40"/>
        <v/>
      </c>
      <c r="R273" s="174" t="str">
        <f t="shared" si="40"/>
        <v/>
      </c>
      <c r="S273" s="174" t="str">
        <f t="shared" si="40"/>
        <v/>
      </c>
      <c r="T273" s="174" t="str">
        <f t="shared" si="40"/>
        <v/>
      </c>
      <c r="U273" s="174" t="str">
        <f t="shared" si="40"/>
        <v/>
      </c>
      <c r="V273" s="174" t="str">
        <f t="shared" si="40"/>
        <v/>
      </c>
      <c r="W273" s="174" t="str">
        <f t="shared" si="40"/>
        <v/>
      </c>
      <c r="X273" s="174" t="str">
        <f t="shared" si="40"/>
        <v/>
      </c>
      <c r="Y273" s="174" t="str">
        <f t="shared" si="40"/>
        <v/>
      </c>
      <c r="Z273" s="174" t="str">
        <f t="shared" si="40"/>
        <v/>
      </c>
      <c r="AA273" s="174" t="str">
        <f t="shared" si="40"/>
        <v/>
      </c>
      <c r="AB273" s="174" t="str">
        <f t="shared" si="40"/>
        <v/>
      </c>
      <c r="AC273" s="174" t="str">
        <f t="shared" si="40"/>
        <v/>
      </c>
      <c r="AD273" s="174" t="str">
        <f t="shared" si="40"/>
        <v/>
      </c>
      <c r="AE273" s="174" t="str">
        <f t="shared" si="40"/>
        <v/>
      </c>
      <c r="AF273" s="174" t="str">
        <f t="shared" si="40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41">IF(B241&lt;100,"",B241-1500)</f>
        <v/>
      </c>
      <c r="C274" s="174" t="str">
        <f t="shared" si="41"/>
        <v/>
      </c>
      <c r="D274" s="174" t="str">
        <f t="shared" si="41"/>
        <v/>
      </c>
      <c r="E274" s="174" t="str">
        <f t="shared" si="41"/>
        <v/>
      </c>
      <c r="F274" s="174" t="str">
        <f t="shared" si="41"/>
        <v/>
      </c>
      <c r="G274" s="174" t="str">
        <f t="shared" si="41"/>
        <v/>
      </c>
      <c r="H274" s="174" t="str">
        <f t="shared" si="41"/>
        <v/>
      </c>
      <c r="I274" s="174" t="str">
        <f t="shared" si="41"/>
        <v/>
      </c>
      <c r="J274" s="174" t="str">
        <f t="shared" si="41"/>
        <v/>
      </c>
      <c r="K274" s="174" t="str">
        <f t="shared" si="41"/>
        <v/>
      </c>
      <c r="L274" s="174" t="str">
        <f t="shared" si="41"/>
        <v/>
      </c>
      <c r="M274" s="174" t="str">
        <f t="shared" si="41"/>
        <v/>
      </c>
      <c r="N274" s="174" t="str">
        <f t="shared" si="41"/>
        <v/>
      </c>
      <c r="O274" s="174" t="str">
        <f t="shared" si="41"/>
        <v/>
      </c>
      <c r="P274" s="174" t="str">
        <f t="shared" si="41"/>
        <v/>
      </c>
      <c r="Q274" s="174" t="str">
        <f t="shared" si="41"/>
        <v/>
      </c>
      <c r="R274" s="174" t="str">
        <f t="shared" si="41"/>
        <v/>
      </c>
      <c r="S274" s="174" t="str">
        <f t="shared" si="41"/>
        <v/>
      </c>
      <c r="T274" s="174" t="str">
        <f t="shared" si="41"/>
        <v/>
      </c>
      <c r="U274" s="174" t="str">
        <f t="shared" si="41"/>
        <v/>
      </c>
      <c r="V274" s="174" t="str">
        <f t="shared" si="41"/>
        <v/>
      </c>
      <c r="W274" s="174" t="str">
        <f t="shared" si="41"/>
        <v/>
      </c>
      <c r="X274" s="174" t="str">
        <f t="shared" si="41"/>
        <v/>
      </c>
      <c r="Y274" s="174" t="str">
        <f t="shared" si="41"/>
        <v/>
      </c>
      <c r="Z274" s="174" t="str">
        <f t="shared" si="41"/>
        <v/>
      </c>
      <c r="AA274" s="174" t="str">
        <f t="shared" si="41"/>
        <v/>
      </c>
      <c r="AB274" s="174" t="str">
        <f t="shared" si="41"/>
        <v/>
      </c>
      <c r="AC274" s="174" t="str">
        <f t="shared" si="41"/>
        <v/>
      </c>
      <c r="AD274" s="174" t="str">
        <f t="shared" si="41"/>
        <v/>
      </c>
      <c r="AE274" s="174" t="str">
        <f t="shared" si="41"/>
        <v/>
      </c>
      <c r="AF274" s="174" t="str">
        <f t="shared" si="41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2927" priority="59">
      <formula>$AH11=0</formula>
    </cfRule>
  </conditionalFormatting>
  <conditionalFormatting sqref="B8 M8 S8 AB8">
    <cfRule type="expression" dxfId="2926" priority="96">
      <formula>AND(C$9&gt;=14/24,C$9&lt;20/24)</formula>
    </cfRule>
    <cfRule type="expression" dxfId="2925" priority="98">
      <formula>C$9&lt;8/24</formula>
    </cfRule>
    <cfRule type="expression" dxfId="2924" priority="97">
      <formula>AND(C$9&gt;=8/24,C$9&lt;14/24)</formula>
    </cfRule>
  </conditionalFormatting>
  <conditionalFormatting sqref="B9:AF31">
    <cfRule type="expression" dxfId="2923" priority="15">
      <formula>B$9&gt;=20/24</formula>
    </cfRule>
    <cfRule type="expression" dxfId="2922" priority="16">
      <formula>AND(B$9&gt;=14/24,B$9&lt;20/24)</formula>
    </cfRule>
    <cfRule type="expression" dxfId="2921" priority="17">
      <formula>AND(B$9&gt;=8/24,B$9&lt;14/24)</formula>
    </cfRule>
    <cfRule type="expression" dxfId="2920" priority="18">
      <formula>B$9&lt;8/24</formula>
    </cfRule>
  </conditionalFormatting>
  <conditionalFormatting sqref="B11:AF31">
    <cfRule type="expression" dxfId="2919" priority="14">
      <formula>B11&gt;$AG11</formula>
    </cfRule>
  </conditionalFormatting>
  <conditionalFormatting sqref="B32:AF45">
    <cfRule type="expression" dxfId="2918" priority="29">
      <formula>AND(B$9&gt;=14/24,B$9&lt;20/24)</formula>
    </cfRule>
    <cfRule type="expression" dxfId="2917" priority="31">
      <formula>B$9&lt;8/24</formula>
    </cfRule>
    <cfRule type="expression" dxfId="2916" priority="30">
      <formula>AND(B$9&gt;=8/24,B$9&lt;14/24)</formula>
    </cfRule>
    <cfRule type="expression" dxfId="2915" priority="28">
      <formula>B$9&gt;=20/24</formula>
    </cfRule>
  </conditionalFormatting>
  <conditionalFormatting sqref="B32:AF46">
    <cfRule type="expression" dxfId="2914" priority="27">
      <formula>B32&gt;$AG32</formula>
    </cfRule>
  </conditionalFormatting>
  <conditionalFormatting sqref="B46:AF46">
    <cfRule type="expression" dxfId="2913" priority="23">
      <formula>B$9&gt;=20/24</formula>
    </cfRule>
    <cfRule type="expression" dxfId="2912" priority="24">
      <formula>AND(B$9&gt;=14/24,B$9&lt;20/24)</formula>
    </cfRule>
    <cfRule type="expression" dxfId="2911" priority="25">
      <formula>AND(B$9&gt;=8/24,B$9&lt;14/24)</formula>
    </cfRule>
    <cfRule type="expression" dxfId="2910" priority="26">
      <formula>B$9&lt;8/24</formula>
    </cfRule>
  </conditionalFormatting>
  <conditionalFormatting sqref="B47:AF47">
    <cfRule type="expression" dxfId="2909" priority="38">
      <formula>B47&gt;$AG47</formula>
    </cfRule>
  </conditionalFormatting>
  <conditionalFormatting sqref="B47:AF49">
    <cfRule type="expression" dxfId="2908" priority="37">
      <formula>B$9&lt;8/24</formula>
    </cfRule>
    <cfRule type="expression" dxfId="2907" priority="35">
      <formula>AND(B$9&gt;=14/24,B$9&lt;20/24)</formula>
    </cfRule>
    <cfRule type="expression" dxfId="2906" priority="34">
      <formula>B$9&gt;=20/24</formula>
    </cfRule>
    <cfRule type="expression" dxfId="2905" priority="36">
      <formula>AND(B$9&gt;=8/24,B$9&lt;14/24)</formula>
    </cfRule>
  </conditionalFormatting>
  <conditionalFormatting sqref="B48:AF49">
    <cfRule type="expression" dxfId="2904" priority="33">
      <formula>B48&gt;$AG48</formula>
    </cfRule>
  </conditionalFormatting>
  <conditionalFormatting sqref="B51:AF53">
    <cfRule type="expression" dxfId="2903" priority="57">
      <formula>AND(B$9&gt;=8/24,B$9&lt;14/24)</formula>
    </cfRule>
    <cfRule type="expression" dxfId="2902" priority="56">
      <formula>AND(B$9&gt;=14/24,B$9&lt;20/24)</formula>
    </cfRule>
    <cfRule type="expression" dxfId="2901" priority="55">
      <formula>B$9&gt;=20/24</formula>
    </cfRule>
    <cfRule type="expression" dxfId="2900" priority="54">
      <formula>B51&gt;$AG51</formula>
    </cfRule>
    <cfRule type="expression" dxfId="2899" priority="58">
      <formula>B$9&lt;8/24</formula>
    </cfRule>
  </conditionalFormatting>
  <conditionalFormatting sqref="B55:AF66">
    <cfRule type="expression" dxfId="2898" priority="39">
      <formula>B55&gt;$AG55</formula>
    </cfRule>
    <cfRule type="expression" dxfId="2897" priority="40">
      <formula>B$9&gt;=20/24</formula>
    </cfRule>
    <cfRule type="expression" dxfId="2896" priority="41">
      <formula>AND(B$9&gt;=14/24,B$9&lt;20/24)</formula>
    </cfRule>
    <cfRule type="expression" dxfId="2895" priority="43">
      <formula>B$9&lt;8/24</formula>
    </cfRule>
    <cfRule type="expression" dxfId="2894" priority="42">
      <formula>AND(B$9&gt;=8/24,B$9&lt;14/24)</formula>
    </cfRule>
  </conditionalFormatting>
  <conditionalFormatting sqref="B69:AF71">
    <cfRule type="expression" dxfId="2893" priority="9">
      <formula>B$9&lt;8/24</formula>
    </cfRule>
    <cfRule type="expression" dxfId="2892" priority="7">
      <formula>AND(B$9&gt;=14/24,B$9&lt;20/24)</formula>
    </cfRule>
    <cfRule type="expression" dxfId="2891" priority="6">
      <formula>B$9&gt;=20/24</formula>
    </cfRule>
    <cfRule type="expression" dxfId="2890" priority="5">
      <formula>B69&gt;$AG69</formula>
    </cfRule>
    <cfRule type="expression" dxfId="2889" priority="8">
      <formula>AND(B$9&gt;=8/24,B$9&lt;14/24)</formula>
    </cfRule>
  </conditionalFormatting>
  <conditionalFormatting sqref="B73:AF91">
    <cfRule type="expression" dxfId="2888" priority="4">
      <formula>B$9&lt;8/24</formula>
    </cfRule>
    <cfRule type="expression" dxfId="2887" priority="1">
      <formula>B$9&gt;=20/24</formula>
    </cfRule>
    <cfRule type="expression" dxfId="2886" priority="3">
      <formula>AND(B$9&gt;=8/24,B$9&lt;14/24)</formula>
    </cfRule>
    <cfRule type="expression" dxfId="2885" priority="2">
      <formula>AND(B$9&gt;=14/24,B$9&lt;20/24)</formula>
    </cfRule>
  </conditionalFormatting>
  <conditionalFormatting sqref="B93:AF109">
    <cfRule type="expression" dxfId="2884" priority="13">
      <formula>B$9&lt;8/24</formula>
    </cfRule>
    <cfRule type="expression" dxfId="2883" priority="12">
      <formula>AND(B$9&gt;=8/24,B$9&lt;14/24)</formula>
    </cfRule>
    <cfRule type="expression" dxfId="2882" priority="11">
      <formula>AND(B$9&gt;=14/24,B$9&lt;20/24)</formula>
    </cfRule>
    <cfRule type="expression" dxfId="2881" priority="10">
      <formula>B$9&gt;=20/24</formula>
    </cfRule>
  </conditionalFormatting>
  <conditionalFormatting sqref="B111:AF120">
    <cfRule type="expression" dxfId="2880" priority="22">
      <formula>B$9&lt;8/24</formula>
    </cfRule>
    <cfRule type="expression" dxfId="2879" priority="21">
      <formula>AND(B$9&gt;=8/24,B$9&lt;14/24)</formula>
    </cfRule>
    <cfRule type="expression" dxfId="2878" priority="20">
      <formula>AND(B$9&gt;=14/24,B$9&lt;20/24)</formula>
    </cfRule>
    <cfRule type="expression" dxfId="2877" priority="19">
      <formula>B$9&gt;=20/24</formula>
    </cfRule>
  </conditionalFormatting>
  <conditionalFormatting sqref="B227:AF227 D229:AF230 B229:B235 D231:H231 J231:AF231 D232:AF235 U248:AF248">
    <cfRule type="expression" dxfId="2876" priority="91">
      <formula>AND(B$9&gt;=8/24,B$9&lt;14/24)</formula>
    </cfRule>
    <cfRule type="expression" dxfId="2875" priority="90">
      <formula>AND(B$9&gt;=14/24,B$9&lt;20/24)</formula>
    </cfRule>
    <cfRule type="expression" dxfId="2874" priority="89">
      <formula>B$9&gt;=20/24</formula>
    </cfRule>
    <cfRule type="expression" dxfId="2873" priority="92">
      <formula>B$9&lt;8/24</formula>
    </cfRule>
  </conditionalFormatting>
  <conditionalFormatting sqref="B50:AG50">
    <cfRule type="expression" dxfId="2872" priority="32">
      <formula>B50&gt;$AG50</formula>
    </cfRule>
  </conditionalFormatting>
  <conditionalFormatting sqref="B54:AG54">
    <cfRule type="expression" dxfId="2871" priority="48">
      <formula>B$9&lt;8/24</formula>
    </cfRule>
    <cfRule type="expression" dxfId="2870" priority="44">
      <formula>B54&gt;$AG54</formula>
    </cfRule>
    <cfRule type="expression" dxfId="2869" priority="45">
      <formula>B$9&gt;=20/24</formula>
    </cfRule>
    <cfRule type="expression" dxfId="2868" priority="46">
      <formula>AND(B$9&gt;=14/24,B$9&lt;20/24)</formula>
    </cfRule>
    <cfRule type="expression" dxfId="2867" priority="47">
      <formula>AND(B$9&gt;=8/24,B$9&lt;14/24)</formula>
    </cfRule>
  </conditionalFormatting>
  <conditionalFormatting sqref="B67:AG68 B72:AG72">
    <cfRule type="expression" dxfId="2866" priority="49">
      <formula>B67&gt;$AG67</formula>
    </cfRule>
  </conditionalFormatting>
  <conditionalFormatting sqref="B72:AG72">
    <cfRule type="expression" dxfId="2865" priority="53">
      <formula>B$9&lt;8/24</formula>
    </cfRule>
    <cfRule type="expression" dxfId="2864" priority="52">
      <formula>AND(B$9&gt;=8/24,B$9&lt;14/24)</formula>
    </cfRule>
    <cfRule type="expression" dxfId="2863" priority="50">
      <formula>B$9&gt;=20/24</formula>
    </cfRule>
    <cfRule type="expression" dxfId="2862" priority="51">
      <formula>AND(B$9&gt;=14/24,B$9&lt;20/24)</formula>
    </cfRule>
  </conditionalFormatting>
  <conditionalFormatting sqref="O3:P3">
    <cfRule type="iconSet" priority="9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861" priority="95">
      <formula>C$9&gt;=20/24</formula>
    </cfRule>
  </conditionalFormatting>
  <conditionalFormatting sqref="S8">
    <cfRule type="expression" dxfId="2860" priority="83">
      <formula>AND(U$9&gt;=14/24,U$9&lt;20/24)</formula>
    </cfRule>
    <cfRule type="expression" dxfId="2859" priority="82">
      <formula>U$9&gt;=20/24</formula>
    </cfRule>
    <cfRule type="expression" dxfId="2858" priority="84">
      <formula>AND(U$9&gt;=8/24,U$9&lt;14/24)</formula>
    </cfRule>
    <cfRule type="expression" dxfId="2857" priority="85">
      <formula>U$9&lt;8/24</formula>
    </cfRule>
  </conditionalFormatting>
  <conditionalFormatting sqref="T248">
    <cfRule type="expression" dxfId="2856" priority="108">
      <formula>AND(AX$9&gt;=14/24,AX$9&lt;20/24)</formula>
    </cfRule>
    <cfRule type="expression" dxfId="2855" priority="107">
      <formula>AX$9&gt;=20/24</formula>
    </cfRule>
    <cfRule type="expression" dxfId="2854" priority="109">
      <formula>AND(AX$9&gt;=8/24,AX$9&lt;14/24)</formula>
    </cfRule>
    <cfRule type="expression" dxfId="2853" priority="110">
      <formula>AX$9&lt;8/24</formula>
    </cfRule>
  </conditionalFormatting>
  <conditionalFormatting sqref="V3 AB3">
    <cfRule type="iconSet" priority="9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852" priority="78">
      <formula>AD$9&gt;=20/24</formula>
    </cfRule>
    <cfRule type="expression" dxfId="2851" priority="79">
      <formula>AND(AD$9&gt;=14/24,AD$9&lt;20/24)</formula>
    </cfRule>
    <cfRule type="expression" dxfId="2850" priority="80">
      <formula>AND(AD$9&gt;=8/24,AD$9&lt;14/24)</formula>
    </cfRule>
    <cfRule type="expression" dxfId="2849" priority="81">
      <formula>AD$9&lt;8/24</formula>
    </cfRule>
  </conditionalFormatting>
  <conditionalFormatting sqref="AG89">
    <cfRule type="expression" dxfId="2848" priority="74">
      <formula>AG$9&gt;=20/24</formula>
    </cfRule>
    <cfRule type="expression" dxfId="2847" priority="75">
      <formula>AND(AG$9&gt;=14/24,AG$9&lt;20/24)</formula>
    </cfRule>
    <cfRule type="expression" dxfId="2846" priority="76">
      <formula>AND(AG$9&gt;=8/24,AG$9&lt;14/24)</formula>
    </cfRule>
    <cfRule type="expression" dxfId="2845" priority="77">
      <formula>AG$9&lt;8/24</formula>
    </cfRule>
  </conditionalFormatting>
  <conditionalFormatting sqref="AG248">
    <cfRule type="expression" dxfId="2844" priority="102">
      <formula>B$9&lt;8/24</formula>
    </cfRule>
    <cfRule type="expression" dxfId="2843" priority="100">
      <formula>AND(B$9&gt;=14/24,B$9&lt;20/24)</formula>
    </cfRule>
    <cfRule type="expression" dxfId="2842" priority="99">
      <formula>B$9&gt;=20/24</formula>
    </cfRule>
    <cfRule type="expression" dxfId="2841" priority="101">
      <formula>AND(B$9&gt;=8/24,B$9&lt;14/24)</formula>
    </cfRule>
  </conditionalFormatting>
  <conditionalFormatting sqref="AH248:AX248">
    <cfRule type="expression" dxfId="2840" priority="104">
      <formula>AND(AG$9&gt;=14/24,AG$9&lt;20/24)</formula>
    </cfRule>
    <cfRule type="expression" dxfId="2839" priority="105">
      <formula>AND(AG$9&gt;=8/24,AG$9&lt;14/24)</formula>
    </cfRule>
    <cfRule type="expression" dxfId="2838" priority="106">
      <formula>AG$9&lt;8/24</formula>
    </cfRule>
    <cfRule type="expression" dxfId="2837" priority="103">
      <formula>AG$9&gt;=20/24</formula>
    </cfRule>
  </conditionalFormatting>
  <conditionalFormatting sqref="AL4:AL6">
    <cfRule type="iconSet" priority="88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2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7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7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836" priority="112">
      <formula>AJ$9&gt;=20/24</formula>
    </cfRule>
    <cfRule type="expression" dxfId="2835" priority="113">
      <formula>AND(AJ$9&gt;=14/24,AJ$9&lt;20/24)</formula>
    </cfRule>
    <cfRule type="expression" dxfId="2834" priority="114">
      <formula>AND(AJ$9&gt;=8/24,AJ$9&lt;14/24)</formula>
    </cfRule>
    <cfRule type="expression" dxfId="2833" priority="115">
      <formula>AJ$9&lt;8/24</formula>
    </cfRule>
  </conditionalFormatting>
  <conditionalFormatting sqref="AL80:AN80 AL86:AN86">
    <cfRule type="expression" dxfId="2832" priority="70">
      <formula>AL$9&lt;8/24</formula>
    </cfRule>
    <cfRule type="expression" dxfId="2831" priority="69">
      <formula>AND(AL$9&gt;=8/24,AL$9&lt;14/24)</formula>
    </cfRule>
    <cfRule type="expression" dxfId="2830" priority="67">
      <formula>AL$9&gt;=20/24</formula>
    </cfRule>
    <cfRule type="expression" dxfId="2829" priority="68">
      <formula>AND(AL$9&gt;=14/24,AL$9&lt;20/24)</formula>
    </cfRule>
  </conditionalFormatting>
  <conditionalFormatting sqref="AN81:AN84">
    <cfRule type="expression" dxfId="2828" priority="66">
      <formula>AN$9&lt;8/24</formula>
    </cfRule>
    <cfRule type="expression" dxfId="2827" priority="65">
      <formula>AND(AN$9&gt;=8/24,AN$9&lt;14/24)</formula>
    </cfRule>
    <cfRule type="expression" dxfId="2826" priority="64">
      <formula>AND(AN$9&gt;=14/24,AN$9&lt;20/24)</formula>
    </cfRule>
    <cfRule type="expression" dxfId="2825" priority="63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4DDF-13DF-46FC-B80F-FCD4F67415E1}">
  <dimension ref="A1:CJ281"/>
  <sheetViews>
    <sheetView zoomScale="85" zoomScaleNormal="85"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D11" sqref="AD1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7.28515625" style="1" customWidth="1"/>
    <col min="11" max="12" width="7.85546875" style="1" customWidth="1"/>
    <col min="13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2" width="7.140625" style="1" customWidth="1"/>
    <col min="23" max="23" width="8.85546875" style="1" customWidth="1"/>
    <col min="24" max="24" width="8.7109375" style="1" customWidth="1"/>
    <col min="25" max="25" width="9.7109375" style="1" customWidth="1"/>
    <col min="26" max="26" width="8.7109375" style="1" customWidth="1"/>
    <col min="27" max="27" width="7.140625" style="1" customWidth="1"/>
    <col min="28" max="28" width="8.28515625" style="1" customWidth="1"/>
    <col min="29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2080/04/3</v>
      </c>
      <c r="C4" s="203"/>
      <c r="D4" s="203"/>
      <c r="E4" s="204" t="str">
        <f ca="1">"2079/"&amp;"12/"&amp;INT(MID(CELL("filename",G6),FIND("]",CELL("filename",G6))+1,200))</f>
        <v>2079/12/3</v>
      </c>
      <c r="F4" s="204"/>
      <c r="G4" s="204"/>
      <c r="H4" s="204" t="str">
        <f ca="1">TEXT(E4,"dddd")</f>
        <v>Sunday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64</v>
      </c>
      <c r="C5" s="30">
        <f t="shared" si="0"/>
        <v>45</v>
      </c>
      <c r="D5" s="30">
        <f t="shared" si="0"/>
        <v>28.5</v>
      </c>
      <c r="E5" s="30">
        <f t="shared" si="0"/>
        <v>28.5</v>
      </c>
      <c r="F5" s="30">
        <f t="shared" si="0"/>
        <v>28.5</v>
      </c>
      <c r="G5" s="30">
        <f t="shared" si="0"/>
        <v>48</v>
      </c>
      <c r="H5" s="30">
        <f t="shared" si="0"/>
        <v>52.5</v>
      </c>
      <c r="I5" s="30">
        <f t="shared" si="0"/>
        <v>39</v>
      </c>
      <c r="J5" s="30">
        <f t="shared" si="0"/>
        <v>39</v>
      </c>
      <c r="K5" s="30">
        <f t="shared" si="0"/>
        <v>39</v>
      </c>
      <c r="L5" s="30">
        <f t="shared" si="0"/>
        <v>36.200000000000003</v>
      </c>
      <c r="M5" s="30">
        <f t="shared" si="0"/>
        <v>45</v>
      </c>
      <c r="N5" s="30">
        <f t="shared" si="0"/>
        <v>0</v>
      </c>
      <c r="O5" s="30">
        <f t="shared" si="0"/>
        <v>0</v>
      </c>
      <c r="P5" s="30">
        <f t="shared" si="0"/>
        <v>67</v>
      </c>
      <c r="Q5" s="30">
        <f t="shared" si="0"/>
        <v>64</v>
      </c>
      <c r="R5" s="30">
        <f t="shared" si="0"/>
        <v>57.6</v>
      </c>
      <c r="S5" s="30">
        <f t="shared" si="0"/>
        <v>71</v>
      </c>
      <c r="T5" s="30">
        <f t="shared" si="0"/>
        <v>70.7</v>
      </c>
      <c r="U5" s="30">
        <f t="shared" si="0"/>
        <v>68</v>
      </c>
      <c r="V5" s="30">
        <f t="shared" si="0"/>
        <v>38.299999999999997</v>
      </c>
      <c r="W5" s="30">
        <f t="shared" si="0"/>
        <v>28.5</v>
      </c>
      <c r="X5" s="30">
        <f t="shared" si="0"/>
        <v>24.2</v>
      </c>
      <c r="Y5" s="30">
        <f t="shared" si="0"/>
        <v>23</v>
      </c>
      <c r="Z5" s="30">
        <f t="shared" si="0"/>
        <v>21.8</v>
      </c>
      <c r="AA5" s="30">
        <f t="shared" si="0"/>
        <v>44.8</v>
      </c>
      <c r="AB5" s="30">
        <f t="shared" si="0"/>
        <v>44.8</v>
      </c>
      <c r="AC5" s="30">
        <f t="shared" si="0"/>
        <v>0</v>
      </c>
      <c r="AD5" s="30">
        <f t="shared" si="0"/>
        <v>362</v>
      </c>
      <c r="AE5" s="30">
        <f t="shared" si="0"/>
        <v>48.7</v>
      </c>
      <c r="AF5" s="30">
        <f>B84</f>
        <v>39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1889MW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</v>
      </c>
      <c r="B7" s="35">
        <f t="shared" ref="B7:AF7" si="1">B91</f>
        <v>1719.04</v>
      </c>
      <c r="C7" s="35">
        <f t="shared" si="1"/>
        <v>1908.34</v>
      </c>
      <c r="D7" s="35">
        <f t="shared" si="1"/>
        <v>1873.34</v>
      </c>
      <c r="E7" s="35">
        <f t="shared" si="1"/>
        <v>1856.94</v>
      </c>
      <c r="F7" s="35">
        <f t="shared" si="1"/>
        <v>1857.94</v>
      </c>
      <c r="G7" s="35">
        <f t="shared" si="1"/>
        <v>1858.94</v>
      </c>
      <c r="H7" s="35">
        <f t="shared" si="1"/>
        <v>1879.44</v>
      </c>
      <c r="I7" s="35">
        <f t="shared" si="1"/>
        <v>1819.8400000000001</v>
      </c>
      <c r="J7" s="35">
        <f t="shared" si="1"/>
        <v>1806.94</v>
      </c>
      <c r="K7" s="35">
        <f t="shared" si="1"/>
        <v>1809.44</v>
      </c>
      <c r="L7" s="35">
        <f t="shared" si="1"/>
        <v>1814.44</v>
      </c>
      <c r="M7" s="35">
        <f t="shared" si="1"/>
        <v>1826.0400000000002</v>
      </c>
      <c r="N7" s="35">
        <f t="shared" si="1"/>
        <v>1888.94</v>
      </c>
      <c r="O7" s="35">
        <f t="shared" si="1"/>
        <v>537.04</v>
      </c>
      <c r="P7" s="35">
        <f t="shared" si="1"/>
        <v>8.5399999999999991</v>
      </c>
      <c r="Q7" s="35">
        <f t="shared" si="1"/>
        <v>1976.3400000000001</v>
      </c>
      <c r="R7" s="35">
        <f t="shared" si="1"/>
        <v>1959.2400000000002</v>
      </c>
      <c r="S7" s="35">
        <f t="shared" si="1"/>
        <v>1990.1399999999999</v>
      </c>
      <c r="T7" s="35">
        <f t="shared" si="1"/>
        <v>1977.54</v>
      </c>
      <c r="U7" s="35">
        <f t="shared" si="1"/>
        <v>2006.4400000000003</v>
      </c>
      <c r="V7" s="35">
        <f t="shared" si="1"/>
        <v>1985.0400000000002</v>
      </c>
      <c r="W7" s="35">
        <f t="shared" si="1"/>
        <v>1955.3400000000001</v>
      </c>
      <c r="X7" s="35">
        <f t="shared" si="1"/>
        <v>1945.5400000000002</v>
      </c>
      <c r="Y7" s="35">
        <f t="shared" si="1"/>
        <v>1961.44</v>
      </c>
      <c r="Z7" s="35">
        <f t="shared" si="1"/>
        <v>1960.24</v>
      </c>
      <c r="AA7" s="35">
        <f t="shared" si="1"/>
        <v>2028.4400000000003</v>
      </c>
      <c r="AB7" s="35">
        <f t="shared" si="1"/>
        <v>2073.04</v>
      </c>
      <c r="AC7" s="35">
        <f t="shared" si="1"/>
        <v>2073.04</v>
      </c>
      <c r="AD7" s="35">
        <f t="shared" si="1"/>
        <v>11.54</v>
      </c>
      <c r="AE7" s="35">
        <f t="shared" si="1"/>
        <v>2359.34</v>
      </c>
      <c r="AF7" s="35">
        <f t="shared" si="1"/>
        <v>1943.24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</v>
      </c>
      <c r="C11" s="45">
        <v>90.2</v>
      </c>
      <c r="D11" s="45">
        <v>90.2</v>
      </c>
      <c r="E11" s="45">
        <v>90.1</v>
      </c>
      <c r="F11" s="45">
        <v>90.1</v>
      </c>
      <c r="G11" s="45">
        <v>90.1</v>
      </c>
      <c r="H11" s="45">
        <v>90.1</v>
      </c>
      <c r="I11" s="45">
        <v>90.1</v>
      </c>
      <c r="J11" s="45">
        <v>90.1</v>
      </c>
      <c r="K11" s="45">
        <v>90.1</v>
      </c>
      <c r="L11" s="45">
        <v>90.1</v>
      </c>
      <c r="M11" s="45">
        <v>90.1</v>
      </c>
      <c r="N11" s="45">
        <v>90.1</v>
      </c>
      <c r="O11" s="45" t="s">
        <v>260</v>
      </c>
      <c r="P11" s="45" t="s">
        <v>260</v>
      </c>
      <c r="Q11" s="45">
        <v>74.8</v>
      </c>
      <c r="R11" s="45">
        <v>74</v>
      </c>
      <c r="S11" s="45">
        <v>80</v>
      </c>
      <c r="T11" s="45">
        <v>80</v>
      </c>
      <c r="U11" s="45">
        <v>89</v>
      </c>
      <c r="V11" s="45">
        <v>86.1</v>
      </c>
      <c r="W11" s="45">
        <v>86.1</v>
      </c>
      <c r="X11" s="45">
        <v>86.1</v>
      </c>
      <c r="Y11" s="45">
        <v>86.1</v>
      </c>
      <c r="Z11" s="45">
        <v>86.1</v>
      </c>
      <c r="AA11" s="45">
        <v>86.1</v>
      </c>
      <c r="AB11" s="45">
        <v>90</v>
      </c>
      <c r="AC11" s="45">
        <v>90</v>
      </c>
      <c r="AD11" s="45" t="s">
        <v>260</v>
      </c>
      <c r="AE11" s="45">
        <v>80.400000000000006</v>
      </c>
      <c r="AF11" s="45">
        <v>90.2</v>
      </c>
      <c r="AG11" s="46">
        <v>86</v>
      </c>
      <c r="AH11" s="47">
        <f t="shared" ref="AH11:AH76" si="2">MAX(B11:AF11)</f>
        <v>90.2</v>
      </c>
      <c r="AI11" s="48">
        <f t="shared" ref="AI11:AI76" si="3">MIN(B11:AF11)</f>
        <v>74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27</v>
      </c>
      <c r="C12" s="45">
        <v>20</v>
      </c>
      <c r="D12" s="45">
        <v>15</v>
      </c>
      <c r="E12" s="45">
        <v>20</v>
      </c>
      <c r="F12" s="45">
        <v>20</v>
      </c>
      <c r="G12" s="45">
        <v>20</v>
      </c>
      <c r="H12" s="45">
        <v>20</v>
      </c>
      <c r="I12" s="45">
        <v>20</v>
      </c>
      <c r="J12" s="45">
        <v>20</v>
      </c>
      <c r="K12" s="45">
        <v>20</v>
      </c>
      <c r="L12" s="45">
        <v>20</v>
      </c>
      <c r="M12" s="45">
        <v>20</v>
      </c>
      <c r="N12" s="45">
        <v>20</v>
      </c>
      <c r="O12" s="45" t="s">
        <v>262</v>
      </c>
      <c r="P12" s="45" t="s">
        <v>262</v>
      </c>
      <c r="Q12" s="45">
        <v>0</v>
      </c>
      <c r="R12" s="45">
        <v>26</v>
      </c>
      <c r="S12" s="45">
        <v>26</v>
      </c>
      <c r="T12" s="45">
        <v>0</v>
      </c>
      <c r="U12" s="45">
        <v>26.5</v>
      </c>
      <c r="V12" s="45">
        <v>18</v>
      </c>
      <c r="W12" s="45">
        <v>18</v>
      </c>
      <c r="X12" s="45">
        <v>18</v>
      </c>
      <c r="Y12" s="45">
        <v>18</v>
      </c>
      <c r="Z12" s="45">
        <v>18</v>
      </c>
      <c r="AA12" s="45">
        <v>27</v>
      </c>
      <c r="AB12" s="45">
        <v>27</v>
      </c>
      <c r="AC12" s="45">
        <v>27</v>
      </c>
      <c r="AD12" s="45" t="s">
        <v>262</v>
      </c>
      <c r="AE12" s="45">
        <f>54*0.3</f>
        <v>16.2</v>
      </c>
      <c r="AF12" s="45">
        <v>0</v>
      </c>
      <c r="AG12" s="49">
        <v>54</v>
      </c>
      <c r="AH12" s="47">
        <f t="shared" si="2"/>
        <v>27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55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>
        <v>55</v>
      </c>
      <c r="K13" s="45">
        <v>55</v>
      </c>
      <c r="L13" s="45">
        <v>55</v>
      </c>
      <c r="M13" s="45">
        <v>55</v>
      </c>
      <c r="N13" s="45">
        <v>55</v>
      </c>
      <c r="O13" s="45" t="s">
        <v>263</v>
      </c>
      <c r="P13" s="45" t="s">
        <v>263</v>
      </c>
      <c r="Q13" s="45">
        <v>55</v>
      </c>
      <c r="R13" s="45">
        <v>55</v>
      </c>
      <c r="S13" s="45">
        <v>55</v>
      </c>
      <c r="T13" s="45">
        <v>55</v>
      </c>
      <c r="U13" s="45">
        <v>55</v>
      </c>
      <c r="V13" s="45">
        <v>55</v>
      </c>
      <c r="W13" s="45">
        <v>55</v>
      </c>
      <c r="X13" s="45">
        <v>55</v>
      </c>
      <c r="Y13" s="45">
        <v>55</v>
      </c>
      <c r="Z13" s="45">
        <v>55</v>
      </c>
      <c r="AA13" s="45">
        <v>55</v>
      </c>
      <c r="AB13" s="45">
        <v>55.1</v>
      </c>
      <c r="AC13" s="45">
        <v>55.1</v>
      </c>
      <c r="AD13" s="45" t="s">
        <v>263</v>
      </c>
      <c r="AE13" s="45">
        <v>55.1</v>
      </c>
      <c r="AF13" s="45">
        <v>54.9</v>
      </c>
      <c r="AG13" s="46">
        <v>52.4</v>
      </c>
      <c r="AH13" s="47">
        <f t="shared" si="2"/>
        <v>55.1</v>
      </c>
      <c r="AI13" s="48">
        <f t="shared" si="3"/>
        <v>54.9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50.3</v>
      </c>
      <c r="C14" s="45">
        <v>50.5</v>
      </c>
      <c r="D14" s="45">
        <v>50.5</v>
      </c>
      <c r="E14" s="45">
        <v>50.5</v>
      </c>
      <c r="F14" s="45">
        <v>50.5</v>
      </c>
      <c r="G14" s="45">
        <v>50.5</v>
      </c>
      <c r="H14" s="45">
        <v>50.5</v>
      </c>
      <c r="I14" s="45">
        <v>50.5</v>
      </c>
      <c r="J14" s="45">
        <v>50.5</v>
      </c>
      <c r="K14" s="45">
        <v>50.5</v>
      </c>
      <c r="L14" s="45">
        <v>50.5</v>
      </c>
      <c r="M14" s="45">
        <v>27</v>
      </c>
      <c r="N14" s="45">
        <v>27</v>
      </c>
      <c r="O14" s="45" t="s">
        <v>264</v>
      </c>
      <c r="P14" s="45" t="s">
        <v>264</v>
      </c>
      <c r="Q14" s="45">
        <v>0</v>
      </c>
      <c r="R14" s="45">
        <v>50</v>
      </c>
      <c r="S14" s="45">
        <v>50.7</v>
      </c>
      <c r="T14" s="45">
        <v>50.7</v>
      </c>
      <c r="U14" s="45">
        <v>50.7</v>
      </c>
      <c r="V14" s="45">
        <v>50.7</v>
      </c>
      <c r="W14" s="45">
        <v>50.7</v>
      </c>
      <c r="X14" s="45">
        <v>50.7</v>
      </c>
      <c r="Y14" s="45">
        <v>50.7</v>
      </c>
      <c r="Z14" s="45">
        <v>50.7</v>
      </c>
      <c r="AA14" s="45">
        <v>50.7</v>
      </c>
      <c r="AB14" s="45">
        <v>50.5</v>
      </c>
      <c r="AC14" s="45">
        <v>50.5</v>
      </c>
      <c r="AD14" s="45" t="s">
        <v>264</v>
      </c>
      <c r="AE14" s="45">
        <v>50.5</v>
      </c>
      <c r="AF14" s="45">
        <v>50.4</v>
      </c>
      <c r="AG14" s="49">
        <v>50</v>
      </c>
      <c r="AH14" s="47">
        <f t="shared" si="2"/>
        <v>50.7</v>
      </c>
      <c r="AI14" s="48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</v>
      </c>
      <c r="C15" s="45">
        <v>36</v>
      </c>
      <c r="D15" s="45">
        <v>36</v>
      </c>
      <c r="E15" s="45">
        <v>36</v>
      </c>
      <c r="F15" s="45">
        <v>36</v>
      </c>
      <c r="G15" s="45">
        <v>36</v>
      </c>
      <c r="H15" s="45">
        <v>36</v>
      </c>
      <c r="I15" s="45">
        <v>36</v>
      </c>
      <c r="J15" s="45">
        <v>36</v>
      </c>
      <c r="K15" s="45">
        <v>36</v>
      </c>
      <c r="L15" s="45">
        <v>36</v>
      </c>
      <c r="M15" s="45">
        <v>46</v>
      </c>
      <c r="N15" s="45">
        <v>46</v>
      </c>
      <c r="O15" s="45" t="s">
        <v>265</v>
      </c>
      <c r="P15" s="45" t="s">
        <v>265</v>
      </c>
      <c r="Q15" s="45">
        <v>46.2</v>
      </c>
      <c r="R15" s="45">
        <v>46.2</v>
      </c>
      <c r="S15" s="45">
        <v>46.2</v>
      </c>
      <c r="T15" s="45">
        <v>46.2</v>
      </c>
      <c r="U15" s="45">
        <v>46.2</v>
      </c>
      <c r="V15" s="45">
        <v>46.2</v>
      </c>
      <c r="W15" s="45">
        <v>46.2</v>
      </c>
      <c r="X15" s="45">
        <v>46.2</v>
      </c>
      <c r="Y15" s="45">
        <v>46.2</v>
      </c>
      <c r="Z15" s="45">
        <v>46.2</v>
      </c>
      <c r="AA15" s="45">
        <v>46.2</v>
      </c>
      <c r="AB15" s="45">
        <v>46.3</v>
      </c>
      <c r="AC15" s="45">
        <v>46.3</v>
      </c>
      <c r="AD15" s="45" t="s">
        <v>265</v>
      </c>
      <c r="AE15" s="45">
        <v>46.3</v>
      </c>
      <c r="AF15" s="45">
        <v>46.3</v>
      </c>
      <c r="AG15" s="49">
        <v>45</v>
      </c>
      <c r="AH15" s="47">
        <f t="shared" si="2"/>
        <v>46.3</v>
      </c>
      <c r="AI15" s="48">
        <f t="shared" si="3"/>
        <v>36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0</v>
      </c>
      <c r="J16" s="45">
        <v>0</v>
      </c>
      <c r="K16" s="45">
        <v>0</v>
      </c>
      <c r="L16" s="45">
        <v>0</v>
      </c>
      <c r="M16" s="45">
        <v>44</v>
      </c>
      <c r="N16" s="45">
        <v>44</v>
      </c>
      <c r="O16" s="45" t="s">
        <v>266</v>
      </c>
      <c r="P16" s="45" t="s">
        <v>266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 t="s">
        <v>266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28.4</v>
      </c>
      <c r="C17" s="45">
        <v>26</v>
      </c>
      <c r="D17" s="45">
        <v>26</v>
      </c>
      <c r="E17" s="45">
        <v>26</v>
      </c>
      <c r="F17" s="45">
        <v>26</v>
      </c>
      <c r="G17" s="45">
        <v>26</v>
      </c>
      <c r="H17" s="45">
        <v>26</v>
      </c>
      <c r="I17" s="45">
        <v>26</v>
      </c>
      <c r="J17" s="45">
        <v>26</v>
      </c>
      <c r="K17" s="45">
        <v>26</v>
      </c>
      <c r="L17" s="45">
        <v>26</v>
      </c>
      <c r="M17" s="45">
        <v>26</v>
      </c>
      <c r="N17" s="45">
        <v>26</v>
      </c>
      <c r="O17" s="45"/>
      <c r="P17" s="45"/>
      <c r="Q17" s="45">
        <v>28.5</v>
      </c>
      <c r="R17" s="45">
        <v>29</v>
      </c>
      <c r="S17" s="45">
        <v>29</v>
      </c>
      <c r="T17" s="45">
        <v>29</v>
      </c>
      <c r="U17" s="45">
        <v>29</v>
      </c>
      <c r="V17" s="45">
        <v>29</v>
      </c>
      <c r="W17" s="45">
        <v>29</v>
      </c>
      <c r="X17" s="45">
        <v>29</v>
      </c>
      <c r="Y17" s="45">
        <v>29</v>
      </c>
      <c r="Z17" s="45">
        <v>29</v>
      </c>
      <c r="AA17" s="45">
        <v>33</v>
      </c>
      <c r="AB17" s="45">
        <v>37</v>
      </c>
      <c r="AC17" s="45">
        <v>37</v>
      </c>
      <c r="AD17" s="45"/>
      <c r="AE17" s="45">
        <v>28</v>
      </c>
      <c r="AF17" s="45">
        <v>28</v>
      </c>
      <c r="AG17" s="49">
        <v>42</v>
      </c>
      <c r="AH17" s="47">
        <f t="shared" si="2"/>
        <v>37</v>
      </c>
      <c r="AI17" s="48">
        <f t="shared" si="3"/>
        <v>26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38.799999999999997</v>
      </c>
      <c r="C18" s="45">
        <v>38.799999999999997</v>
      </c>
      <c r="D18" s="45">
        <v>38.799999999999997</v>
      </c>
      <c r="E18" s="45">
        <v>38.799999999999997</v>
      </c>
      <c r="F18" s="45">
        <v>38.799999999999997</v>
      </c>
      <c r="G18" s="45">
        <v>38.799999999999997</v>
      </c>
      <c r="H18" s="45">
        <v>38.799999999999997</v>
      </c>
      <c r="I18" s="45">
        <v>38.799999999999997</v>
      </c>
      <c r="J18" s="45">
        <v>38.799999999999997</v>
      </c>
      <c r="K18" s="45">
        <v>38.799999999999997</v>
      </c>
      <c r="L18" s="45">
        <v>38.799999999999997</v>
      </c>
      <c r="M18" s="45">
        <v>38.799999999999997</v>
      </c>
      <c r="N18" s="45">
        <v>38.799999999999997</v>
      </c>
      <c r="O18" s="45"/>
      <c r="P18" s="45"/>
      <c r="Q18" s="45">
        <v>38.799999999999997</v>
      </c>
      <c r="R18" s="45">
        <v>38.799999999999997</v>
      </c>
      <c r="S18" s="45">
        <v>38.799999999999997</v>
      </c>
      <c r="T18" s="45">
        <v>38.799999999999997</v>
      </c>
      <c r="U18" s="45">
        <v>38.799999999999997</v>
      </c>
      <c r="V18" s="45">
        <v>38.799999999999997</v>
      </c>
      <c r="W18" s="45">
        <v>38.799999999999997</v>
      </c>
      <c r="X18" s="45">
        <v>38.799999999999997</v>
      </c>
      <c r="Y18" s="45">
        <v>38.799999999999997</v>
      </c>
      <c r="Z18" s="45">
        <v>38.799999999999997</v>
      </c>
      <c r="AA18" s="45">
        <v>38.799999999999997</v>
      </c>
      <c r="AB18" s="45">
        <v>38.799999999999997</v>
      </c>
      <c r="AC18" s="45">
        <v>38.799999999999997</v>
      </c>
      <c r="AD18" s="45"/>
      <c r="AE18" s="45">
        <v>38.799999999999997</v>
      </c>
      <c r="AF18" s="45">
        <v>38.799999999999997</v>
      </c>
      <c r="AG18" s="49">
        <v>38.46</v>
      </c>
      <c r="AH18" s="47">
        <f t="shared" si="2"/>
        <v>38.799999999999997</v>
      </c>
      <c r="AI18" s="48">
        <f t="shared" si="3"/>
        <v>38.799999999999997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24</v>
      </c>
      <c r="C19" s="45">
        <v>24</v>
      </c>
      <c r="D19" s="45">
        <v>24</v>
      </c>
      <c r="E19" s="45">
        <v>24</v>
      </c>
      <c r="F19" s="45">
        <v>24</v>
      </c>
      <c r="G19" s="45">
        <v>24</v>
      </c>
      <c r="H19" s="45">
        <v>24</v>
      </c>
      <c r="I19" s="45">
        <v>24</v>
      </c>
      <c r="J19" s="45">
        <v>24</v>
      </c>
      <c r="K19" s="45">
        <v>24</v>
      </c>
      <c r="L19" s="45">
        <v>24</v>
      </c>
      <c r="M19" s="45">
        <v>24</v>
      </c>
      <c r="N19" s="45">
        <v>24</v>
      </c>
      <c r="O19" s="45"/>
      <c r="P19" s="45"/>
      <c r="Q19" s="45">
        <v>24</v>
      </c>
      <c r="R19" s="45">
        <v>24</v>
      </c>
      <c r="S19" s="45">
        <v>24</v>
      </c>
      <c r="T19" s="45">
        <v>24</v>
      </c>
      <c r="U19" s="45">
        <v>24</v>
      </c>
      <c r="V19" s="45">
        <v>24</v>
      </c>
      <c r="W19" s="45">
        <v>24</v>
      </c>
      <c r="X19" s="45">
        <v>24</v>
      </c>
      <c r="Y19" s="45">
        <v>24</v>
      </c>
      <c r="Z19" s="45">
        <v>24</v>
      </c>
      <c r="AA19" s="45">
        <v>24</v>
      </c>
      <c r="AB19" s="45">
        <v>36</v>
      </c>
      <c r="AC19" s="45">
        <v>36</v>
      </c>
      <c r="AD19" s="45"/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24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11</v>
      </c>
      <c r="C20" s="45">
        <v>21</v>
      </c>
      <c r="D20" s="45">
        <v>10</v>
      </c>
      <c r="E20" s="45">
        <v>20</v>
      </c>
      <c r="F20" s="45">
        <v>20</v>
      </c>
      <c r="G20" s="45">
        <v>20</v>
      </c>
      <c r="H20" s="45">
        <v>20</v>
      </c>
      <c r="I20" s="45">
        <v>20</v>
      </c>
      <c r="J20" s="45">
        <v>20</v>
      </c>
      <c r="K20" s="45">
        <v>20</v>
      </c>
      <c r="L20" s="45">
        <v>25</v>
      </c>
      <c r="M20" s="45">
        <v>5.7</v>
      </c>
      <c r="N20" s="45">
        <v>5.7</v>
      </c>
      <c r="O20" s="45"/>
      <c r="P20" s="45"/>
      <c r="Q20" s="45">
        <v>29.8</v>
      </c>
      <c r="R20" s="45">
        <v>20</v>
      </c>
      <c r="S20" s="45">
        <v>10</v>
      </c>
      <c r="T20" s="45">
        <v>10</v>
      </c>
      <c r="U20" s="45">
        <v>20.7</v>
      </c>
      <c r="V20" s="45">
        <v>10.5</v>
      </c>
      <c r="W20" s="45">
        <v>10.5</v>
      </c>
      <c r="X20" s="45">
        <v>10.5</v>
      </c>
      <c r="Y20" s="45">
        <v>10.5</v>
      </c>
      <c r="Z20" s="45">
        <v>10.5</v>
      </c>
      <c r="AA20" s="45">
        <v>29.6</v>
      </c>
      <c r="AB20" s="45">
        <v>29.6</v>
      </c>
      <c r="AC20" s="45">
        <v>29.6</v>
      </c>
      <c r="AD20" s="45"/>
      <c r="AE20" s="45">
        <v>29.6</v>
      </c>
      <c r="AF20" s="45">
        <v>0</v>
      </c>
      <c r="AG20" s="51">
        <v>30</v>
      </c>
      <c r="AH20" s="47">
        <f t="shared" si="2"/>
        <v>29.8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21</v>
      </c>
      <c r="C21" s="45">
        <v>21</v>
      </c>
      <c r="D21" s="45">
        <v>21</v>
      </c>
      <c r="E21" s="45">
        <v>21</v>
      </c>
      <c r="F21" s="45">
        <v>21</v>
      </c>
      <c r="G21" s="45">
        <v>21</v>
      </c>
      <c r="H21" s="45">
        <v>21</v>
      </c>
      <c r="I21" s="45">
        <v>21</v>
      </c>
      <c r="J21" s="45">
        <v>21</v>
      </c>
      <c r="K21" s="45">
        <v>21</v>
      </c>
      <c r="L21" s="45">
        <v>21</v>
      </c>
      <c r="M21" s="45">
        <v>21.2</v>
      </c>
      <c r="N21" s="45">
        <v>21.2</v>
      </c>
      <c r="O21" s="45" t="s">
        <v>261</v>
      </c>
      <c r="P21" s="45" t="s">
        <v>261</v>
      </c>
      <c r="Q21" s="45">
        <v>21.2</v>
      </c>
      <c r="R21" s="45">
        <v>21.2</v>
      </c>
      <c r="S21" s="45">
        <v>21.2</v>
      </c>
      <c r="T21" s="45">
        <v>21.2</v>
      </c>
      <c r="U21" s="45">
        <v>21.2</v>
      </c>
      <c r="V21" s="45">
        <v>21.2</v>
      </c>
      <c r="W21" s="45">
        <v>21.2</v>
      </c>
      <c r="X21" s="45">
        <v>21.2</v>
      </c>
      <c r="Y21" s="45">
        <v>21.2</v>
      </c>
      <c r="Z21" s="45">
        <v>21.2</v>
      </c>
      <c r="AA21" s="45">
        <v>21.2</v>
      </c>
      <c r="AB21" s="45">
        <v>21.2</v>
      </c>
      <c r="AC21" s="45">
        <v>21.2</v>
      </c>
      <c r="AD21" s="45" t="s">
        <v>261</v>
      </c>
      <c r="AE21" s="45">
        <v>21.2</v>
      </c>
      <c r="AF21" s="45">
        <v>21.2</v>
      </c>
      <c r="AG21" s="49">
        <v>24.2</v>
      </c>
      <c r="AH21" s="47">
        <f t="shared" si="2"/>
        <v>21.2</v>
      </c>
      <c r="AI21" s="48">
        <f t="shared" si="3"/>
        <v>21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14.5</v>
      </c>
      <c r="C22" s="45">
        <v>14.5</v>
      </c>
      <c r="D22" s="45">
        <v>14.5</v>
      </c>
      <c r="E22" s="45">
        <v>14.5</v>
      </c>
      <c r="F22" s="45">
        <v>14.5</v>
      </c>
      <c r="G22" s="45">
        <v>14.5</v>
      </c>
      <c r="H22" s="45">
        <v>14.5</v>
      </c>
      <c r="I22" s="45">
        <v>14.5</v>
      </c>
      <c r="J22" s="45">
        <v>14.5</v>
      </c>
      <c r="K22" s="45">
        <v>14.5</v>
      </c>
      <c r="L22" s="45">
        <v>14.5</v>
      </c>
      <c r="M22" s="45">
        <v>14.4</v>
      </c>
      <c r="N22" s="45">
        <v>14.4</v>
      </c>
      <c r="O22" s="45" t="s">
        <v>267</v>
      </c>
      <c r="P22" s="45" t="s">
        <v>267</v>
      </c>
      <c r="Q22" s="45">
        <v>14.4</v>
      </c>
      <c r="R22" s="45">
        <v>14.4</v>
      </c>
      <c r="S22" s="45">
        <v>14.4</v>
      </c>
      <c r="T22" s="45">
        <v>14.4</v>
      </c>
      <c r="U22" s="45">
        <v>14.4</v>
      </c>
      <c r="V22" s="45">
        <v>14.4</v>
      </c>
      <c r="W22" s="45">
        <v>14.4</v>
      </c>
      <c r="X22" s="45">
        <v>14.4</v>
      </c>
      <c r="Y22" s="45">
        <v>24.6</v>
      </c>
      <c r="Z22" s="45">
        <v>24.6</v>
      </c>
      <c r="AA22" s="45">
        <v>24.6</v>
      </c>
      <c r="AB22" s="45">
        <v>24.6</v>
      </c>
      <c r="AC22" s="45">
        <v>24.6</v>
      </c>
      <c r="AD22" s="45" t="s">
        <v>267</v>
      </c>
      <c r="AE22" s="45">
        <v>24.6</v>
      </c>
      <c r="AF22" s="45">
        <v>20.7</v>
      </c>
      <c r="AG22" s="49">
        <v>28</v>
      </c>
      <c r="AH22" s="47">
        <f t="shared" si="2"/>
        <v>24.6</v>
      </c>
      <c r="AI22" s="48">
        <f t="shared" si="3"/>
        <v>14.4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 t="s">
        <v>263</v>
      </c>
      <c r="P23" s="45" t="s">
        <v>263</v>
      </c>
      <c r="Q23" s="45">
        <v>9.3000000000000007</v>
      </c>
      <c r="R23" s="45">
        <v>9.3000000000000007</v>
      </c>
      <c r="S23" s="45">
        <v>9.3000000000000007</v>
      </c>
      <c r="T23" s="45">
        <v>9.3000000000000007</v>
      </c>
      <c r="U23" s="45">
        <v>9.3000000000000007</v>
      </c>
      <c r="V23" s="45">
        <v>9.3000000000000007</v>
      </c>
      <c r="W23" s="45">
        <v>9.3000000000000007</v>
      </c>
      <c r="X23" s="45">
        <v>9.3000000000000007</v>
      </c>
      <c r="Y23" s="45">
        <v>9.3000000000000007</v>
      </c>
      <c r="Z23" s="45">
        <v>9.3000000000000007</v>
      </c>
      <c r="AA23" s="45">
        <v>9</v>
      </c>
      <c r="AB23" s="45">
        <v>9</v>
      </c>
      <c r="AC23" s="45">
        <v>9</v>
      </c>
      <c r="AD23" s="45" t="s">
        <v>263</v>
      </c>
      <c r="AE23" s="45">
        <v>9</v>
      </c>
      <c r="AF23" s="45">
        <v>0</v>
      </c>
      <c r="AG23" s="51">
        <v>30</v>
      </c>
      <c r="AH23" s="47">
        <f t="shared" si="2"/>
        <v>9.3000000000000007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25.4</v>
      </c>
      <c r="C24" s="45">
        <v>25.3</v>
      </c>
      <c r="D24" s="45">
        <v>25.3</v>
      </c>
      <c r="E24" s="45">
        <v>25.3</v>
      </c>
      <c r="F24" s="45">
        <v>25.3</v>
      </c>
      <c r="G24" s="45">
        <v>25.3</v>
      </c>
      <c r="H24" s="45">
        <v>25.3</v>
      </c>
      <c r="I24" s="45">
        <v>0</v>
      </c>
      <c r="J24" s="45">
        <v>0</v>
      </c>
      <c r="K24" s="45">
        <v>0</v>
      </c>
      <c r="L24" s="45">
        <v>0</v>
      </c>
      <c r="M24" s="45">
        <v>25.2</v>
      </c>
      <c r="N24" s="45">
        <v>25.2</v>
      </c>
      <c r="O24" s="45" t="s">
        <v>264</v>
      </c>
      <c r="P24" s="45" t="s">
        <v>264</v>
      </c>
      <c r="Q24" s="45">
        <v>24.6</v>
      </c>
      <c r="R24" s="45">
        <v>24.6</v>
      </c>
      <c r="S24" s="45">
        <v>25.7</v>
      </c>
      <c r="T24" s="45">
        <v>25.7</v>
      </c>
      <c r="U24" s="45">
        <v>25.7</v>
      </c>
      <c r="V24" s="45">
        <v>25.7</v>
      </c>
      <c r="W24" s="45">
        <v>25.7</v>
      </c>
      <c r="X24" s="45">
        <v>25.7</v>
      </c>
      <c r="Y24" s="45">
        <v>25.7</v>
      </c>
      <c r="Z24" s="45">
        <v>25.7</v>
      </c>
      <c r="AA24" s="45">
        <v>25.7</v>
      </c>
      <c r="AB24" s="45">
        <v>25.6</v>
      </c>
      <c r="AC24" s="45">
        <v>25.6</v>
      </c>
      <c r="AD24" s="45" t="s">
        <v>264</v>
      </c>
      <c r="AE24" s="45">
        <v>25.6</v>
      </c>
      <c r="AF24" s="45">
        <v>25.6</v>
      </c>
      <c r="AG24" s="49">
        <v>25</v>
      </c>
      <c r="AH24" s="47">
        <f t="shared" si="2"/>
        <v>25.7</v>
      </c>
      <c r="AI24" s="48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 t="s">
        <v>268</v>
      </c>
      <c r="P25" s="45" t="s">
        <v>268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 t="s">
        <v>268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 t="s">
        <v>269</v>
      </c>
      <c r="P26" s="45" t="s">
        <v>269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 t="s">
        <v>269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12.5</v>
      </c>
      <c r="C27" s="45">
        <v>12.5</v>
      </c>
      <c r="D27" s="45">
        <v>12.5</v>
      </c>
      <c r="E27" s="45">
        <v>12.5</v>
      </c>
      <c r="F27" s="45">
        <v>12.5</v>
      </c>
      <c r="G27" s="45">
        <v>12.5</v>
      </c>
      <c r="H27" s="45">
        <v>12.5</v>
      </c>
      <c r="I27" s="45">
        <v>12.5</v>
      </c>
      <c r="J27" s="45">
        <v>12.5</v>
      </c>
      <c r="K27" s="45">
        <v>15</v>
      </c>
      <c r="L27" s="45">
        <v>15</v>
      </c>
      <c r="M27" s="45">
        <v>15</v>
      </c>
      <c r="N27" s="45">
        <v>15</v>
      </c>
      <c r="O27" s="45" t="s">
        <v>270</v>
      </c>
      <c r="P27" s="45" t="s">
        <v>270</v>
      </c>
      <c r="Q27" s="45">
        <v>15</v>
      </c>
      <c r="R27" s="45">
        <v>15</v>
      </c>
      <c r="S27" s="45">
        <v>15</v>
      </c>
      <c r="T27" s="45">
        <v>15</v>
      </c>
      <c r="U27" s="45">
        <v>18</v>
      </c>
      <c r="V27" s="45">
        <v>8.5</v>
      </c>
      <c r="W27" s="45">
        <v>8.5</v>
      </c>
      <c r="X27" s="45">
        <v>8.5</v>
      </c>
      <c r="Y27" s="45">
        <v>8.5</v>
      </c>
      <c r="Z27" s="45">
        <v>8.5</v>
      </c>
      <c r="AA27" s="45">
        <v>25</v>
      </c>
      <c r="AB27" s="45">
        <v>25</v>
      </c>
      <c r="AC27" s="45">
        <v>25</v>
      </c>
      <c r="AD27" s="45" t="s">
        <v>270</v>
      </c>
      <c r="AE27" s="45">
        <v>25</v>
      </c>
      <c r="AF27" s="45">
        <v>0</v>
      </c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24.8</v>
      </c>
      <c r="C28" s="45">
        <v>24.8</v>
      </c>
      <c r="D28" s="45">
        <v>24.8</v>
      </c>
      <c r="E28" s="45">
        <v>24.8</v>
      </c>
      <c r="F28" s="45">
        <v>24.8</v>
      </c>
      <c r="G28" s="45">
        <v>24.8</v>
      </c>
      <c r="H28" s="45">
        <v>24.8</v>
      </c>
      <c r="I28" s="45">
        <v>24.8</v>
      </c>
      <c r="J28" s="45">
        <v>24.8</v>
      </c>
      <c r="K28" s="45">
        <v>24.8</v>
      </c>
      <c r="L28" s="45">
        <v>24.8</v>
      </c>
      <c r="M28" s="45">
        <v>24.9</v>
      </c>
      <c r="N28" s="45">
        <v>24.9</v>
      </c>
      <c r="O28" s="45"/>
      <c r="P28" s="45"/>
      <c r="Q28" s="45">
        <v>24.7</v>
      </c>
      <c r="R28" s="45">
        <v>24.7</v>
      </c>
      <c r="S28" s="45">
        <v>24.7</v>
      </c>
      <c r="T28" s="45">
        <v>24.7</v>
      </c>
      <c r="U28" s="45">
        <v>24.7</v>
      </c>
      <c r="V28" s="45">
        <v>24.7</v>
      </c>
      <c r="W28" s="45">
        <v>24.7</v>
      </c>
      <c r="X28" s="45">
        <v>24.7</v>
      </c>
      <c r="Y28" s="45">
        <v>24.7</v>
      </c>
      <c r="Z28" s="45">
        <v>24.7</v>
      </c>
      <c r="AA28" s="45">
        <v>24.7</v>
      </c>
      <c r="AB28" s="45">
        <v>24.8</v>
      </c>
      <c r="AC28" s="45">
        <v>24.8</v>
      </c>
      <c r="AD28" s="45"/>
      <c r="AE28" s="45">
        <v>24.8</v>
      </c>
      <c r="AF28" s="45">
        <v>25.2</v>
      </c>
      <c r="AG28" s="49">
        <v>23.5</v>
      </c>
      <c r="AH28" s="47">
        <f t="shared" si="2"/>
        <v>25.2</v>
      </c>
      <c r="AI28" s="48">
        <f t="shared" si="3"/>
        <v>24.7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/>
      <c r="P29" s="45"/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/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/>
      <c r="P30" s="45"/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/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/>
      <c r="P31" s="45"/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/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/>
      <c r="P32" s="45"/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/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20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/>
      <c r="P33" s="45"/>
      <c r="Q33" s="45">
        <v>5</v>
      </c>
      <c r="R33" s="45">
        <v>5</v>
      </c>
      <c r="S33" s="45">
        <v>5</v>
      </c>
      <c r="T33" s="45">
        <v>5</v>
      </c>
      <c r="U33" s="45">
        <v>10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10</v>
      </c>
      <c r="AB33" s="45">
        <v>10</v>
      </c>
      <c r="AC33" s="45">
        <v>10</v>
      </c>
      <c r="AD33" s="45"/>
      <c r="AE33" s="45">
        <v>10</v>
      </c>
      <c r="AF33" s="45">
        <v>5</v>
      </c>
      <c r="AG33" s="49">
        <v>20</v>
      </c>
      <c r="AH33" s="47">
        <f t="shared" si="2"/>
        <v>20</v>
      </c>
      <c r="AI33" s="48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10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/>
      <c r="P34" s="45"/>
      <c r="Q34" s="45">
        <v>0</v>
      </c>
      <c r="R34" s="45">
        <v>0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5</v>
      </c>
      <c r="Y34" s="45">
        <v>5</v>
      </c>
      <c r="Z34" s="45">
        <v>5</v>
      </c>
      <c r="AA34" s="45">
        <v>5</v>
      </c>
      <c r="AB34" s="45">
        <v>5</v>
      </c>
      <c r="AC34" s="45">
        <v>5</v>
      </c>
      <c r="AD34" s="45"/>
      <c r="AE34" s="45">
        <v>5</v>
      </c>
      <c r="AF34" s="45">
        <v>0</v>
      </c>
      <c r="AG34" s="49">
        <v>18</v>
      </c>
      <c r="AH34" s="47">
        <f t="shared" si="2"/>
        <v>10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14</v>
      </c>
      <c r="C35" s="45">
        <v>14</v>
      </c>
      <c r="D35" s="45">
        <v>14</v>
      </c>
      <c r="E35" s="45">
        <v>14</v>
      </c>
      <c r="F35" s="45">
        <v>14</v>
      </c>
      <c r="G35" s="45">
        <v>14</v>
      </c>
      <c r="H35" s="45">
        <v>14</v>
      </c>
      <c r="I35" s="45">
        <v>14</v>
      </c>
      <c r="J35" s="45">
        <v>14</v>
      </c>
      <c r="K35" s="45">
        <v>14</v>
      </c>
      <c r="L35" s="45">
        <v>14</v>
      </c>
      <c r="M35" s="45">
        <v>14</v>
      </c>
      <c r="N35" s="45">
        <v>14</v>
      </c>
      <c r="O35" s="45"/>
      <c r="P35" s="45"/>
      <c r="Q35" s="45">
        <v>14</v>
      </c>
      <c r="R35" s="45">
        <v>14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>
        <v>14</v>
      </c>
      <c r="Z35" s="45">
        <v>14</v>
      </c>
      <c r="AA35" s="45">
        <v>14</v>
      </c>
      <c r="AB35" s="45">
        <v>14</v>
      </c>
      <c r="AC35" s="45">
        <v>14</v>
      </c>
      <c r="AD35" s="45"/>
      <c r="AE35" s="45">
        <v>14</v>
      </c>
      <c r="AF35" s="45">
        <v>14</v>
      </c>
      <c r="AG35" s="49">
        <v>14.9</v>
      </c>
      <c r="AH35" s="47">
        <f t="shared" si="2"/>
        <v>14</v>
      </c>
      <c r="AI35" s="48">
        <f t="shared" si="3"/>
        <v>14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/>
      <c r="P36" s="45"/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/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/>
      <c r="P37" s="45"/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/>
      <c r="AE37" s="45">
        <v>0</v>
      </c>
      <c r="AF37" s="45">
        <v>0</v>
      </c>
      <c r="AG37" s="49">
        <v>13.6</v>
      </c>
      <c r="AH37" s="47">
        <f t="shared" si="2"/>
        <v>5</v>
      </c>
      <c r="AI37" s="48">
        <f t="shared" si="3"/>
        <v>0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/>
      <c r="P38" s="45"/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/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12</v>
      </c>
      <c r="C39" s="45">
        <v>6</v>
      </c>
      <c r="D39" s="45">
        <v>6</v>
      </c>
      <c r="E39" s="45">
        <v>6</v>
      </c>
      <c r="F39" s="45">
        <v>6</v>
      </c>
      <c r="G39" s="45">
        <v>6</v>
      </c>
      <c r="H39" s="45">
        <v>6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/>
      <c r="P39" s="45"/>
      <c r="Q39" s="45">
        <v>6</v>
      </c>
      <c r="R39" s="45">
        <v>6</v>
      </c>
      <c r="S39" s="45">
        <v>6</v>
      </c>
      <c r="T39" s="45">
        <v>6</v>
      </c>
      <c r="U39" s="45">
        <v>6</v>
      </c>
      <c r="V39" s="45">
        <v>4</v>
      </c>
      <c r="W39" s="45">
        <v>4</v>
      </c>
      <c r="X39" s="45">
        <v>4</v>
      </c>
      <c r="Y39" s="45">
        <v>4</v>
      </c>
      <c r="Z39" s="45">
        <v>4</v>
      </c>
      <c r="AA39" s="45">
        <v>12</v>
      </c>
      <c r="AB39" s="45">
        <v>12</v>
      </c>
      <c r="AC39" s="45">
        <v>12</v>
      </c>
      <c r="AD39" s="45"/>
      <c r="AE39" s="45">
        <v>12</v>
      </c>
      <c r="AF39" s="45">
        <v>0</v>
      </c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/>
      <c r="P40" s="45"/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/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12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12</v>
      </c>
      <c r="N41" s="45">
        <v>12</v>
      </c>
      <c r="O41" s="45"/>
      <c r="P41" s="45"/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/>
      <c r="AE41" s="45">
        <v>12</v>
      </c>
      <c r="AF41" s="45">
        <v>5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/>
      <c r="P42" s="45"/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/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11.8</v>
      </c>
      <c r="C43" s="45">
        <v>11.8</v>
      </c>
      <c r="D43" s="45">
        <v>11.8</v>
      </c>
      <c r="E43" s="45">
        <v>11.8</v>
      </c>
      <c r="F43" s="45">
        <v>11.8</v>
      </c>
      <c r="G43" s="45">
        <v>11.8</v>
      </c>
      <c r="H43" s="45">
        <v>11.8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/>
      <c r="P43" s="45"/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/>
      <c r="AE43" s="45">
        <v>0</v>
      </c>
      <c r="AF43" s="45">
        <v>0</v>
      </c>
      <c r="AG43" s="51">
        <v>11.88</v>
      </c>
      <c r="AH43" s="47">
        <f t="shared" si="2"/>
        <v>11.8</v>
      </c>
      <c r="AI43" s="48">
        <f t="shared" si="3"/>
        <v>0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/>
      <c r="P44" s="45"/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/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0</v>
      </c>
      <c r="J45" s="45">
        <v>0</v>
      </c>
      <c r="K45" s="45">
        <v>0</v>
      </c>
      <c r="L45" s="45">
        <v>0</v>
      </c>
      <c r="M45" s="45">
        <v>9</v>
      </c>
      <c r="N45" s="45">
        <v>9</v>
      </c>
      <c r="O45" s="45"/>
      <c r="P45" s="45"/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/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/>
      <c r="P46" s="45"/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/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/>
      <c r="P47" s="45"/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/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/>
      <c r="P48" s="56"/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/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50"/>
    </row>
    <row r="50" spans="1:41" ht="15.75" thickBot="1" x14ac:dyDescent="0.3">
      <c r="A50" s="59" t="s">
        <v>58</v>
      </c>
      <c r="B50" s="60">
        <v>954.9</v>
      </c>
      <c r="C50" s="60">
        <f t="shared" ref="C50" si="4">SUM(C11:C48)</f>
        <v>992.59999999999991</v>
      </c>
      <c r="D50" s="60">
        <f t="shared" ref="D50:E50" si="5">SUM(D11:D48)</f>
        <v>976.6</v>
      </c>
      <c r="E50" s="60">
        <f t="shared" si="5"/>
        <v>991.5</v>
      </c>
      <c r="F50" s="60">
        <f t="shared" ref="F50:L50" si="6">SUM(F11:F48)</f>
        <v>991.5</v>
      </c>
      <c r="G50" s="60">
        <f t="shared" si="6"/>
        <v>991.5</v>
      </c>
      <c r="H50" s="60">
        <f t="shared" si="6"/>
        <v>991.5</v>
      </c>
      <c r="I50" s="60">
        <f t="shared" si="6"/>
        <v>896.40000000000009</v>
      </c>
      <c r="J50" s="60">
        <f t="shared" si="6"/>
        <v>896.40000000000009</v>
      </c>
      <c r="K50" s="60">
        <f t="shared" si="6"/>
        <v>898.90000000000009</v>
      </c>
      <c r="L50" s="60">
        <f t="shared" si="6"/>
        <v>903.90000000000009</v>
      </c>
      <c r="M50" s="60">
        <f t="shared" ref="M50:Q50" si="7">SUM(M11:M48)</f>
        <v>961.5</v>
      </c>
      <c r="N50" s="60">
        <f t="shared" si="7"/>
        <v>961.5</v>
      </c>
      <c r="O50" s="60">
        <f t="shared" si="7"/>
        <v>0</v>
      </c>
      <c r="P50" s="60">
        <f t="shared" si="7"/>
        <v>0</v>
      </c>
      <c r="Q50" s="60">
        <f t="shared" si="7"/>
        <v>925.5</v>
      </c>
      <c r="R50" s="60">
        <f t="shared" ref="R50:AA50" si="8">SUM(R11:R48)</f>
        <v>991.40000000000009</v>
      </c>
      <c r="S50" s="60">
        <f t="shared" si="8"/>
        <v>994.2</v>
      </c>
      <c r="T50" s="60">
        <f t="shared" si="8"/>
        <v>968.2</v>
      </c>
      <c r="U50" s="60">
        <f t="shared" si="8"/>
        <v>1022.4000000000001</v>
      </c>
      <c r="V50" s="60">
        <f t="shared" si="8"/>
        <v>987.30000000000007</v>
      </c>
      <c r="W50" s="60">
        <f t="shared" si="8"/>
        <v>987.30000000000007</v>
      </c>
      <c r="X50" s="60">
        <f t="shared" si="8"/>
        <v>987.30000000000007</v>
      </c>
      <c r="Y50" s="60">
        <f t="shared" si="8"/>
        <v>997.50000000000011</v>
      </c>
      <c r="Z50" s="60">
        <f t="shared" si="8"/>
        <v>997.50000000000011</v>
      </c>
      <c r="AA50" s="60">
        <f t="shared" si="8"/>
        <v>1055.8000000000002</v>
      </c>
      <c r="AB50" s="60">
        <f t="shared" ref="AB50:AC50" si="9">SUM(AB11:AB48)</f>
        <v>1075.7</v>
      </c>
      <c r="AC50" s="60">
        <f t="shared" si="9"/>
        <v>1075.7</v>
      </c>
      <c r="AD50" s="60">
        <f t="shared" ref="AD50:AE50" si="10">SUM(AD11:AD48)</f>
        <v>0</v>
      </c>
      <c r="AE50" s="60">
        <f t="shared" si="10"/>
        <v>1046.3000000000002</v>
      </c>
      <c r="AF50" s="60">
        <f t="shared" ref="AF50" si="11">SUM(AF11:AF48)</f>
        <v>943.5</v>
      </c>
      <c r="AG50" s="61">
        <f>SUM(AG13:AG48)</f>
        <v>922.14</v>
      </c>
      <c r="AH50" s="47">
        <f t="shared" si="2"/>
        <v>1075.7</v>
      </c>
      <c r="AI50" s="48">
        <f t="shared" si="3"/>
        <v>0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/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/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50</v>
      </c>
      <c r="C52" s="64">
        <v>50</v>
      </c>
      <c r="D52" s="64">
        <v>50</v>
      </c>
      <c r="E52" s="64">
        <v>50</v>
      </c>
      <c r="F52" s="64">
        <v>50</v>
      </c>
      <c r="G52" s="64">
        <v>50</v>
      </c>
      <c r="H52" s="64">
        <v>50</v>
      </c>
      <c r="I52" s="64">
        <v>50</v>
      </c>
      <c r="J52" s="64">
        <v>50</v>
      </c>
      <c r="K52" s="64">
        <v>50</v>
      </c>
      <c r="L52" s="64">
        <v>50</v>
      </c>
      <c r="M52" s="64">
        <v>50</v>
      </c>
      <c r="N52" s="64">
        <v>50</v>
      </c>
      <c r="O52" s="64">
        <v>50</v>
      </c>
      <c r="P52" s="64"/>
      <c r="Q52" s="64">
        <v>50</v>
      </c>
      <c r="R52" s="64">
        <v>50</v>
      </c>
      <c r="S52" s="64">
        <v>50</v>
      </c>
      <c r="T52" s="64">
        <v>50</v>
      </c>
      <c r="U52" s="64">
        <v>50</v>
      </c>
      <c r="V52" s="64">
        <v>50</v>
      </c>
      <c r="W52" s="64">
        <v>50</v>
      </c>
      <c r="X52" s="64">
        <v>50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/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50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/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22.4</v>
      </c>
      <c r="AC53" s="66">
        <v>22.4</v>
      </c>
      <c r="AD53" s="66"/>
      <c r="AE53" s="66">
        <v>22.4</v>
      </c>
      <c r="AF53" s="66">
        <v>22.4</v>
      </c>
      <c r="AG53" s="67">
        <v>22.1</v>
      </c>
      <c r="AH53" s="47">
        <f t="shared" si="2"/>
        <v>22.5</v>
      </c>
      <c r="AI53" s="48">
        <f t="shared" si="3"/>
        <v>22.4</v>
      </c>
      <c r="AK53" s="50"/>
    </row>
    <row r="54" spans="1:41" ht="15.75" thickBot="1" x14ac:dyDescent="0.3">
      <c r="A54" s="68" t="s">
        <v>62</v>
      </c>
      <c r="B54" s="60">
        <v>528.5</v>
      </c>
      <c r="C54" s="60">
        <f t="shared" ref="C54:AG54" si="12">SUM(C51:C53)</f>
        <v>528.5</v>
      </c>
      <c r="D54" s="60">
        <f t="shared" si="12"/>
        <v>528.5</v>
      </c>
      <c r="E54" s="60">
        <f t="shared" si="12"/>
        <v>528.5</v>
      </c>
      <c r="F54" s="60">
        <f t="shared" ref="F54:G54" si="13">SUM(F51:F53)</f>
        <v>528.5</v>
      </c>
      <c r="G54" s="60">
        <f t="shared" si="13"/>
        <v>528.5</v>
      </c>
      <c r="H54" s="60">
        <f t="shared" ref="H54:L54" si="14">SUM(H51:H53)</f>
        <v>528.5</v>
      </c>
      <c r="I54" s="60">
        <f t="shared" si="14"/>
        <v>528.5</v>
      </c>
      <c r="J54" s="60">
        <f t="shared" si="14"/>
        <v>528.5</v>
      </c>
      <c r="K54" s="60">
        <f t="shared" si="14"/>
        <v>528.5</v>
      </c>
      <c r="L54" s="60">
        <f t="shared" si="14"/>
        <v>528.5</v>
      </c>
      <c r="M54" s="60">
        <f t="shared" ref="M54:Q54" si="15">SUM(M51:M53)</f>
        <v>528.5</v>
      </c>
      <c r="N54" s="60">
        <f t="shared" si="15"/>
        <v>528.5</v>
      </c>
      <c r="O54" s="60">
        <f t="shared" si="15"/>
        <v>528.5</v>
      </c>
      <c r="P54" s="60">
        <f t="shared" si="15"/>
        <v>0</v>
      </c>
      <c r="Q54" s="60">
        <f t="shared" si="15"/>
        <v>528.5</v>
      </c>
      <c r="R54" s="60">
        <f t="shared" ref="R54:AE54" si="16">SUM(R51:R53)</f>
        <v>528.5</v>
      </c>
      <c r="S54" s="60">
        <f t="shared" si="16"/>
        <v>528.5</v>
      </c>
      <c r="T54" s="60">
        <f t="shared" si="16"/>
        <v>528.5</v>
      </c>
      <c r="U54" s="60">
        <f t="shared" si="16"/>
        <v>528.5</v>
      </c>
      <c r="V54" s="60">
        <f t="shared" si="16"/>
        <v>528.5</v>
      </c>
      <c r="W54" s="60">
        <f t="shared" si="16"/>
        <v>528.5</v>
      </c>
      <c r="X54" s="60">
        <f t="shared" si="16"/>
        <v>528.5</v>
      </c>
      <c r="Y54" s="60">
        <f t="shared" si="16"/>
        <v>538.5</v>
      </c>
      <c r="Z54" s="60">
        <f t="shared" si="16"/>
        <v>538.5</v>
      </c>
      <c r="AA54" s="60">
        <f t="shared" si="16"/>
        <v>538.5</v>
      </c>
      <c r="AB54" s="60">
        <f t="shared" si="16"/>
        <v>538.4</v>
      </c>
      <c r="AC54" s="60">
        <f t="shared" si="16"/>
        <v>538.4</v>
      </c>
      <c r="AD54" s="60">
        <f t="shared" si="16"/>
        <v>0</v>
      </c>
      <c r="AE54" s="60">
        <f t="shared" si="16"/>
        <v>533.4</v>
      </c>
      <c r="AF54" s="60">
        <f t="shared" ref="AF54" si="17">SUM(AF51:AF53)</f>
        <v>533.4</v>
      </c>
      <c r="AG54" s="61">
        <f t="shared" si="12"/>
        <v>538.1</v>
      </c>
      <c r="AH54" s="47">
        <f t="shared" si="2"/>
        <v>538.5</v>
      </c>
      <c r="AI54" s="48">
        <f t="shared" si="3"/>
        <v>0</v>
      </c>
      <c r="AK54" s="50"/>
    </row>
    <row r="55" spans="1:41" x14ac:dyDescent="0.25">
      <c r="A55" s="44" t="s">
        <v>63</v>
      </c>
      <c r="B55" s="45">
        <v>136</v>
      </c>
      <c r="C55" s="45">
        <v>136</v>
      </c>
      <c r="D55" s="45">
        <v>136</v>
      </c>
      <c r="E55" s="45">
        <v>135</v>
      </c>
      <c r="F55" s="45">
        <v>135</v>
      </c>
      <c r="G55" s="45">
        <v>135</v>
      </c>
      <c r="H55" s="45">
        <v>135</v>
      </c>
      <c r="I55" s="45">
        <v>135</v>
      </c>
      <c r="J55" s="45">
        <v>136</v>
      </c>
      <c r="K55" s="45">
        <v>136</v>
      </c>
      <c r="L55" s="45">
        <v>136</v>
      </c>
      <c r="M55" s="45">
        <v>99</v>
      </c>
      <c r="N55" s="45">
        <v>144</v>
      </c>
      <c r="O55" s="45"/>
      <c r="P55" s="45"/>
      <c r="Q55" s="45">
        <v>95.9</v>
      </c>
      <c r="R55" s="45">
        <v>95.9</v>
      </c>
      <c r="S55" s="45">
        <v>136</v>
      </c>
      <c r="T55" s="45">
        <v>136</v>
      </c>
      <c r="U55" s="45">
        <v>136</v>
      </c>
      <c r="V55" s="45">
        <v>137.80000000000001</v>
      </c>
      <c r="W55" s="45">
        <v>137.80000000000001</v>
      </c>
      <c r="X55" s="45">
        <v>137.80000000000001</v>
      </c>
      <c r="Y55" s="45">
        <v>137.80000000000001</v>
      </c>
      <c r="Z55" s="45">
        <v>137.80000000000001</v>
      </c>
      <c r="AA55" s="45">
        <v>137.80000000000001</v>
      </c>
      <c r="AB55" s="45">
        <v>138.69999999999999</v>
      </c>
      <c r="AC55" s="45">
        <v>138.69999999999999</v>
      </c>
      <c r="AD55" s="45"/>
      <c r="AE55" s="45">
        <v>139.6</v>
      </c>
      <c r="AF55" s="45">
        <v>139.6</v>
      </c>
      <c r="AG55" s="51">
        <v>144</v>
      </c>
      <c r="AH55" s="47">
        <f t="shared" si="2"/>
        <v>144</v>
      </c>
      <c r="AI55" s="48">
        <f t="shared" si="3"/>
        <v>95.9</v>
      </c>
      <c r="AK55" s="50"/>
    </row>
    <row r="56" spans="1:41" x14ac:dyDescent="0.25">
      <c r="A56" s="53" t="s">
        <v>64</v>
      </c>
      <c r="B56" s="45">
        <v>70</v>
      </c>
      <c r="C56" s="45">
        <v>70</v>
      </c>
      <c r="D56" s="45">
        <v>70</v>
      </c>
      <c r="E56" s="45">
        <v>70.400000000000006</v>
      </c>
      <c r="F56" s="45">
        <v>70.400000000000006</v>
      </c>
      <c r="G56" s="45">
        <v>70.400000000000006</v>
      </c>
      <c r="H56" s="45">
        <v>70.400000000000006</v>
      </c>
      <c r="I56" s="45">
        <v>70.400000000000006</v>
      </c>
      <c r="J56" s="45">
        <v>70</v>
      </c>
      <c r="K56" s="45">
        <v>70</v>
      </c>
      <c r="L56" s="45">
        <v>70</v>
      </c>
      <c r="M56" s="45">
        <v>60.9</v>
      </c>
      <c r="N56" s="45">
        <v>70</v>
      </c>
      <c r="O56" s="45"/>
      <c r="P56" s="45"/>
      <c r="Q56" s="45">
        <v>69.599999999999994</v>
      </c>
      <c r="R56" s="45">
        <v>69.599999999999994</v>
      </c>
      <c r="S56" s="45">
        <v>69.7</v>
      </c>
      <c r="T56" s="45">
        <v>69.7</v>
      </c>
      <c r="U56" s="45">
        <v>69.7</v>
      </c>
      <c r="V56" s="45">
        <v>69.7</v>
      </c>
      <c r="W56" s="45">
        <v>69.7</v>
      </c>
      <c r="X56" s="45">
        <v>69.7</v>
      </c>
      <c r="Y56" s="45">
        <v>69.7</v>
      </c>
      <c r="Z56" s="45">
        <v>69.7</v>
      </c>
      <c r="AA56" s="45">
        <v>69.7</v>
      </c>
      <c r="AB56" s="45">
        <v>71.2</v>
      </c>
      <c r="AC56" s="45">
        <v>71.2</v>
      </c>
      <c r="AD56" s="45"/>
      <c r="AE56" s="45">
        <v>69.599999999999994</v>
      </c>
      <c r="AF56" s="45">
        <v>69.599999999999994</v>
      </c>
      <c r="AG56" s="54">
        <v>70</v>
      </c>
      <c r="AH56" s="47">
        <f t="shared" si="2"/>
        <v>71.2</v>
      </c>
      <c r="AI56" s="48">
        <f t="shared" si="3"/>
        <v>60.9</v>
      </c>
      <c r="AK56" s="50"/>
    </row>
    <row r="57" spans="1:41" x14ac:dyDescent="0.25">
      <c r="A57" s="53" t="s">
        <v>65</v>
      </c>
      <c r="B57" s="45">
        <v>64.099999999999994</v>
      </c>
      <c r="C57" s="45">
        <v>64</v>
      </c>
      <c r="D57" s="45">
        <v>64</v>
      </c>
      <c r="E57" s="45">
        <v>48.8</v>
      </c>
      <c r="F57" s="45">
        <v>48.8</v>
      </c>
      <c r="G57" s="45">
        <v>48.8</v>
      </c>
      <c r="H57" s="45">
        <v>48.8</v>
      </c>
      <c r="I57" s="45">
        <v>48.8</v>
      </c>
      <c r="J57" s="45">
        <v>48.8</v>
      </c>
      <c r="K57" s="45">
        <v>48.8</v>
      </c>
      <c r="L57" s="45">
        <v>48.8</v>
      </c>
      <c r="M57" s="45">
        <v>50.2</v>
      </c>
      <c r="N57" s="45">
        <v>50.2</v>
      </c>
      <c r="O57" s="45"/>
      <c r="P57" s="45"/>
      <c r="Q57" s="45">
        <v>64.3</v>
      </c>
      <c r="R57" s="45">
        <v>64.3</v>
      </c>
      <c r="S57" s="45">
        <v>65.3</v>
      </c>
      <c r="T57" s="45">
        <v>65.3</v>
      </c>
      <c r="U57" s="45">
        <v>65.3</v>
      </c>
      <c r="V57" s="45">
        <v>66.900000000000006</v>
      </c>
      <c r="W57" s="45">
        <v>66.900000000000006</v>
      </c>
      <c r="X57" s="45">
        <v>66.900000000000006</v>
      </c>
      <c r="Y57" s="45">
        <v>66.900000000000006</v>
      </c>
      <c r="Z57" s="45">
        <v>66.900000000000006</v>
      </c>
      <c r="AA57" s="45">
        <v>64.2</v>
      </c>
      <c r="AB57" s="45">
        <v>64.099999999999994</v>
      </c>
      <c r="AC57" s="45">
        <v>64.099999999999994</v>
      </c>
      <c r="AD57" s="45"/>
      <c r="AE57" s="45">
        <v>65.2</v>
      </c>
      <c r="AF57" s="45">
        <v>65.2</v>
      </c>
      <c r="AG57" s="54">
        <v>69</v>
      </c>
      <c r="AH57" s="47">
        <f t="shared" si="2"/>
        <v>66.900000000000006</v>
      </c>
      <c r="AI57" s="48">
        <f t="shared" si="3"/>
        <v>48.8</v>
      </c>
      <c r="AK57" s="50"/>
    </row>
    <row r="58" spans="1:41" x14ac:dyDescent="0.25">
      <c r="A58" s="53" t="s">
        <v>66</v>
      </c>
      <c r="B58" s="45">
        <v>0</v>
      </c>
      <c r="C58" s="45">
        <v>0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30</v>
      </c>
      <c r="J58" s="45">
        <v>30</v>
      </c>
      <c r="K58" s="45">
        <v>30</v>
      </c>
      <c r="L58" s="45">
        <v>30</v>
      </c>
      <c r="M58" s="45">
        <v>30.7</v>
      </c>
      <c r="N58" s="45">
        <v>30.7</v>
      </c>
      <c r="O58" s="45"/>
      <c r="P58" s="45"/>
      <c r="Q58" s="45">
        <v>60.2</v>
      </c>
      <c r="R58" s="45">
        <v>60.2</v>
      </c>
      <c r="S58" s="45">
        <v>28.5</v>
      </c>
      <c r="T58" s="45">
        <v>28.5</v>
      </c>
      <c r="U58" s="45">
        <v>28.5</v>
      </c>
      <c r="V58" s="45">
        <v>49.9</v>
      </c>
      <c r="W58" s="45">
        <v>49.9</v>
      </c>
      <c r="X58" s="45">
        <v>49.9</v>
      </c>
      <c r="Y58" s="45">
        <v>49.9</v>
      </c>
      <c r="Z58" s="45">
        <v>49.9</v>
      </c>
      <c r="AA58" s="45">
        <v>59</v>
      </c>
      <c r="AB58" s="45">
        <v>60.2</v>
      </c>
      <c r="AC58" s="45">
        <v>60.2</v>
      </c>
      <c r="AD58" s="45"/>
      <c r="AE58" s="45">
        <v>60</v>
      </c>
      <c r="AF58" s="45">
        <v>60</v>
      </c>
      <c r="AG58" s="54">
        <v>60</v>
      </c>
      <c r="AH58" s="47">
        <f t="shared" si="2"/>
        <v>60.2</v>
      </c>
      <c r="AI58" s="48">
        <f t="shared" si="3"/>
        <v>0</v>
      </c>
      <c r="AK58" s="50"/>
    </row>
    <row r="59" spans="1:41" x14ac:dyDescent="0.25">
      <c r="A59" s="53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/>
      <c r="P59" s="45"/>
      <c r="Q59" s="45">
        <v>15</v>
      </c>
      <c r="R59" s="45">
        <v>15</v>
      </c>
      <c r="S59" s="45">
        <v>15</v>
      </c>
      <c r="T59" s="45">
        <v>15</v>
      </c>
      <c r="U59" s="45">
        <v>15</v>
      </c>
      <c r="V59" s="45">
        <v>15</v>
      </c>
      <c r="W59" s="45">
        <v>15</v>
      </c>
      <c r="X59" s="45">
        <v>15</v>
      </c>
      <c r="Y59" s="45">
        <v>15</v>
      </c>
      <c r="Z59" s="45">
        <v>15</v>
      </c>
      <c r="AA59" s="45">
        <v>15</v>
      </c>
      <c r="AB59" s="45">
        <v>15</v>
      </c>
      <c r="AC59" s="45">
        <v>15</v>
      </c>
      <c r="AD59" s="45"/>
      <c r="AE59" s="45">
        <v>15</v>
      </c>
      <c r="AF59" s="45">
        <v>15</v>
      </c>
      <c r="AG59" s="54">
        <v>30</v>
      </c>
      <c r="AH59" s="47">
        <f t="shared" si="2"/>
        <v>15</v>
      </c>
      <c r="AI59" s="48">
        <f t="shared" si="3"/>
        <v>0</v>
      </c>
      <c r="AK59" s="50"/>
    </row>
    <row r="60" spans="1:41" x14ac:dyDescent="0.25">
      <c r="A60" s="53" t="s">
        <v>68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/>
      <c r="P60" s="45"/>
      <c r="Q60" s="45">
        <v>11.3</v>
      </c>
      <c r="R60" s="45">
        <v>11.3</v>
      </c>
      <c r="S60" s="45">
        <v>11.3</v>
      </c>
      <c r="T60" s="45">
        <v>11.3</v>
      </c>
      <c r="U60" s="45">
        <v>11.3</v>
      </c>
      <c r="V60" s="45">
        <v>2.9</v>
      </c>
      <c r="W60" s="45">
        <v>2.9</v>
      </c>
      <c r="X60" s="45">
        <v>2.9</v>
      </c>
      <c r="Y60" s="45">
        <v>2.9</v>
      </c>
      <c r="Z60" s="45">
        <v>2.9</v>
      </c>
      <c r="AA60" s="45">
        <v>0</v>
      </c>
      <c r="AB60" s="45">
        <v>0</v>
      </c>
      <c r="AC60" s="45">
        <v>0</v>
      </c>
      <c r="AD60" s="45"/>
      <c r="AE60" s="45">
        <v>0</v>
      </c>
      <c r="AF60" s="45">
        <v>0</v>
      </c>
      <c r="AG60" s="54">
        <v>25</v>
      </c>
      <c r="AH60" s="47">
        <f t="shared" si="2"/>
        <v>11.3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/>
      <c r="P61" s="64"/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/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/>
      <c r="P62" s="64"/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/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4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8.1999999999999993</v>
      </c>
      <c r="C63" s="64">
        <v>8.1</v>
      </c>
      <c r="D63" s="64">
        <v>8.1</v>
      </c>
      <c r="E63" s="64">
        <v>8.1</v>
      </c>
      <c r="F63" s="64">
        <v>8.1</v>
      </c>
      <c r="G63" s="64">
        <v>8.1</v>
      </c>
      <c r="H63" s="64">
        <v>8.1</v>
      </c>
      <c r="I63" s="64">
        <v>8.1</v>
      </c>
      <c r="J63" s="64">
        <v>8.1</v>
      </c>
      <c r="K63" s="64">
        <v>8.1</v>
      </c>
      <c r="L63" s="64">
        <v>8.1</v>
      </c>
      <c r="M63" s="64">
        <v>8.8000000000000007</v>
      </c>
      <c r="N63" s="64">
        <v>8.8000000000000007</v>
      </c>
      <c r="O63" s="64"/>
      <c r="P63" s="64"/>
      <c r="Q63" s="64">
        <v>8.8000000000000007</v>
      </c>
      <c r="R63" s="64">
        <v>8.8000000000000007</v>
      </c>
      <c r="S63" s="64">
        <v>8.8000000000000007</v>
      </c>
      <c r="T63" s="64">
        <v>8.8000000000000007</v>
      </c>
      <c r="U63" s="64">
        <v>8.8000000000000007</v>
      </c>
      <c r="V63" s="64">
        <v>8.8000000000000007</v>
      </c>
      <c r="W63" s="64">
        <v>8.8000000000000007</v>
      </c>
      <c r="X63" s="64">
        <v>8.8000000000000007</v>
      </c>
      <c r="Y63" s="64">
        <v>8.8000000000000007</v>
      </c>
      <c r="Z63" s="64">
        <v>8.8000000000000007</v>
      </c>
      <c r="AA63" s="64">
        <v>9.8000000000000007</v>
      </c>
      <c r="AB63" s="64">
        <v>10.199999999999999</v>
      </c>
      <c r="AC63" s="64">
        <v>10.199999999999999</v>
      </c>
      <c r="AD63" s="64"/>
      <c r="AE63" s="64">
        <v>9.1999999999999993</v>
      </c>
      <c r="AF63" s="64">
        <v>9.1999999999999993</v>
      </c>
      <c r="AG63" s="54">
        <v>14.1</v>
      </c>
      <c r="AH63" s="47">
        <f t="shared" si="2"/>
        <v>10.199999999999999</v>
      </c>
      <c r="AI63" s="48">
        <f t="shared" si="3"/>
        <v>8.1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7.3</v>
      </c>
      <c r="C64" s="64">
        <v>7.1</v>
      </c>
      <c r="D64" s="64">
        <v>7.1</v>
      </c>
      <c r="E64" s="64">
        <v>7.1</v>
      </c>
      <c r="F64" s="64">
        <v>7.1</v>
      </c>
      <c r="G64" s="64">
        <v>7.1</v>
      </c>
      <c r="H64" s="64">
        <v>7.1</v>
      </c>
      <c r="I64" s="64">
        <v>7.1</v>
      </c>
      <c r="J64" s="64">
        <v>7.1</v>
      </c>
      <c r="K64" s="64">
        <v>7.1</v>
      </c>
      <c r="L64" s="64">
        <v>7.1</v>
      </c>
      <c r="M64" s="64">
        <v>7.2</v>
      </c>
      <c r="N64" s="64">
        <v>7.2</v>
      </c>
      <c r="O64" s="64"/>
      <c r="P64" s="64"/>
      <c r="Q64" s="64">
        <v>7.2</v>
      </c>
      <c r="R64" s="64">
        <v>7.2</v>
      </c>
      <c r="S64" s="64">
        <v>7.2</v>
      </c>
      <c r="T64" s="64">
        <v>7.2</v>
      </c>
      <c r="U64" s="64">
        <v>7.2</v>
      </c>
      <c r="V64" s="64">
        <v>7.2</v>
      </c>
      <c r="W64" s="64">
        <v>7.2</v>
      </c>
      <c r="X64" s="64">
        <v>7.2</v>
      </c>
      <c r="Y64" s="64">
        <v>7.2</v>
      </c>
      <c r="Z64" s="64">
        <v>7.2</v>
      </c>
      <c r="AA64" s="64">
        <v>13.8</v>
      </c>
      <c r="AB64" s="64">
        <v>13.7</v>
      </c>
      <c r="AC64" s="64">
        <v>13.7</v>
      </c>
      <c r="AD64" s="64"/>
      <c r="AE64" s="64">
        <v>13.8</v>
      </c>
      <c r="AF64" s="64">
        <v>13.8</v>
      </c>
      <c r="AG64" s="54">
        <v>14</v>
      </c>
      <c r="AH64" s="47">
        <f t="shared" si="2"/>
        <v>13.8</v>
      </c>
      <c r="AI64" s="48">
        <f t="shared" si="3"/>
        <v>7.1</v>
      </c>
      <c r="AK64" s="50"/>
    </row>
    <row r="65" spans="1:40" x14ac:dyDescent="0.25">
      <c r="A65" s="53" t="s">
        <v>73</v>
      </c>
      <c r="B65" s="64">
        <v>9.3000000000000007</v>
      </c>
      <c r="C65" s="64">
        <v>9.3000000000000007</v>
      </c>
      <c r="D65" s="64">
        <v>9.3000000000000007</v>
      </c>
      <c r="E65" s="64">
        <v>9.3000000000000007</v>
      </c>
      <c r="F65" s="64">
        <v>9.3000000000000007</v>
      </c>
      <c r="G65" s="64">
        <v>9.3000000000000007</v>
      </c>
      <c r="H65" s="64">
        <v>9.3000000000000007</v>
      </c>
      <c r="I65" s="64">
        <v>9.3000000000000007</v>
      </c>
      <c r="J65" s="64">
        <v>9.3000000000000007</v>
      </c>
      <c r="K65" s="64">
        <v>9.3000000000000007</v>
      </c>
      <c r="L65" s="64">
        <v>9.3000000000000007</v>
      </c>
      <c r="M65" s="64">
        <v>9.3000000000000007</v>
      </c>
      <c r="N65" s="64">
        <v>9.3000000000000007</v>
      </c>
      <c r="O65" s="64"/>
      <c r="P65" s="64"/>
      <c r="Q65" s="64">
        <v>9.3000000000000007</v>
      </c>
      <c r="R65" s="64">
        <v>9.3000000000000007</v>
      </c>
      <c r="S65" s="64">
        <v>9.3000000000000007</v>
      </c>
      <c r="T65" s="64">
        <v>9.3000000000000007</v>
      </c>
      <c r="U65" s="64">
        <v>9.3000000000000007</v>
      </c>
      <c r="V65" s="64">
        <v>9.3000000000000007</v>
      </c>
      <c r="W65" s="64">
        <v>9.3000000000000007</v>
      </c>
      <c r="X65" s="64">
        <v>9.3000000000000007</v>
      </c>
      <c r="Y65" s="64">
        <v>9.3000000000000007</v>
      </c>
      <c r="Z65" s="64">
        <v>9.3000000000000007</v>
      </c>
      <c r="AA65" s="64">
        <v>9.3000000000000007</v>
      </c>
      <c r="AB65" s="64">
        <v>6.3</v>
      </c>
      <c r="AC65" s="64">
        <v>6.3</v>
      </c>
      <c r="AD65" s="64"/>
      <c r="AE65" s="64">
        <v>6.5</v>
      </c>
      <c r="AF65" s="64">
        <v>6.5</v>
      </c>
      <c r="AG65" s="54">
        <v>10.050000000000001</v>
      </c>
      <c r="AH65" s="47">
        <f t="shared" si="2"/>
        <v>9.3000000000000007</v>
      </c>
      <c r="AI65" s="48">
        <f t="shared" si="3"/>
        <v>6.3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/>
      <c r="P66" s="64"/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/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4.54</v>
      </c>
      <c r="F67" s="71">
        <v>5.54</v>
      </c>
      <c r="G67" s="71">
        <v>6.54</v>
      </c>
      <c r="H67" s="71">
        <v>7.54</v>
      </c>
      <c r="I67" s="71">
        <v>8.5399999999999991</v>
      </c>
      <c r="J67" s="71">
        <v>8.5399999999999991</v>
      </c>
      <c r="K67" s="71">
        <v>8.5399999999999991</v>
      </c>
      <c r="L67" s="71">
        <v>8.5399999999999991</v>
      </c>
      <c r="M67" s="71">
        <v>8.5399999999999991</v>
      </c>
      <c r="N67" s="71">
        <v>8.5399999999999991</v>
      </c>
      <c r="O67" s="71">
        <v>8.5399999999999991</v>
      </c>
      <c r="P67" s="71">
        <v>8.5399999999999991</v>
      </c>
      <c r="Q67" s="71">
        <v>8.5399999999999991</v>
      </c>
      <c r="R67" s="71">
        <v>8.5399999999999991</v>
      </c>
      <c r="S67" s="71">
        <v>8.5399999999999991</v>
      </c>
      <c r="T67" s="71">
        <v>8.5399999999999991</v>
      </c>
      <c r="U67" s="71">
        <v>8.5399999999999991</v>
      </c>
      <c r="V67" s="71">
        <v>8.5399999999999991</v>
      </c>
      <c r="W67" s="71">
        <v>8.5399999999999991</v>
      </c>
      <c r="X67" s="71">
        <v>8.5399999999999991</v>
      </c>
      <c r="Y67" s="71">
        <v>8.5399999999999991</v>
      </c>
      <c r="Z67" s="71">
        <v>8.5399999999999991</v>
      </c>
      <c r="AA67" s="71">
        <v>8.5399999999999991</v>
      </c>
      <c r="AB67" s="71">
        <v>9.5399999999999991</v>
      </c>
      <c r="AC67" s="71">
        <v>9.5399999999999991</v>
      </c>
      <c r="AD67" s="71">
        <v>11.54</v>
      </c>
      <c r="AE67" s="71">
        <v>13.54</v>
      </c>
      <c r="AF67" s="71">
        <v>13.54</v>
      </c>
      <c r="AG67" s="72">
        <f>AG235</f>
        <v>8.56</v>
      </c>
      <c r="AH67" s="47">
        <f t="shared" si="2"/>
        <v>13.54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v>196.64</v>
      </c>
      <c r="C68" s="60">
        <f t="shared" ref="C68:AG68" si="18">SUM(C55:C67)</f>
        <v>323.24000000000007</v>
      </c>
      <c r="D68" s="60">
        <f t="shared" si="18"/>
        <v>323.24000000000007</v>
      </c>
      <c r="E68" s="60">
        <f t="shared" ref="E68:I68" si="19">SUM(E55:E67)</f>
        <v>308.44000000000005</v>
      </c>
      <c r="F68" s="60">
        <f t="shared" si="19"/>
        <v>309.44000000000005</v>
      </c>
      <c r="G68" s="60">
        <f t="shared" si="19"/>
        <v>310.44000000000005</v>
      </c>
      <c r="H68" s="60">
        <f t="shared" si="19"/>
        <v>311.44000000000005</v>
      </c>
      <c r="I68" s="60">
        <f t="shared" si="19"/>
        <v>342.44000000000005</v>
      </c>
      <c r="J68" s="60">
        <f t="shared" ref="J68" si="20">SUM(J55:J67)</f>
        <v>343.04000000000008</v>
      </c>
      <c r="K68" s="60">
        <f t="shared" ref="K68:L68" si="21">SUM(K55:K67)</f>
        <v>343.04000000000008</v>
      </c>
      <c r="L68" s="60">
        <f t="shared" si="21"/>
        <v>343.04000000000008</v>
      </c>
      <c r="M68" s="60">
        <f t="shared" ref="M68:Q68" si="22">SUM(M55:M67)</f>
        <v>299.84000000000003</v>
      </c>
      <c r="N68" s="60">
        <f t="shared" si="22"/>
        <v>353.94</v>
      </c>
      <c r="O68" s="60">
        <f t="shared" si="22"/>
        <v>8.5399999999999991</v>
      </c>
      <c r="P68" s="60">
        <f t="shared" si="22"/>
        <v>8.5399999999999991</v>
      </c>
      <c r="Q68" s="60">
        <f t="shared" si="22"/>
        <v>375.34000000000003</v>
      </c>
      <c r="R68" s="60">
        <f t="shared" ref="R68:AA68" si="23">SUM(R55:R67)</f>
        <v>375.34000000000003</v>
      </c>
      <c r="S68" s="60">
        <f t="shared" si="23"/>
        <v>384.84000000000003</v>
      </c>
      <c r="T68" s="60">
        <f t="shared" si="23"/>
        <v>384.84000000000003</v>
      </c>
      <c r="U68" s="60">
        <f t="shared" si="23"/>
        <v>384.84000000000003</v>
      </c>
      <c r="V68" s="60">
        <f t="shared" si="23"/>
        <v>401.23999999999995</v>
      </c>
      <c r="W68" s="60">
        <f t="shared" si="23"/>
        <v>401.23999999999995</v>
      </c>
      <c r="X68" s="60">
        <f t="shared" si="23"/>
        <v>401.23999999999995</v>
      </c>
      <c r="Y68" s="60">
        <f t="shared" si="23"/>
        <v>401.23999999999995</v>
      </c>
      <c r="Z68" s="60">
        <f t="shared" si="23"/>
        <v>401.23999999999995</v>
      </c>
      <c r="AA68" s="60">
        <f t="shared" si="23"/>
        <v>412.34000000000003</v>
      </c>
      <c r="AB68" s="60">
        <f t="shared" ref="AB68:AE68" si="24">SUM(AB55:AB67)</f>
        <v>414.14</v>
      </c>
      <c r="AC68" s="60">
        <f t="shared" si="24"/>
        <v>414.14</v>
      </c>
      <c r="AD68" s="60">
        <f t="shared" si="24"/>
        <v>11.54</v>
      </c>
      <c r="AE68" s="60">
        <f t="shared" si="24"/>
        <v>417.64</v>
      </c>
      <c r="AF68" s="60">
        <f t="shared" ref="AF68" si="25">SUM(AF55:AF67)</f>
        <v>417.64</v>
      </c>
      <c r="AG68" s="61">
        <f t="shared" si="18"/>
        <v>489.91</v>
      </c>
      <c r="AH68" s="47">
        <f t="shared" si="2"/>
        <v>417.64</v>
      </c>
      <c r="AI68" s="48">
        <f t="shared" si="3"/>
        <v>8.5399999999999991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/>
      <c r="P69" s="45"/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/>
      <c r="X69" s="45"/>
      <c r="Y69" s="45"/>
      <c r="Z69" s="45"/>
      <c r="AA69" s="45"/>
      <c r="AB69" s="45">
        <v>0</v>
      </c>
      <c r="AC69" s="45"/>
      <c r="AD69" s="45"/>
      <c r="AE69" s="45"/>
      <c r="AF69" s="45">
        <v>0</v>
      </c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/>
      <c r="P70" s="64"/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/>
      <c r="X70" s="64"/>
      <c r="Y70" s="64"/>
      <c r="Z70" s="64"/>
      <c r="AA70" s="64"/>
      <c r="AB70" s="64">
        <v>0</v>
      </c>
      <c r="AC70" s="64"/>
      <c r="AD70" s="64"/>
      <c r="AE70" s="64"/>
      <c r="AF70" s="64">
        <v>0</v>
      </c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66">
        <v>0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/>
      <c r="P71" s="66"/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/>
      <c r="X71" s="66"/>
      <c r="Y71" s="66"/>
      <c r="Z71" s="66"/>
      <c r="AA71" s="66"/>
      <c r="AB71" s="66">
        <v>0</v>
      </c>
      <c r="AC71" s="66"/>
      <c r="AD71" s="66"/>
      <c r="AE71" s="66"/>
      <c r="AF71" s="66">
        <v>0</v>
      </c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v>0</v>
      </c>
      <c r="C72" s="60">
        <f t="shared" ref="C72:D72" si="26">C69+C70+C71</f>
        <v>0</v>
      </c>
      <c r="D72" s="60">
        <f t="shared" si="26"/>
        <v>0</v>
      </c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60</v>
      </c>
      <c r="C73" s="45">
        <v>59</v>
      </c>
      <c r="D73" s="45">
        <v>45</v>
      </c>
      <c r="E73" s="45">
        <v>28.5</v>
      </c>
      <c r="F73" s="45">
        <v>28.5</v>
      </c>
      <c r="G73" s="45">
        <v>28.5</v>
      </c>
      <c r="H73" s="45">
        <v>48</v>
      </c>
      <c r="I73" s="45">
        <v>52.5</v>
      </c>
      <c r="J73" s="45">
        <v>39</v>
      </c>
      <c r="K73" s="45">
        <v>39</v>
      </c>
      <c r="L73" s="45">
        <v>39</v>
      </c>
      <c r="M73" s="45">
        <v>36.200000000000003</v>
      </c>
      <c r="N73" s="45">
        <v>45</v>
      </c>
      <c r="O73" s="45"/>
      <c r="P73" s="45"/>
      <c r="Q73" s="45">
        <v>67</v>
      </c>
      <c r="R73" s="45">
        <v>64</v>
      </c>
      <c r="S73" s="45">
        <v>57.6</v>
      </c>
      <c r="T73" s="45">
        <v>71</v>
      </c>
      <c r="U73" s="45">
        <v>70.7</v>
      </c>
      <c r="V73" s="45">
        <v>68</v>
      </c>
      <c r="W73" s="45">
        <v>38.299999999999997</v>
      </c>
      <c r="X73" s="45">
        <v>28.5</v>
      </c>
      <c r="Y73" s="45">
        <v>24.2</v>
      </c>
      <c r="Z73" s="45">
        <v>23</v>
      </c>
      <c r="AA73" s="45">
        <v>21.8</v>
      </c>
      <c r="AB73" s="45">
        <v>44.8</v>
      </c>
      <c r="AC73" s="45">
        <v>44.8</v>
      </c>
      <c r="AD73" s="45"/>
      <c r="AE73" s="45">
        <v>65</v>
      </c>
      <c r="AF73" s="45">
        <v>48.7</v>
      </c>
      <c r="AG73" s="51"/>
      <c r="AH73" s="47">
        <f t="shared" si="2"/>
        <v>71</v>
      </c>
      <c r="AI73" s="48">
        <f t="shared" si="3"/>
        <v>21.8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/>
      <c r="P74" s="64"/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/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-335</v>
      </c>
      <c r="C75" s="64">
        <v>-320</v>
      </c>
      <c r="D75" s="64">
        <v>-317</v>
      </c>
      <c r="E75" s="64">
        <v>-317</v>
      </c>
      <c r="F75" s="64">
        <v>-317</v>
      </c>
      <c r="G75" s="64">
        <v>-317</v>
      </c>
      <c r="H75" s="64">
        <v>-317</v>
      </c>
      <c r="I75" s="64">
        <v>-344</v>
      </c>
      <c r="J75" s="64">
        <v>-320</v>
      </c>
      <c r="K75" s="64">
        <v>-320</v>
      </c>
      <c r="L75" s="64">
        <v>-260</v>
      </c>
      <c r="M75" s="64">
        <v>-309</v>
      </c>
      <c r="N75" s="64">
        <v>-301</v>
      </c>
      <c r="O75" s="64"/>
      <c r="P75" s="64"/>
      <c r="Q75" s="64">
        <v>-252</v>
      </c>
      <c r="R75" s="64">
        <v>-268</v>
      </c>
      <c r="S75" s="64">
        <v>-222.5</v>
      </c>
      <c r="T75" s="64">
        <v>-230</v>
      </c>
      <c r="U75" s="64">
        <v>-263</v>
      </c>
      <c r="V75" s="64">
        <v>-299.10000000000002</v>
      </c>
      <c r="W75" s="64">
        <v>-333</v>
      </c>
      <c r="X75" s="64">
        <v>-324</v>
      </c>
      <c r="Y75" s="64">
        <v>-403</v>
      </c>
      <c r="Z75" s="64">
        <v>-382</v>
      </c>
      <c r="AA75" s="64">
        <v>-279</v>
      </c>
      <c r="AB75" s="64">
        <v>-270.3</v>
      </c>
      <c r="AC75" s="64">
        <v>-270.3</v>
      </c>
      <c r="AD75" s="64"/>
      <c r="AE75" s="64">
        <v>297</v>
      </c>
      <c r="AF75" s="64">
        <v>-301</v>
      </c>
      <c r="AG75" s="74"/>
      <c r="AH75" s="47">
        <f t="shared" si="2"/>
        <v>297</v>
      </c>
      <c r="AI75" s="48">
        <f t="shared" si="3"/>
        <v>-403</v>
      </c>
      <c r="AK75" s="50"/>
    </row>
    <row r="76" spans="1:40" x14ac:dyDescent="0.25">
      <c r="A76" s="53" t="s">
        <v>84</v>
      </c>
      <c r="B76" s="75">
        <v>0</v>
      </c>
      <c r="C76" s="75">
        <v>0</v>
      </c>
      <c r="D76" s="75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/>
      <c r="P76" s="75"/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/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75"/>
      <c r="P77" s="45"/>
      <c r="Q77" s="75">
        <v>0</v>
      </c>
      <c r="R77" s="75">
        <v>0</v>
      </c>
      <c r="S77" s="75">
        <v>0</v>
      </c>
      <c r="T77" s="75">
        <v>0</v>
      </c>
      <c r="U77" s="7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/>
      <c r="AE77" s="45">
        <v>0</v>
      </c>
      <c r="AF77" s="45">
        <v>0</v>
      </c>
      <c r="AG77" s="74"/>
      <c r="AH77" s="47">
        <f t="shared" ref="AH77:AH120" si="27">MAX(B77:AF77)</f>
        <v>0</v>
      </c>
      <c r="AI77" s="48">
        <f t="shared" ref="AI77:AI120" si="28">MIN(B77:AF77)</f>
        <v>0</v>
      </c>
      <c r="AK77" s="50"/>
    </row>
    <row r="78" spans="1:40" x14ac:dyDescent="0.25">
      <c r="A78" s="53" t="s">
        <v>86</v>
      </c>
      <c r="B78" s="76">
        <v>5</v>
      </c>
      <c r="C78" s="76">
        <v>5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5"/>
      <c r="P78" s="76"/>
      <c r="Q78" s="75">
        <v>0</v>
      </c>
      <c r="R78" s="75">
        <v>0</v>
      </c>
      <c r="S78" s="75">
        <v>0</v>
      </c>
      <c r="T78" s="75">
        <v>0</v>
      </c>
      <c r="U78" s="75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45">
        <v>0</v>
      </c>
      <c r="AC78" s="45">
        <v>0</v>
      </c>
      <c r="AD78" s="76"/>
      <c r="AE78" s="76">
        <v>0</v>
      </c>
      <c r="AF78" s="76">
        <v>0</v>
      </c>
      <c r="AG78" s="74"/>
      <c r="AH78" s="47">
        <f t="shared" si="27"/>
        <v>5</v>
      </c>
      <c r="AI78" s="48">
        <f t="shared" si="28"/>
        <v>0</v>
      </c>
      <c r="AK78" s="50"/>
    </row>
    <row r="79" spans="1:40" ht="15.75" thickBot="1" x14ac:dyDescent="0.3">
      <c r="A79" s="53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5"/>
      <c r="P79" s="76"/>
      <c r="Q79" s="75">
        <v>0</v>
      </c>
      <c r="R79" s="75">
        <v>0</v>
      </c>
      <c r="S79" s="75">
        <v>0</v>
      </c>
      <c r="T79" s="75">
        <v>0</v>
      </c>
      <c r="U79" s="75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45">
        <v>0</v>
      </c>
      <c r="AC79" s="45">
        <v>0</v>
      </c>
      <c r="AD79" s="76"/>
      <c r="AE79" s="76">
        <v>0</v>
      </c>
      <c r="AF79" s="76">
        <v>0</v>
      </c>
      <c r="AG79" s="74"/>
      <c r="AH79" s="47">
        <f t="shared" si="27"/>
        <v>0</v>
      </c>
      <c r="AI79" s="48">
        <f t="shared" si="28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76">
        <v>0</v>
      </c>
      <c r="C80" s="76">
        <v>0</v>
      </c>
      <c r="D80" s="76">
        <v>0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76">
        <v>0</v>
      </c>
      <c r="K80" s="76">
        <v>0</v>
      </c>
      <c r="L80" s="76">
        <v>0</v>
      </c>
      <c r="M80" s="76">
        <v>0</v>
      </c>
      <c r="N80" s="76">
        <v>0</v>
      </c>
      <c r="O80" s="75"/>
      <c r="P80" s="76"/>
      <c r="Q80" s="75">
        <v>0</v>
      </c>
      <c r="R80" s="75">
        <v>0</v>
      </c>
      <c r="S80" s="75">
        <v>0</v>
      </c>
      <c r="T80" s="75">
        <v>0</v>
      </c>
      <c r="U80" s="75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45">
        <v>0</v>
      </c>
      <c r="AC80" s="45">
        <v>0</v>
      </c>
      <c r="AD80" s="76"/>
      <c r="AE80" s="76">
        <v>0</v>
      </c>
      <c r="AF80" s="76">
        <v>0</v>
      </c>
      <c r="AG80" s="74"/>
      <c r="AH80" s="47">
        <f t="shared" si="27"/>
        <v>0</v>
      </c>
      <c r="AI80" s="48">
        <f t="shared" si="28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5"/>
      <c r="P81" s="76"/>
      <c r="Q81" s="75">
        <v>0</v>
      </c>
      <c r="R81" s="75">
        <v>0</v>
      </c>
      <c r="S81" s="75">
        <v>0</v>
      </c>
      <c r="T81" s="75">
        <v>0</v>
      </c>
      <c r="U81" s="75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45">
        <v>0</v>
      </c>
      <c r="AC81" s="45">
        <v>0</v>
      </c>
      <c r="AD81" s="76"/>
      <c r="AE81" s="76">
        <v>0</v>
      </c>
      <c r="AF81" s="76">
        <v>0</v>
      </c>
      <c r="AG81" s="74"/>
      <c r="AH81" s="47">
        <f t="shared" si="27"/>
        <v>0</v>
      </c>
      <c r="AI81" s="48">
        <f t="shared" si="28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0</v>
      </c>
      <c r="N82" s="76">
        <v>0</v>
      </c>
      <c r="O82" s="75"/>
      <c r="P82" s="76"/>
      <c r="Q82" s="75">
        <v>0</v>
      </c>
      <c r="R82" s="75">
        <v>0</v>
      </c>
      <c r="S82" s="75">
        <v>0</v>
      </c>
      <c r="T82" s="75">
        <v>0</v>
      </c>
      <c r="U82" s="75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45">
        <v>0</v>
      </c>
      <c r="AC82" s="45">
        <v>0</v>
      </c>
      <c r="AD82" s="76"/>
      <c r="AE82" s="76">
        <v>0</v>
      </c>
      <c r="AF82" s="76">
        <v>0</v>
      </c>
      <c r="AG82" s="84"/>
      <c r="AH82" s="47">
        <f t="shared" si="27"/>
        <v>0</v>
      </c>
      <c r="AI82" s="48">
        <f t="shared" si="28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5"/>
      <c r="P83" s="76"/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45">
        <v>0</v>
      </c>
      <c r="AC83" s="45">
        <v>0</v>
      </c>
      <c r="AD83" s="76"/>
      <c r="AE83" s="76">
        <v>0</v>
      </c>
      <c r="AF83" s="76">
        <v>0</v>
      </c>
      <c r="AG83" s="84"/>
      <c r="AH83" s="47">
        <f t="shared" si="27"/>
        <v>0</v>
      </c>
      <c r="AI83" s="48">
        <f t="shared" si="28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v>39</v>
      </c>
      <c r="C84" s="60">
        <f t="shared" ref="C84:E84" si="29">SUMIF(C73:C83,"&gt;0")</f>
        <v>64</v>
      </c>
      <c r="D84" s="60">
        <f t="shared" si="29"/>
        <v>45</v>
      </c>
      <c r="E84" s="60">
        <f t="shared" si="29"/>
        <v>28.5</v>
      </c>
      <c r="F84" s="60">
        <f t="shared" ref="F84:I84" si="30">SUMIF(F73:F83,"&gt;0")</f>
        <v>28.5</v>
      </c>
      <c r="G84" s="60">
        <f t="shared" si="30"/>
        <v>28.5</v>
      </c>
      <c r="H84" s="60">
        <f t="shared" si="30"/>
        <v>48</v>
      </c>
      <c r="I84" s="60">
        <f t="shared" si="30"/>
        <v>52.5</v>
      </c>
      <c r="J84" s="60">
        <f t="shared" ref="J84:L84" si="31">SUMIF(J73:J83,"&gt;0")</f>
        <v>39</v>
      </c>
      <c r="K84" s="60">
        <f t="shared" si="31"/>
        <v>39</v>
      </c>
      <c r="L84" s="60">
        <f t="shared" si="31"/>
        <v>39</v>
      </c>
      <c r="M84" s="60">
        <f t="shared" ref="M84:AG84" si="32">SUMIF(M73:M83,"&gt;0")</f>
        <v>36.200000000000003</v>
      </c>
      <c r="N84" s="60">
        <f t="shared" si="32"/>
        <v>45</v>
      </c>
      <c r="O84" s="60">
        <f t="shared" si="32"/>
        <v>0</v>
      </c>
      <c r="P84" s="60">
        <f t="shared" si="32"/>
        <v>0</v>
      </c>
      <c r="Q84" s="60">
        <f t="shared" si="32"/>
        <v>67</v>
      </c>
      <c r="R84" s="60">
        <f t="shared" si="32"/>
        <v>64</v>
      </c>
      <c r="S84" s="60">
        <f t="shared" si="32"/>
        <v>57.6</v>
      </c>
      <c r="T84" s="60">
        <f t="shared" si="32"/>
        <v>71</v>
      </c>
      <c r="U84" s="60">
        <f t="shared" si="32"/>
        <v>70.7</v>
      </c>
      <c r="V84" s="60">
        <f t="shared" si="32"/>
        <v>68</v>
      </c>
      <c r="W84" s="60">
        <f t="shared" si="32"/>
        <v>38.299999999999997</v>
      </c>
      <c r="X84" s="60">
        <f t="shared" si="32"/>
        <v>28.5</v>
      </c>
      <c r="Y84" s="60">
        <f t="shared" si="32"/>
        <v>24.2</v>
      </c>
      <c r="Z84" s="60">
        <f t="shared" si="32"/>
        <v>23</v>
      </c>
      <c r="AA84" s="60">
        <f t="shared" si="32"/>
        <v>21.8</v>
      </c>
      <c r="AB84" s="60">
        <f t="shared" si="32"/>
        <v>44.8</v>
      </c>
      <c r="AC84" s="60">
        <f t="shared" si="32"/>
        <v>44.8</v>
      </c>
      <c r="AD84" s="60">
        <f t="shared" si="32"/>
        <v>0</v>
      </c>
      <c r="AE84" s="60">
        <f t="shared" si="32"/>
        <v>362</v>
      </c>
      <c r="AF84" s="60">
        <f t="shared" si="32"/>
        <v>48.7</v>
      </c>
      <c r="AG84" s="60">
        <f t="shared" si="32"/>
        <v>0</v>
      </c>
      <c r="AH84" s="47">
        <f t="shared" si="27"/>
        <v>362</v>
      </c>
      <c r="AI84" s="48">
        <f t="shared" si="28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/>
      <c r="O85" s="75"/>
      <c r="P85" s="75"/>
      <c r="Q85" s="75">
        <v>0</v>
      </c>
      <c r="R85" s="75"/>
      <c r="S85" s="75">
        <v>0</v>
      </c>
      <c r="T85" s="75"/>
      <c r="U85" s="75"/>
      <c r="V85" s="75">
        <v>0</v>
      </c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89">
        <v>39</v>
      </c>
      <c r="AH85" s="47">
        <f t="shared" si="27"/>
        <v>0</v>
      </c>
      <c r="AI85" s="48">
        <f t="shared" si="28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/>
      <c r="O86" s="76"/>
      <c r="P86" s="76"/>
      <c r="Q86" s="76">
        <v>0</v>
      </c>
      <c r="R86" s="76"/>
      <c r="S86" s="76">
        <v>0</v>
      </c>
      <c r="T86" s="76"/>
      <c r="U86" s="76"/>
      <c r="V86" s="76">
        <v>0</v>
      </c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4">
        <v>14.4</v>
      </c>
      <c r="AH86" s="47">
        <f t="shared" si="27"/>
        <v>0</v>
      </c>
      <c r="AI86" s="48">
        <f t="shared" si="28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/>
      <c r="O87" s="93"/>
      <c r="P87" s="93"/>
      <c r="Q87" s="93">
        <v>0</v>
      </c>
      <c r="R87" s="93"/>
      <c r="S87" s="93">
        <v>0</v>
      </c>
      <c r="T87" s="93"/>
      <c r="U87" s="93"/>
      <c r="V87" s="93">
        <v>0</v>
      </c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84">
        <v>2</v>
      </c>
      <c r="AH87" s="47">
        <f t="shared" si="27"/>
        <v>0</v>
      </c>
      <c r="AI87" s="48">
        <f t="shared" si="28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27"/>
        <v>0</v>
      </c>
      <c r="AI88" s="48">
        <f t="shared" si="28"/>
        <v>0</v>
      </c>
    </row>
    <row r="89" spans="1:40" ht="15.75" thickBot="1" x14ac:dyDescent="0.3">
      <c r="A89" s="73" t="s">
        <v>100</v>
      </c>
      <c r="B89" s="94">
        <v>1719.04</v>
      </c>
      <c r="C89" s="94">
        <f t="shared" ref="C89:AG89" si="33">C50+C54+C72+C68+C84+C88</f>
        <v>1908.34</v>
      </c>
      <c r="D89" s="94">
        <f t="shared" si="33"/>
        <v>1873.34</v>
      </c>
      <c r="E89" s="94">
        <f t="shared" si="33"/>
        <v>1856.94</v>
      </c>
      <c r="F89" s="94">
        <f t="shared" ref="F89:G89" si="34">F50+F54+F72+F68+F84+F88</f>
        <v>1857.94</v>
      </c>
      <c r="G89" s="94">
        <f t="shared" si="34"/>
        <v>1858.94</v>
      </c>
      <c r="H89" s="94">
        <f t="shared" ref="H89:K89" si="35">H50+H54+H72+H68+H84+H88</f>
        <v>1879.44</v>
      </c>
      <c r="I89" s="94">
        <f t="shared" si="35"/>
        <v>1819.8400000000001</v>
      </c>
      <c r="J89" s="94">
        <f t="shared" si="35"/>
        <v>1806.94</v>
      </c>
      <c r="K89" s="94">
        <f t="shared" si="35"/>
        <v>1809.44</v>
      </c>
      <c r="L89" s="94">
        <f t="shared" ref="L89:AF89" si="36">L50+L54+L72+L68+L84+L88</f>
        <v>1814.44</v>
      </c>
      <c r="M89" s="94">
        <f t="shared" si="36"/>
        <v>1826.0400000000002</v>
      </c>
      <c r="N89" s="94">
        <f t="shared" si="36"/>
        <v>1888.94</v>
      </c>
      <c r="O89" s="94">
        <f t="shared" si="36"/>
        <v>537.04</v>
      </c>
      <c r="P89" s="94">
        <f t="shared" si="36"/>
        <v>8.5399999999999991</v>
      </c>
      <c r="Q89" s="94">
        <f t="shared" si="36"/>
        <v>1896.3400000000001</v>
      </c>
      <c r="R89" s="94">
        <f t="shared" si="36"/>
        <v>1959.2400000000002</v>
      </c>
      <c r="S89" s="94">
        <f t="shared" si="36"/>
        <v>1965.1399999999999</v>
      </c>
      <c r="T89" s="94">
        <f t="shared" si="36"/>
        <v>1952.54</v>
      </c>
      <c r="U89" s="94">
        <f t="shared" si="36"/>
        <v>2006.4400000000003</v>
      </c>
      <c r="V89" s="94">
        <f t="shared" si="36"/>
        <v>1985.0400000000002</v>
      </c>
      <c r="W89" s="94">
        <f t="shared" si="36"/>
        <v>1955.3400000000001</v>
      </c>
      <c r="X89" s="94">
        <f t="shared" si="36"/>
        <v>1945.5400000000002</v>
      </c>
      <c r="Y89" s="94">
        <f t="shared" si="36"/>
        <v>1961.44</v>
      </c>
      <c r="Z89" s="94">
        <f t="shared" si="36"/>
        <v>1960.24</v>
      </c>
      <c r="AA89" s="94">
        <f t="shared" si="36"/>
        <v>2028.4400000000003</v>
      </c>
      <c r="AB89" s="94">
        <f t="shared" si="36"/>
        <v>2073.04</v>
      </c>
      <c r="AC89" s="94">
        <f t="shared" si="36"/>
        <v>2073.04</v>
      </c>
      <c r="AD89" s="94">
        <f t="shared" si="36"/>
        <v>11.54</v>
      </c>
      <c r="AE89" s="94">
        <f t="shared" si="36"/>
        <v>2359.34</v>
      </c>
      <c r="AF89" s="94">
        <f t="shared" si="36"/>
        <v>1943.24</v>
      </c>
      <c r="AG89" s="61">
        <f t="shared" si="33"/>
        <v>2111.5500000000002</v>
      </c>
      <c r="AH89" s="47">
        <f t="shared" si="27"/>
        <v>2359.34</v>
      </c>
      <c r="AI89" s="48">
        <f t="shared" si="28"/>
        <v>8.5399999999999991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>
        <v>80</v>
      </c>
      <c r="R90" s="96"/>
      <c r="S90" s="96">
        <v>25</v>
      </c>
      <c r="T90" s="96">
        <v>25</v>
      </c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27"/>
        <v>80</v>
      </c>
      <c r="AI90" s="48">
        <f t="shared" si="28"/>
        <v>25</v>
      </c>
    </row>
    <row r="91" spans="1:40" ht="15.75" thickBot="1" x14ac:dyDescent="0.3">
      <c r="A91" s="73" t="s">
        <v>102</v>
      </c>
      <c r="B91" s="94">
        <v>1719.04</v>
      </c>
      <c r="C91" s="94">
        <f t="shared" ref="C91:E91" si="37">C89+C90</f>
        <v>1908.34</v>
      </c>
      <c r="D91" s="94">
        <f t="shared" si="37"/>
        <v>1873.34</v>
      </c>
      <c r="E91" s="94">
        <f t="shared" si="37"/>
        <v>1856.94</v>
      </c>
      <c r="F91" s="94">
        <f t="shared" ref="F91:J91" si="38">F89+F90</f>
        <v>1857.94</v>
      </c>
      <c r="G91" s="94">
        <f t="shared" si="38"/>
        <v>1858.94</v>
      </c>
      <c r="H91" s="94">
        <f t="shared" si="38"/>
        <v>1879.44</v>
      </c>
      <c r="I91" s="94">
        <f t="shared" si="38"/>
        <v>1819.8400000000001</v>
      </c>
      <c r="J91" s="94">
        <f t="shared" si="38"/>
        <v>1806.94</v>
      </c>
      <c r="K91" s="94">
        <f t="shared" ref="K91:L91" si="39">K89+K90</f>
        <v>1809.44</v>
      </c>
      <c r="L91" s="94">
        <f t="shared" si="39"/>
        <v>1814.44</v>
      </c>
      <c r="M91" s="94">
        <f t="shared" ref="M91:AG91" si="40">M89+M90</f>
        <v>1826.0400000000002</v>
      </c>
      <c r="N91" s="94">
        <f t="shared" si="40"/>
        <v>1888.94</v>
      </c>
      <c r="O91" s="94">
        <f t="shared" si="40"/>
        <v>537.04</v>
      </c>
      <c r="P91" s="94">
        <f t="shared" si="40"/>
        <v>8.5399999999999991</v>
      </c>
      <c r="Q91" s="94">
        <f t="shared" si="40"/>
        <v>1976.3400000000001</v>
      </c>
      <c r="R91" s="94">
        <f t="shared" si="40"/>
        <v>1959.2400000000002</v>
      </c>
      <c r="S91" s="94">
        <f t="shared" si="40"/>
        <v>1990.1399999999999</v>
      </c>
      <c r="T91" s="94">
        <f t="shared" si="40"/>
        <v>1977.54</v>
      </c>
      <c r="U91" s="94">
        <f t="shared" si="40"/>
        <v>2006.4400000000003</v>
      </c>
      <c r="V91" s="94">
        <f t="shared" si="40"/>
        <v>1985.0400000000002</v>
      </c>
      <c r="W91" s="94">
        <f t="shared" si="40"/>
        <v>1955.3400000000001</v>
      </c>
      <c r="X91" s="94">
        <f t="shared" si="40"/>
        <v>1945.5400000000002</v>
      </c>
      <c r="Y91" s="94">
        <f t="shared" si="40"/>
        <v>1961.44</v>
      </c>
      <c r="Z91" s="94">
        <f t="shared" si="40"/>
        <v>1960.24</v>
      </c>
      <c r="AA91" s="94">
        <f t="shared" si="40"/>
        <v>2028.4400000000003</v>
      </c>
      <c r="AB91" s="94">
        <f t="shared" si="40"/>
        <v>2073.04</v>
      </c>
      <c r="AC91" s="94">
        <f t="shared" si="40"/>
        <v>2073.04</v>
      </c>
      <c r="AD91" s="94">
        <f t="shared" si="40"/>
        <v>11.54</v>
      </c>
      <c r="AE91" s="94">
        <f t="shared" si="40"/>
        <v>2359.34</v>
      </c>
      <c r="AF91" s="94">
        <f t="shared" si="40"/>
        <v>1943.24</v>
      </c>
      <c r="AG91" s="94">
        <f t="shared" si="40"/>
        <v>2111.5500000000002</v>
      </c>
      <c r="AH91" s="47">
        <f t="shared" si="27"/>
        <v>2359.34</v>
      </c>
      <c r="AI91" s="48">
        <f t="shared" si="28"/>
        <v>8.5399999999999991</v>
      </c>
    </row>
    <row r="92" spans="1:40" ht="15.75" thickBot="1" x14ac:dyDescent="0.3">
      <c r="A92" s="73" t="s">
        <v>103</v>
      </c>
      <c r="B92" s="94">
        <v>1719.04</v>
      </c>
      <c r="C92" s="94">
        <f t="shared" ref="C92:E92" si="41">C91-C99</f>
        <v>1908.34</v>
      </c>
      <c r="D92" s="94">
        <f t="shared" si="41"/>
        <v>1873.34</v>
      </c>
      <c r="E92" s="94">
        <f t="shared" si="41"/>
        <v>1856.94</v>
      </c>
      <c r="F92" s="94">
        <f t="shared" ref="F92:K92" si="42">F91-F99</f>
        <v>1857.94</v>
      </c>
      <c r="G92" s="94">
        <f t="shared" si="42"/>
        <v>1858.94</v>
      </c>
      <c r="H92" s="94">
        <f t="shared" si="42"/>
        <v>1879.44</v>
      </c>
      <c r="I92" s="94">
        <f t="shared" si="42"/>
        <v>1819.8400000000001</v>
      </c>
      <c r="J92" s="94">
        <f t="shared" si="42"/>
        <v>1806.94</v>
      </c>
      <c r="K92" s="94">
        <f t="shared" si="42"/>
        <v>1809.44</v>
      </c>
      <c r="L92" s="94">
        <f t="shared" ref="L92:M92" si="43">L91-L99</f>
        <v>1814.44</v>
      </c>
      <c r="M92" s="94">
        <f t="shared" si="43"/>
        <v>1826.0400000000002</v>
      </c>
      <c r="N92" s="94">
        <f t="shared" ref="N92:AG92" si="44">N91-N99</f>
        <v>1888.94</v>
      </c>
      <c r="O92" s="94">
        <f t="shared" si="44"/>
        <v>537.04</v>
      </c>
      <c r="P92" s="94">
        <f t="shared" si="44"/>
        <v>8.5399999999999991</v>
      </c>
      <c r="Q92" s="94">
        <f t="shared" si="44"/>
        <v>1976.3400000000001</v>
      </c>
      <c r="R92" s="94">
        <f t="shared" si="44"/>
        <v>1959.2400000000002</v>
      </c>
      <c r="S92" s="94">
        <f t="shared" si="44"/>
        <v>1990.1399999999999</v>
      </c>
      <c r="T92" s="94">
        <f t="shared" si="44"/>
        <v>1977.54</v>
      </c>
      <c r="U92" s="94">
        <f t="shared" si="44"/>
        <v>2006.4400000000003</v>
      </c>
      <c r="V92" s="94">
        <f t="shared" si="44"/>
        <v>1985.0400000000002</v>
      </c>
      <c r="W92" s="94">
        <f t="shared" si="44"/>
        <v>1955.3400000000001</v>
      </c>
      <c r="X92" s="94">
        <f t="shared" si="44"/>
        <v>1945.5400000000002</v>
      </c>
      <c r="Y92" s="94">
        <f t="shared" si="44"/>
        <v>1961.44</v>
      </c>
      <c r="Z92" s="94">
        <f t="shared" si="44"/>
        <v>1960.24</v>
      </c>
      <c r="AA92" s="94">
        <f t="shared" si="44"/>
        <v>2028.4400000000003</v>
      </c>
      <c r="AB92" s="94">
        <f t="shared" si="44"/>
        <v>2073.04</v>
      </c>
      <c r="AC92" s="94">
        <f t="shared" si="44"/>
        <v>2073.04</v>
      </c>
      <c r="AD92" s="94">
        <f t="shared" si="44"/>
        <v>11.54</v>
      </c>
      <c r="AE92" s="94">
        <f t="shared" si="44"/>
        <v>2359.34</v>
      </c>
      <c r="AF92" s="94">
        <f t="shared" si="44"/>
        <v>1943.24</v>
      </c>
      <c r="AG92" s="94">
        <f t="shared" si="44"/>
        <v>2111.5500000000002</v>
      </c>
      <c r="AH92" s="47">
        <f t="shared" si="27"/>
        <v>2359.34</v>
      </c>
      <c r="AI92" s="48">
        <f t="shared" si="28"/>
        <v>8.5399999999999991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/>
      <c r="O93" s="75"/>
      <c r="P93" s="75"/>
      <c r="Q93" s="75">
        <v>0</v>
      </c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51"/>
      <c r="AH93" s="47">
        <f t="shared" si="27"/>
        <v>0</v>
      </c>
      <c r="AI93" s="48">
        <f t="shared" si="28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/>
      <c r="O94" s="75"/>
      <c r="P94" s="75"/>
      <c r="Q94" s="75">
        <v>0</v>
      </c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54"/>
      <c r="AH94" s="47">
        <f t="shared" si="27"/>
        <v>0</v>
      </c>
      <c r="AI94" s="48">
        <f t="shared" si="28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/>
      <c r="O95" s="75"/>
      <c r="P95" s="75"/>
      <c r="Q95" s="75">
        <v>0</v>
      </c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97"/>
      <c r="AH95" s="47">
        <f t="shared" si="27"/>
        <v>0</v>
      </c>
      <c r="AI95" s="48">
        <f t="shared" si="28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/>
      <c r="O96" s="75"/>
      <c r="P96" s="75"/>
      <c r="Q96" s="75">
        <v>0</v>
      </c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97"/>
      <c r="AH96" s="47">
        <f t="shared" si="27"/>
        <v>0</v>
      </c>
      <c r="AI96" s="48">
        <f t="shared" si="28"/>
        <v>0</v>
      </c>
    </row>
    <row r="97" spans="1:37" ht="15.75" thickBot="1" x14ac:dyDescent="0.3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/>
      <c r="O97" s="75"/>
      <c r="P97" s="75"/>
      <c r="Q97" s="75">
        <v>0</v>
      </c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97"/>
      <c r="AH97" s="47">
        <f t="shared" si="27"/>
        <v>0</v>
      </c>
      <c r="AI97" s="48">
        <f t="shared" si="28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4">
        <v>0</v>
      </c>
      <c r="L98" s="94">
        <v>0</v>
      </c>
      <c r="M98" s="94">
        <v>0</v>
      </c>
      <c r="N98" s="93"/>
      <c r="O98" s="93"/>
      <c r="P98" s="93"/>
      <c r="Q98" s="93">
        <v>0</v>
      </c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84"/>
      <c r="AH98" s="47">
        <f t="shared" si="27"/>
        <v>0</v>
      </c>
      <c r="AI98" s="48">
        <f t="shared" si="28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27"/>
        <v>0</v>
      </c>
      <c r="AI99" s="48">
        <f t="shared" si="28"/>
        <v>0</v>
      </c>
      <c r="AK99" s="50"/>
    </row>
    <row r="100" spans="1:37" ht="15.75" thickBot="1" x14ac:dyDescent="0.3">
      <c r="A100" s="73" t="s">
        <v>108</v>
      </c>
      <c r="B100" s="60">
        <v>39</v>
      </c>
      <c r="C100" s="60">
        <f t="shared" ref="C100:E100" si="45">C84-C99</f>
        <v>64</v>
      </c>
      <c r="D100" s="60">
        <f t="shared" si="45"/>
        <v>45</v>
      </c>
      <c r="E100" s="60">
        <f t="shared" si="45"/>
        <v>28.5</v>
      </c>
      <c r="F100" s="60">
        <f t="shared" ref="F100:G100" si="46">F84-F99</f>
        <v>28.5</v>
      </c>
      <c r="G100" s="60">
        <f t="shared" si="46"/>
        <v>28.5</v>
      </c>
      <c r="H100" s="60">
        <f t="shared" ref="H100:K100" si="47">H84-H99</f>
        <v>48</v>
      </c>
      <c r="I100" s="60">
        <f t="shared" si="47"/>
        <v>52.5</v>
      </c>
      <c r="J100" s="60">
        <f t="shared" si="47"/>
        <v>39</v>
      </c>
      <c r="K100" s="60">
        <f t="shared" si="47"/>
        <v>39</v>
      </c>
      <c r="L100" s="60">
        <f t="shared" ref="L100:Q100" si="48">L84-L99</f>
        <v>39</v>
      </c>
      <c r="M100" s="60">
        <f t="shared" si="48"/>
        <v>36.200000000000003</v>
      </c>
      <c r="N100" s="60">
        <f t="shared" si="48"/>
        <v>45</v>
      </c>
      <c r="O100" s="60">
        <f t="shared" si="48"/>
        <v>0</v>
      </c>
      <c r="P100" s="60">
        <f t="shared" si="48"/>
        <v>0</v>
      </c>
      <c r="Q100" s="60">
        <f t="shared" si="48"/>
        <v>67</v>
      </c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87"/>
      <c r="AH100" s="47">
        <f t="shared" si="27"/>
        <v>67</v>
      </c>
      <c r="AI100" s="48">
        <f t="shared" si="28"/>
        <v>0</v>
      </c>
    </row>
    <row r="101" spans="1:37" x14ac:dyDescent="0.25">
      <c r="A101" s="99" t="s">
        <v>109</v>
      </c>
      <c r="B101" s="100">
        <v>50.048999999999999</v>
      </c>
      <c r="C101" s="100">
        <v>50.01</v>
      </c>
      <c r="D101" s="100">
        <v>50</v>
      </c>
      <c r="E101" s="100">
        <v>50</v>
      </c>
      <c r="F101" s="100">
        <v>50</v>
      </c>
      <c r="G101" s="100">
        <v>50</v>
      </c>
      <c r="H101" s="100">
        <v>50</v>
      </c>
      <c r="I101" s="100">
        <v>50.05</v>
      </c>
      <c r="J101" s="100">
        <v>50.01</v>
      </c>
      <c r="K101" s="100">
        <v>49.95</v>
      </c>
      <c r="L101" s="100">
        <v>49.97</v>
      </c>
      <c r="M101" s="100">
        <v>50.01</v>
      </c>
      <c r="N101" s="100">
        <v>49.8</v>
      </c>
      <c r="O101" s="100"/>
      <c r="P101" s="100"/>
      <c r="Q101" s="100">
        <v>49.975999999999999</v>
      </c>
      <c r="R101" s="100">
        <v>49.91</v>
      </c>
      <c r="S101" s="100">
        <v>50.048000000000002</v>
      </c>
      <c r="T101" s="100">
        <v>49.906999999999996</v>
      </c>
      <c r="U101" s="100">
        <v>50.048000000000002</v>
      </c>
      <c r="V101" s="100">
        <v>50.023000000000003</v>
      </c>
      <c r="W101" s="100">
        <v>49.97</v>
      </c>
      <c r="X101" s="100">
        <v>49.98</v>
      </c>
      <c r="Y101" s="100">
        <v>50</v>
      </c>
      <c r="Z101" s="100">
        <v>50.051000000000002</v>
      </c>
      <c r="AA101" s="100">
        <v>49.975999999999999</v>
      </c>
      <c r="AB101" s="100">
        <v>50.06</v>
      </c>
      <c r="AC101" s="100">
        <v>50.06</v>
      </c>
      <c r="AD101" s="100"/>
      <c r="AE101" s="100">
        <v>50.07</v>
      </c>
      <c r="AF101" s="100">
        <v>50.07</v>
      </c>
      <c r="AG101" s="101"/>
      <c r="AH101" s="47">
        <f t="shared" si="27"/>
        <v>50.07</v>
      </c>
      <c r="AI101" s="48">
        <f t="shared" si="28"/>
        <v>49.8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27"/>
        <v>0</v>
      </c>
      <c r="AI102" s="48">
        <f t="shared" si="28"/>
        <v>0</v>
      </c>
    </row>
    <row r="103" spans="1:37" x14ac:dyDescent="0.25">
      <c r="A103" s="102" t="s">
        <v>111</v>
      </c>
      <c r="B103" s="64">
        <v>128.6</v>
      </c>
      <c r="C103" s="64">
        <v>127.3</v>
      </c>
      <c r="D103" s="64">
        <v>128</v>
      </c>
      <c r="E103" s="64">
        <v>129.30000000000001</v>
      </c>
      <c r="F103" s="64">
        <v>129.30000000000001</v>
      </c>
      <c r="G103" s="64">
        <v>129.30000000000001</v>
      </c>
      <c r="H103" s="64">
        <v>129.30000000000001</v>
      </c>
      <c r="I103" s="64">
        <v>129.80000000000001</v>
      </c>
      <c r="J103" s="64">
        <v>128.69999999999999</v>
      </c>
      <c r="K103" s="64">
        <v>126.7</v>
      </c>
      <c r="L103" s="64">
        <v>126.5</v>
      </c>
      <c r="M103" s="64">
        <v>124.5</v>
      </c>
      <c r="N103" s="64">
        <v>124.5</v>
      </c>
      <c r="O103" s="64"/>
      <c r="P103" s="64"/>
      <c r="Q103" s="64">
        <v>124.1</v>
      </c>
      <c r="R103" s="64">
        <v>126.1</v>
      </c>
      <c r="S103" s="64">
        <v>124.1</v>
      </c>
      <c r="T103" s="64">
        <v>123.2</v>
      </c>
      <c r="U103" s="64">
        <v>124.7</v>
      </c>
      <c r="V103" s="64">
        <v>125.7</v>
      </c>
      <c r="W103" s="64">
        <v>126.9</v>
      </c>
      <c r="X103" s="64">
        <v>128.69999999999999</v>
      </c>
      <c r="Y103" s="64">
        <v>127.3</v>
      </c>
      <c r="Z103" s="64">
        <v>126.5</v>
      </c>
      <c r="AA103" s="64">
        <v>126</v>
      </c>
      <c r="AB103" s="64">
        <v>128</v>
      </c>
      <c r="AC103" s="64">
        <v>128</v>
      </c>
      <c r="AD103" s="64"/>
      <c r="AE103" s="64">
        <v>128.5</v>
      </c>
      <c r="AF103" s="64">
        <v>128.5</v>
      </c>
      <c r="AG103" s="103"/>
      <c r="AH103" s="47">
        <f t="shared" si="27"/>
        <v>129.80000000000001</v>
      </c>
      <c r="AI103" s="48">
        <f t="shared" si="28"/>
        <v>123.2</v>
      </c>
    </row>
    <row r="104" spans="1:37" x14ac:dyDescent="0.25">
      <c r="A104" s="102" t="s">
        <v>112</v>
      </c>
      <c r="B104" s="64">
        <v>128</v>
      </c>
      <c r="C104" s="64">
        <v>128.5</v>
      </c>
      <c r="D104" s="64">
        <v>129</v>
      </c>
      <c r="E104" s="64">
        <v>129.19999999999999</v>
      </c>
      <c r="F104" s="64">
        <v>129.19999999999999</v>
      </c>
      <c r="G104" s="64">
        <v>129.19999999999999</v>
      </c>
      <c r="H104" s="64">
        <v>129.19999999999999</v>
      </c>
      <c r="I104" s="64">
        <v>127.3</v>
      </c>
      <c r="J104" s="64">
        <v>125.6</v>
      </c>
      <c r="K104" s="64">
        <v>123.3</v>
      </c>
      <c r="L104" s="64">
        <v>128.1</v>
      </c>
      <c r="M104" s="64">
        <v>129.4</v>
      </c>
      <c r="N104" s="64">
        <v>129.4</v>
      </c>
      <c r="O104" s="64"/>
      <c r="P104" s="64"/>
      <c r="Q104" s="64">
        <v>122.9</v>
      </c>
      <c r="R104" s="64">
        <v>122.4</v>
      </c>
      <c r="S104" s="64">
        <v>118.8</v>
      </c>
      <c r="T104" s="64">
        <v>124.2</v>
      </c>
      <c r="U104" s="64">
        <v>125.3</v>
      </c>
      <c r="V104" s="64">
        <v>127.9</v>
      </c>
      <c r="W104" s="64">
        <v>125</v>
      </c>
      <c r="X104" s="64">
        <v>127.9</v>
      </c>
      <c r="Y104" s="64">
        <v>129.1</v>
      </c>
      <c r="Z104" s="64">
        <v>124.7</v>
      </c>
      <c r="AA104" s="64">
        <v>127.2</v>
      </c>
      <c r="AB104" s="64">
        <v>126.9</v>
      </c>
      <c r="AC104" s="64">
        <v>126.9</v>
      </c>
      <c r="AD104" s="64"/>
      <c r="AE104" s="64">
        <v>123.7</v>
      </c>
      <c r="AF104" s="64">
        <v>123.7</v>
      </c>
      <c r="AG104" s="103"/>
      <c r="AH104" s="47">
        <f t="shared" si="27"/>
        <v>129.4</v>
      </c>
      <c r="AI104" s="48">
        <f t="shared" si="28"/>
        <v>118.8</v>
      </c>
    </row>
    <row r="105" spans="1:37" x14ac:dyDescent="0.25">
      <c r="A105" s="104" t="s">
        <v>113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3"/>
      <c r="AH105" s="47">
        <f t="shared" si="27"/>
        <v>0</v>
      </c>
      <c r="AI105" s="48">
        <f t="shared" si="28"/>
        <v>0</v>
      </c>
    </row>
    <row r="106" spans="1:37" x14ac:dyDescent="0.25">
      <c r="A106" s="104" t="s">
        <v>114</v>
      </c>
      <c r="B106" s="105">
        <v>130</v>
      </c>
      <c r="C106" s="105">
        <v>131</v>
      </c>
      <c r="D106" s="105">
        <v>132</v>
      </c>
      <c r="E106" s="105">
        <v>130.6</v>
      </c>
      <c r="F106" s="105">
        <v>130.6</v>
      </c>
      <c r="G106" s="105">
        <v>130.6</v>
      </c>
      <c r="H106" s="105">
        <v>130.6</v>
      </c>
      <c r="I106" s="105">
        <v>130.6</v>
      </c>
      <c r="J106" s="105">
        <v>132</v>
      </c>
      <c r="K106" s="105">
        <v>131.4</v>
      </c>
      <c r="L106" s="105">
        <v>134.1</v>
      </c>
      <c r="M106" s="105">
        <v>128.80000000000001</v>
      </c>
      <c r="N106" s="105">
        <v>128.80000000000001</v>
      </c>
      <c r="O106" s="105"/>
      <c r="P106" s="105"/>
      <c r="Q106" s="105">
        <v>128.6</v>
      </c>
      <c r="R106" s="105">
        <v>129.69999999999999</v>
      </c>
      <c r="S106" s="105">
        <v>130.4</v>
      </c>
      <c r="T106" s="105">
        <v>129</v>
      </c>
      <c r="U106" s="105">
        <v>135.19999999999999</v>
      </c>
      <c r="V106" s="105">
        <v>134.5</v>
      </c>
      <c r="W106" s="105">
        <v>132</v>
      </c>
      <c r="X106" s="105">
        <v>133.4</v>
      </c>
      <c r="Y106" s="105">
        <v>133.30000000000001</v>
      </c>
      <c r="Z106" s="105">
        <v>131.19999999999999</v>
      </c>
      <c r="AA106" s="105">
        <v>134.19999999999999</v>
      </c>
      <c r="AB106" s="105">
        <v>134.6</v>
      </c>
      <c r="AC106" s="105">
        <v>134.6</v>
      </c>
      <c r="AD106" s="105"/>
      <c r="AE106" s="105">
        <v>132.9</v>
      </c>
      <c r="AF106" s="105">
        <v>132.9</v>
      </c>
      <c r="AG106" s="106"/>
      <c r="AH106" s="47">
        <f t="shared" si="27"/>
        <v>135.19999999999999</v>
      </c>
      <c r="AI106" s="48">
        <f t="shared" si="28"/>
        <v>128.6</v>
      </c>
    </row>
    <row r="107" spans="1:37" x14ac:dyDescent="0.25">
      <c r="A107" s="102" t="s">
        <v>115</v>
      </c>
      <c r="B107" s="64">
        <v>130.69999999999999</v>
      </c>
      <c r="C107" s="64">
        <v>127</v>
      </c>
      <c r="D107" s="64">
        <v>129</v>
      </c>
      <c r="E107" s="64">
        <v>129.4</v>
      </c>
      <c r="F107" s="64">
        <v>129.4</v>
      </c>
      <c r="G107" s="64">
        <v>129.4</v>
      </c>
      <c r="H107" s="64">
        <v>129.4</v>
      </c>
      <c r="I107" s="64">
        <v>129.4</v>
      </c>
      <c r="J107" s="64">
        <v>132.69999999999999</v>
      </c>
      <c r="K107" s="64">
        <v>130.69999999999999</v>
      </c>
      <c r="L107" s="64">
        <v>132.19999999999999</v>
      </c>
      <c r="M107" s="64">
        <v>130.69999999999999</v>
      </c>
      <c r="N107" s="64">
        <v>130.69999999999999</v>
      </c>
      <c r="O107" s="64"/>
      <c r="P107" s="64"/>
      <c r="Q107" s="64">
        <v>128.5</v>
      </c>
      <c r="R107" s="64">
        <v>136.30000000000001</v>
      </c>
      <c r="S107" s="64">
        <v>134.19999999999999</v>
      </c>
      <c r="T107" s="64">
        <v>128.80000000000001</v>
      </c>
      <c r="U107" s="64">
        <v>134.1</v>
      </c>
      <c r="V107" s="64">
        <v>128.30000000000001</v>
      </c>
      <c r="W107" s="64">
        <v>133.69999999999999</v>
      </c>
      <c r="X107" s="64">
        <v>136.9</v>
      </c>
      <c r="Y107" s="64">
        <v>134.9</v>
      </c>
      <c r="Z107" s="64">
        <v>130.80000000000001</v>
      </c>
      <c r="AA107" s="64">
        <v>130.6</v>
      </c>
      <c r="AB107" s="64">
        <v>126</v>
      </c>
      <c r="AC107" s="64">
        <v>126</v>
      </c>
      <c r="AD107" s="64"/>
      <c r="AE107" s="64">
        <v>125.1</v>
      </c>
      <c r="AF107" s="64">
        <v>125.1</v>
      </c>
      <c r="AG107" s="103"/>
      <c r="AH107" s="47">
        <f t="shared" si="27"/>
        <v>136.9</v>
      </c>
      <c r="AI107" s="48">
        <f t="shared" si="28"/>
        <v>125.1</v>
      </c>
    </row>
    <row r="108" spans="1:37" ht="15.75" thickBot="1" x14ac:dyDescent="0.3">
      <c r="A108" s="102" t="s">
        <v>116</v>
      </c>
      <c r="B108" s="91">
        <v>65.3</v>
      </c>
      <c r="C108" s="91">
        <v>64.3</v>
      </c>
      <c r="D108" s="91">
        <v>64.5</v>
      </c>
      <c r="E108" s="91">
        <v>65.2</v>
      </c>
      <c r="F108" s="91">
        <v>65.2</v>
      </c>
      <c r="G108" s="91">
        <v>65.2</v>
      </c>
      <c r="H108" s="91">
        <v>65.2</v>
      </c>
      <c r="I108" s="91">
        <v>65.2</v>
      </c>
      <c r="J108" s="91">
        <v>64.5</v>
      </c>
      <c r="K108" s="91">
        <v>63.4</v>
      </c>
      <c r="L108" s="91">
        <v>63.1</v>
      </c>
      <c r="M108" s="91">
        <v>62</v>
      </c>
      <c r="N108" s="91">
        <v>62</v>
      </c>
      <c r="O108" s="91"/>
      <c r="P108" s="91"/>
      <c r="Q108" s="91">
        <v>61.5</v>
      </c>
      <c r="R108" s="91">
        <v>62.8</v>
      </c>
      <c r="S108" s="91">
        <v>61.9</v>
      </c>
      <c r="T108" s="91">
        <v>61.4</v>
      </c>
      <c r="U108" s="91">
        <v>62.1</v>
      </c>
      <c r="V108" s="91">
        <v>62.8</v>
      </c>
      <c r="W108" s="91">
        <v>63.3</v>
      </c>
      <c r="X108" s="91">
        <v>64.3</v>
      </c>
      <c r="Y108" s="91">
        <v>63.8</v>
      </c>
      <c r="Z108" s="91">
        <v>63.2</v>
      </c>
      <c r="AA108" s="91">
        <v>63</v>
      </c>
      <c r="AB108" s="91">
        <v>64.3</v>
      </c>
      <c r="AC108" s="91">
        <v>64.3</v>
      </c>
      <c r="AD108" s="91"/>
      <c r="AE108" s="91">
        <v>64.7</v>
      </c>
      <c r="AF108" s="91">
        <v>64.7</v>
      </c>
      <c r="AG108" s="107"/>
      <c r="AH108" s="47">
        <f t="shared" si="27"/>
        <v>65.3</v>
      </c>
      <c r="AI108" s="48">
        <f t="shared" si="28"/>
        <v>61.4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27"/>
        <v>0</v>
      </c>
      <c r="AI109" s="48">
        <f t="shared" si="28"/>
        <v>0</v>
      </c>
    </row>
    <row r="110" spans="1:37" ht="15.75" thickBot="1" x14ac:dyDescent="0.3">
      <c r="A110" s="109" t="s">
        <v>118</v>
      </c>
      <c r="B110" s="110">
        <v>39.5</v>
      </c>
      <c r="C110" s="110">
        <f t="shared" ref="C110:D110" si="49">SUM(C20,C26,C29:C30,C58,C60:C61,C63,C65,C111:C115,C138,C144,C150,C159,C161,C173,C180,C183:C184,C191,C193,C195,C199:C201,C203:C205,C210,C216:C217,C219:C221,C229,C234)</f>
        <v>43.339999999999975</v>
      </c>
      <c r="D110" s="110">
        <f t="shared" si="49"/>
        <v>32.339999999999975</v>
      </c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1"/>
      <c r="AH110" s="47">
        <f t="shared" si="27"/>
        <v>43.339999999999975</v>
      </c>
      <c r="AI110" s="48">
        <f t="shared" si="28"/>
        <v>32.339999999999975</v>
      </c>
    </row>
    <row r="111" spans="1:37" x14ac:dyDescent="0.25">
      <c r="A111" s="99" t="s">
        <v>119</v>
      </c>
      <c r="B111" s="112">
        <v>78</v>
      </c>
      <c r="C111" s="112">
        <v>76</v>
      </c>
      <c r="D111" s="112">
        <v>76</v>
      </c>
      <c r="E111" s="112">
        <v>46.2</v>
      </c>
      <c r="F111" s="112">
        <v>44</v>
      </c>
      <c r="G111" s="112">
        <v>42</v>
      </c>
      <c r="H111" s="112">
        <v>42</v>
      </c>
      <c r="I111" s="112">
        <v>42</v>
      </c>
      <c r="J111" s="112">
        <v>25.2</v>
      </c>
      <c r="K111" s="112">
        <v>29.8</v>
      </c>
      <c r="L111" s="112">
        <v>30.8</v>
      </c>
      <c r="M111" s="112">
        <v>30.5</v>
      </c>
      <c r="N111" s="112">
        <v>42</v>
      </c>
      <c r="O111" s="112"/>
      <c r="P111" s="112"/>
      <c r="Q111" s="112">
        <v>50.8</v>
      </c>
      <c r="R111" s="112">
        <v>29.5</v>
      </c>
      <c r="S111" s="112">
        <v>39.799999999999997</v>
      </c>
      <c r="T111" s="112">
        <v>38</v>
      </c>
      <c r="U111" s="112">
        <v>42.1</v>
      </c>
      <c r="V111" s="112">
        <v>54.6</v>
      </c>
      <c r="W111" s="112">
        <v>49</v>
      </c>
      <c r="X111" s="112">
        <v>50.8</v>
      </c>
      <c r="Y111" s="112">
        <v>61</v>
      </c>
      <c r="Z111" s="112">
        <v>69</v>
      </c>
      <c r="AA111" s="112">
        <v>63</v>
      </c>
      <c r="AB111" s="112">
        <v>48.8</v>
      </c>
      <c r="AC111" s="112">
        <v>51</v>
      </c>
      <c r="AD111" s="112"/>
      <c r="AE111" s="112"/>
      <c r="AF111" s="112">
        <v>38.299999999999997</v>
      </c>
      <c r="AG111" s="113">
        <v>75</v>
      </c>
      <c r="AH111" s="47">
        <f t="shared" si="27"/>
        <v>78</v>
      </c>
      <c r="AI111" s="48">
        <f t="shared" si="28"/>
        <v>25.2</v>
      </c>
    </row>
    <row r="112" spans="1:37" x14ac:dyDescent="0.25">
      <c r="A112" s="102" t="s">
        <v>120</v>
      </c>
      <c r="B112" s="114">
        <v>50</v>
      </c>
      <c r="C112" s="114">
        <v>50</v>
      </c>
      <c r="D112" s="114">
        <v>51</v>
      </c>
      <c r="E112" s="114">
        <v>69.5</v>
      </c>
      <c r="F112" s="114">
        <v>69.5</v>
      </c>
      <c r="G112" s="114">
        <v>62</v>
      </c>
      <c r="H112" s="114">
        <v>62</v>
      </c>
      <c r="I112" s="114">
        <v>62</v>
      </c>
      <c r="J112" s="114">
        <v>37.799999999999997</v>
      </c>
      <c r="K112" s="114">
        <v>44.4</v>
      </c>
      <c r="L112" s="114">
        <v>44.3</v>
      </c>
      <c r="M112" s="114">
        <v>38.5</v>
      </c>
      <c r="N112" s="114">
        <v>65</v>
      </c>
      <c r="O112" s="114"/>
      <c r="P112" s="114"/>
      <c r="Q112" s="114">
        <v>70.599999999999994</v>
      </c>
      <c r="R112" s="114">
        <v>44</v>
      </c>
      <c r="S112" s="114">
        <v>59.4</v>
      </c>
      <c r="T112" s="114">
        <v>53</v>
      </c>
      <c r="U112" s="114">
        <v>60.7</v>
      </c>
      <c r="V112" s="114">
        <v>76.7</v>
      </c>
      <c r="W112" s="114">
        <v>71.2</v>
      </c>
      <c r="X112" s="114">
        <v>72.7</v>
      </c>
      <c r="Y112" s="114">
        <v>87</v>
      </c>
      <c r="Z112" s="114">
        <v>105</v>
      </c>
      <c r="AA112" s="114">
        <v>93.5</v>
      </c>
      <c r="AB112" s="114">
        <v>73.599999999999994</v>
      </c>
      <c r="AC112" s="114">
        <v>78.2</v>
      </c>
      <c r="AD112" s="114"/>
      <c r="AE112" s="114"/>
      <c r="AF112" s="114">
        <v>61</v>
      </c>
      <c r="AG112" s="113">
        <v>240</v>
      </c>
      <c r="AH112" s="47">
        <f t="shared" si="27"/>
        <v>105</v>
      </c>
      <c r="AI112" s="48">
        <f t="shared" si="28"/>
        <v>37.799999999999997</v>
      </c>
    </row>
    <row r="113" spans="1:37" x14ac:dyDescent="0.25">
      <c r="A113" s="102" t="s">
        <v>121</v>
      </c>
      <c r="B113" s="114">
        <v>-180</v>
      </c>
      <c r="C113" s="114">
        <v>-166</v>
      </c>
      <c r="D113" s="114">
        <v>-170</v>
      </c>
      <c r="E113" s="114">
        <f>-80.2-86.4</f>
        <v>-166.60000000000002</v>
      </c>
      <c r="F113" s="114">
        <f t="shared" ref="F113" si="50">-80.2-86.4</f>
        <v>-166.60000000000002</v>
      </c>
      <c r="G113" s="114">
        <f>-62-68.1</f>
        <v>-130.1</v>
      </c>
      <c r="H113" s="114">
        <f t="shared" ref="H113:I113" si="51">-62-68.1</f>
        <v>-130.1</v>
      </c>
      <c r="I113" s="114">
        <f t="shared" si="51"/>
        <v>-130.1</v>
      </c>
      <c r="J113" s="114">
        <f>-33.6-36.1</f>
        <v>-69.7</v>
      </c>
      <c r="K113" s="114">
        <f>-39.1-41.8</f>
        <v>-80.900000000000006</v>
      </c>
      <c r="L113" s="114">
        <f>-37-39.5</f>
        <v>-76.5</v>
      </c>
      <c r="M113" s="114">
        <f>-29-31.1</f>
        <v>-60.1</v>
      </c>
      <c r="N113" s="114">
        <v>-87</v>
      </c>
      <c r="O113" s="114"/>
      <c r="P113" s="114"/>
      <c r="Q113" s="114">
        <f>-52-57</f>
        <v>-109</v>
      </c>
      <c r="R113" s="114">
        <f>-31.2-33.6</f>
        <v>-64.8</v>
      </c>
      <c r="S113" s="114">
        <f>-27.4-30</f>
        <v>-57.4</v>
      </c>
      <c r="T113" s="114">
        <v>-60</v>
      </c>
      <c r="U113" s="114">
        <v>-58</v>
      </c>
      <c r="V113" s="114">
        <v>-107.5</v>
      </c>
      <c r="W113" s="114">
        <v>-115</v>
      </c>
      <c r="X113" s="114">
        <v>-116</v>
      </c>
      <c r="Y113" s="114">
        <v>-180</v>
      </c>
      <c r="Z113" s="114">
        <v>-183</v>
      </c>
      <c r="AA113" s="114">
        <v>-141.5</v>
      </c>
      <c r="AB113" s="114">
        <f>-66-70.7</f>
        <v>-136.69999999999999</v>
      </c>
      <c r="AC113" s="114">
        <f>-71-74</f>
        <v>-145</v>
      </c>
      <c r="AD113" s="114"/>
      <c r="AE113" s="114"/>
      <c r="AF113" s="114">
        <f>-91.5-93</f>
        <v>-184.5</v>
      </c>
      <c r="AG113" s="113">
        <v>240</v>
      </c>
      <c r="AH113" s="47">
        <f t="shared" si="27"/>
        <v>-57.4</v>
      </c>
      <c r="AI113" s="48">
        <f t="shared" si="28"/>
        <v>-184.5</v>
      </c>
    </row>
    <row r="114" spans="1:37" x14ac:dyDescent="0.25">
      <c r="A114" s="102" t="s">
        <v>122</v>
      </c>
      <c r="B114" s="114">
        <v>-16</v>
      </c>
      <c r="C114" s="114">
        <v>-18</v>
      </c>
      <c r="D114" s="114">
        <v>-15</v>
      </c>
      <c r="E114" s="114">
        <v>-14.4</v>
      </c>
      <c r="F114" s="114">
        <v>-14.4</v>
      </c>
      <c r="G114" s="114">
        <v>-10.4</v>
      </c>
      <c r="H114" s="114">
        <v>-10.4</v>
      </c>
      <c r="I114" s="114">
        <v>-10.4</v>
      </c>
      <c r="J114" s="114">
        <v>-5.7</v>
      </c>
      <c r="K114" s="114">
        <v>4.5</v>
      </c>
      <c r="L114" s="114">
        <v>6</v>
      </c>
      <c r="M114" s="114">
        <v>6.5</v>
      </c>
      <c r="N114" s="114">
        <v>10.5</v>
      </c>
      <c r="O114" s="114"/>
      <c r="P114" s="114"/>
      <c r="Q114" s="114">
        <v>3.5</v>
      </c>
      <c r="R114" s="114">
        <v>9.9</v>
      </c>
      <c r="S114" s="114">
        <v>11.7</v>
      </c>
      <c r="T114" s="114">
        <v>10</v>
      </c>
      <c r="U114" s="114">
        <v>10</v>
      </c>
      <c r="V114" s="114">
        <v>2.1</v>
      </c>
      <c r="W114" s="114">
        <v>2</v>
      </c>
      <c r="X114" s="114">
        <v>4.5999999999999996</v>
      </c>
      <c r="Y114" s="114">
        <v>-3</v>
      </c>
      <c r="Z114" s="114">
        <v>-1.1000000000000001</v>
      </c>
      <c r="AA114" s="114">
        <v>4.4000000000000004</v>
      </c>
      <c r="AB114" s="114">
        <v>3.3</v>
      </c>
      <c r="AC114" s="114">
        <v>1.2</v>
      </c>
      <c r="AD114" s="114"/>
      <c r="AE114" s="114"/>
      <c r="AF114" s="114">
        <v>-5.6</v>
      </c>
      <c r="AG114" s="113">
        <v>60</v>
      </c>
      <c r="AH114" s="47">
        <f t="shared" si="27"/>
        <v>11.7</v>
      </c>
      <c r="AI114" s="48">
        <f t="shared" si="28"/>
        <v>-18</v>
      </c>
    </row>
    <row r="115" spans="1:37" x14ac:dyDescent="0.25">
      <c r="A115" s="115" t="s">
        <v>123</v>
      </c>
      <c r="B115" s="116">
        <v>1</v>
      </c>
      <c r="C115" s="116">
        <v>0</v>
      </c>
      <c r="D115" s="116">
        <v>0</v>
      </c>
      <c r="E115" s="116">
        <v>1.5</v>
      </c>
      <c r="F115" s="116">
        <v>1.5</v>
      </c>
      <c r="G115" s="116">
        <v>0</v>
      </c>
      <c r="H115" s="116">
        <v>0</v>
      </c>
      <c r="I115" s="116">
        <v>0</v>
      </c>
      <c r="J115" s="116">
        <v>0</v>
      </c>
      <c r="K115" s="116">
        <v>22</v>
      </c>
      <c r="L115" s="116">
        <v>22</v>
      </c>
      <c r="M115" s="116">
        <v>22.3</v>
      </c>
      <c r="N115" s="116">
        <v>22</v>
      </c>
      <c r="O115" s="116"/>
      <c r="P115" s="116"/>
      <c r="Q115" s="116">
        <v>16.2</v>
      </c>
      <c r="R115" s="116">
        <v>22</v>
      </c>
      <c r="S115" s="116">
        <v>14.7</v>
      </c>
      <c r="T115" s="116">
        <v>23</v>
      </c>
      <c r="U115" s="116">
        <v>23</v>
      </c>
      <c r="V115" s="116">
        <v>20.100000000000001</v>
      </c>
      <c r="W115" s="116">
        <v>13</v>
      </c>
      <c r="X115" s="116">
        <v>14</v>
      </c>
      <c r="Y115" s="116">
        <v>64</v>
      </c>
      <c r="Z115" s="116">
        <v>64</v>
      </c>
      <c r="AA115" s="116">
        <v>63.1</v>
      </c>
      <c r="AB115" s="116">
        <v>62.7</v>
      </c>
      <c r="AC115" s="116">
        <v>62.7</v>
      </c>
      <c r="AD115" s="116"/>
      <c r="AE115" s="116"/>
      <c r="AF115" s="116">
        <v>7</v>
      </c>
      <c r="AG115" s="117">
        <v>120</v>
      </c>
      <c r="AH115" s="47">
        <f t="shared" si="27"/>
        <v>64</v>
      </c>
      <c r="AI115" s="48">
        <f t="shared" si="28"/>
        <v>0</v>
      </c>
    </row>
    <row r="116" spans="1:37" x14ac:dyDescent="0.25">
      <c r="A116" s="115" t="s">
        <v>124</v>
      </c>
      <c r="B116" s="116">
        <v>36</v>
      </c>
      <c r="C116" s="116">
        <v>60</v>
      </c>
      <c r="D116" s="116">
        <v>54</v>
      </c>
      <c r="E116" s="116">
        <v>53.8</v>
      </c>
      <c r="F116" s="116">
        <v>53.8</v>
      </c>
      <c r="G116" s="116">
        <v>73</v>
      </c>
      <c r="H116" s="116">
        <v>73</v>
      </c>
      <c r="I116" s="116">
        <v>73</v>
      </c>
      <c r="J116" s="116">
        <v>72.099999999999994</v>
      </c>
      <c r="K116" s="116">
        <v>71.8</v>
      </c>
      <c r="L116" s="116">
        <v>85.2</v>
      </c>
      <c r="M116" s="116">
        <v>86.9</v>
      </c>
      <c r="N116" s="116">
        <v>98</v>
      </c>
      <c r="O116" s="116"/>
      <c r="P116" s="116"/>
      <c r="Q116" s="116">
        <v>81.2</v>
      </c>
      <c r="R116" s="116">
        <v>59</v>
      </c>
      <c r="S116" s="116">
        <v>87</v>
      </c>
      <c r="T116" s="116">
        <v>84</v>
      </c>
      <c r="U116" s="116">
        <v>85</v>
      </c>
      <c r="V116" s="116">
        <v>57.6</v>
      </c>
      <c r="W116" s="116">
        <v>50</v>
      </c>
      <c r="X116" s="116">
        <v>47</v>
      </c>
      <c r="Y116" s="116">
        <v>6</v>
      </c>
      <c r="Z116" s="116">
        <v>9</v>
      </c>
      <c r="AA116" s="116">
        <v>45.4</v>
      </c>
      <c r="AB116" s="116">
        <v>55.6</v>
      </c>
      <c r="AC116" s="116">
        <v>53.2</v>
      </c>
      <c r="AD116" s="116"/>
      <c r="AE116" s="116"/>
      <c r="AF116" s="116">
        <v>45</v>
      </c>
      <c r="AG116" s="117"/>
      <c r="AH116" s="47">
        <f t="shared" si="27"/>
        <v>98</v>
      </c>
      <c r="AI116" s="48">
        <f t="shared" si="28"/>
        <v>6</v>
      </c>
    </row>
    <row r="117" spans="1:37" x14ac:dyDescent="0.25">
      <c r="A117" s="115" t="s">
        <v>125</v>
      </c>
      <c r="B117" s="116">
        <v>15</v>
      </c>
      <c r="C117" s="116">
        <v>12</v>
      </c>
      <c r="D117" s="116">
        <v>3</v>
      </c>
      <c r="E117" s="116">
        <v>-11.8</v>
      </c>
      <c r="F117" s="116">
        <v>-11.8</v>
      </c>
      <c r="G117" s="116">
        <v>-22.4</v>
      </c>
      <c r="H117" s="116">
        <v>-22.4</v>
      </c>
      <c r="I117" s="116">
        <v>-22.4</v>
      </c>
      <c r="J117" s="116">
        <v>-12.8</v>
      </c>
      <c r="K117" s="116">
        <v>-4.5999999999999996</v>
      </c>
      <c r="L117" s="116">
        <v>-13.4</v>
      </c>
      <c r="M117" s="116">
        <v>27.9</v>
      </c>
      <c r="N117" s="116">
        <v>20</v>
      </c>
      <c r="O117" s="116"/>
      <c r="P117" s="116"/>
      <c r="Q117" s="116">
        <v>1</v>
      </c>
      <c r="R117" s="116">
        <v>0</v>
      </c>
      <c r="S117" s="116">
        <v>6.1</v>
      </c>
      <c r="T117" s="116">
        <v>12</v>
      </c>
      <c r="U117" s="116">
        <v>14</v>
      </c>
      <c r="V117" s="116">
        <v>11.8</v>
      </c>
      <c r="W117" s="116">
        <v>6.1</v>
      </c>
      <c r="X117" s="116">
        <v>8</v>
      </c>
      <c r="Y117" s="116">
        <v>16.2</v>
      </c>
      <c r="Z117" s="116">
        <v>9</v>
      </c>
      <c r="AA117" s="116">
        <v>-6.4</v>
      </c>
      <c r="AB117" s="116">
        <v>-7</v>
      </c>
      <c r="AC117" s="116">
        <v>-4.5</v>
      </c>
      <c r="AD117" s="116"/>
      <c r="AE117" s="116"/>
      <c r="AF117" s="116">
        <v>14.2</v>
      </c>
      <c r="AG117" s="118"/>
      <c r="AH117" s="47">
        <f t="shared" si="27"/>
        <v>27.9</v>
      </c>
      <c r="AI117" s="48">
        <f t="shared" si="28"/>
        <v>-22.4</v>
      </c>
    </row>
    <row r="118" spans="1:37" x14ac:dyDescent="0.25">
      <c r="A118" s="119" t="s">
        <v>126</v>
      </c>
      <c r="B118" s="105">
        <v>32</v>
      </c>
      <c r="C118" s="105">
        <v>33</v>
      </c>
      <c r="D118" s="105">
        <v>35</v>
      </c>
      <c r="E118" s="105">
        <v>35.9</v>
      </c>
      <c r="F118" s="105">
        <v>35.9</v>
      </c>
      <c r="G118" s="105">
        <v>35.299999999999997</v>
      </c>
      <c r="H118" s="105">
        <v>35.299999999999997</v>
      </c>
      <c r="I118" s="105">
        <v>35.299999999999997</v>
      </c>
      <c r="J118" s="105">
        <v>24.5</v>
      </c>
      <c r="K118" s="105">
        <v>20</v>
      </c>
      <c r="L118" s="105">
        <v>17.2</v>
      </c>
      <c r="M118" s="105">
        <v>15.5</v>
      </c>
      <c r="N118" s="105">
        <v>14</v>
      </c>
      <c r="O118" s="105"/>
      <c r="P118" s="105"/>
      <c r="Q118" s="105">
        <v>16.600000000000001</v>
      </c>
      <c r="R118" s="105">
        <v>9.5</v>
      </c>
      <c r="S118" s="105">
        <v>9.9</v>
      </c>
      <c r="T118" s="105">
        <v>5</v>
      </c>
      <c r="U118" s="105">
        <v>11</v>
      </c>
      <c r="V118" s="105">
        <v>9.4</v>
      </c>
      <c r="W118" s="105">
        <v>-6.3</v>
      </c>
      <c r="X118" s="105">
        <v>-13</v>
      </c>
      <c r="Y118" s="105">
        <v>9</v>
      </c>
      <c r="Z118" s="105">
        <v>2.2999999999999998</v>
      </c>
      <c r="AA118" s="105">
        <v>7.3</v>
      </c>
      <c r="AB118" s="105">
        <v>8.6999999999999993</v>
      </c>
      <c r="AC118" s="105">
        <v>6.5</v>
      </c>
      <c r="AD118" s="105"/>
      <c r="AE118" s="105"/>
      <c r="AF118" s="105">
        <v>12</v>
      </c>
      <c r="AG118" s="118"/>
      <c r="AH118" s="47">
        <f t="shared" si="27"/>
        <v>35.9</v>
      </c>
      <c r="AI118" s="48">
        <f t="shared" si="28"/>
        <v>-13</v>
      </c>
    </row>
    <row r="119" spans="1:37" x14ac:dyDescent="0.25">
      <c r="A119" s="120" t="s">
        <v>127</v>
      </c>
      <c r="B119" s="105">
        <v>90</v>
      </c>
      <c r="C119" s="105">
        <v>92</v>
      </c>
      <c r="D119" s="105">
        <v>91</v>
      </c>
      <c r="E119" s="105">
        <v>90</v>
      </c>
      <c r="F119" s="105">
        <v>90</v>
      </c>
      <c r="G119" s="105">
        <v>59.5</v>
      </c>
      <c r="H119" s="105">
        <v>59.5</v>
      </c>
      <c r="I119" s="105">
        <v>59.5</v>
      </c>
      <c r="J119" s="105">
        <v>40</v>
      </c>
      <c r="K119" s="105">
        <v>0</v>
      </c>
      <c r="L119" s="105">
        <v>0</v>
      </c>
      <c r="M119" s="105">
        <v>0</v>
      </c>
      <c r="N119" s="105">
        <v>0</v>
      </c>
      <c r="O119" s="105"/>
      <c r="P119" s="105"/>
      <c r="Q119" s="105">
        <v>0</v>
      </c>
      <c r="R119" s="105">
        <v>0</v>
      </c>
      <c r="S119" s="105">
        <v>0</v>
      </c>
      <c r="T119" s="105">
        <v>0</v>
      </c>
      <c r="U119" s="105">
        <v>0</v>
      </c>
      <c r="V119" s="105">
        <v>0</v>
      </c>
      <c r="W119" s="105">
        <v>0</v>
      </c>
      <c r="X119" s="105">
        <v>0</v>
      </c>
      <c r="Y119" s="105">
        <v>86</v>
      </c>
      <c r="Z119" s="105">
        <v>86.2</v>
      </c>
      <c r="AA119" s="105">
        <v>62.3</v>
      </c>
      <c r="AB119" s="105">
        <v>62.4</v>
      </c>
      <c r="AC119" s="105">
        <v>76.8</v>
      </c>
      <c r="AD119" s="105"/>
      <c r="AE119" s="105"/>
      <c r="AF119" s="105">
        <v>95.8</v>
      </c>
      <c r="AG119" s="118"/>
      <c r="AH119" s="47">
        <f t="shared" si="27"/>
        <v>95.8</v>
      </c>
      <c r="AI119" s="48">
        <f t="shared" si="28"/>
        <v>0</v>
      </c>
    </row>
    <row r="120" spans="1:37" ht="15.75" thickBot="1" x14ac:dyDescent="0.3">
      <c r="A120" s="119" t="s">
        <v>128</v>
      </c>
      <c r="B120" s="105">
        <v>38</v>
      </c>
      <c r="C120" s="105">
        <v>37</v>
      </c>
      <c r="D120" s="105">
        <v>38</v>
      </c>
      <c r="E120" s="105">
        <v>33.5</v>
      </c>
      <c r="F120" s="105">
        <v>33.5</v>
      </c>
      <c r="G120" s="105">
        <v>21.5</v>
      </c>
      <c r="H120" s="105">
        <v>21.5</v>
      </c>
      <c r="I120" s="105">
        <v>21.5</v>
      </c>
      <c r="J120" s="105">
        <v>33.9</v>
      </c>
      <c r="K120" s="105">
        <v>39.700000000000003</v>
      </c>
      <c r="L120" s="105">
        <v>43.8</v>
      </c>
      <c r="M120" s="105">
        <v>25.2</v>
      </c>
      <c r="N120" s="105">
        <v>68</v>
      </c>
      <c r="O120" s="105"/>
      <c r="P120" s="105"/>
      <c r="Q120" s="105">
        <v>48.9</v>
      </c>
      <c r="R120" s="105">
        <v>68</v>
      </c>
      <c r="S120" s="105">
        <v>60.2</v>
      </c>
      <c r="T120" s="105">
        <v>57</v>
      </c>
      <c r="U120" s="105">
        <v>51</v>
      </c>
      <c r="V120" s="105">
        <v>44.1</v>
      </c>
      <c r="W120" s="105">
        <v>52</v>
      </c>
      <c r="X120" s="105">
        <v>50</v>
      </c>
      <c r="Y120" s="105">
        <v>41</v>
      </c>
      <c r="Z120" s="105">
        <v>49</v>
      </c>
      <c r="AA120" s="105">
        <v>61.6</v>
      </c>
      <c r="AB120" s="105">
        <v>58.9</v>
      </c>
      <c r="AC120" s="105">
        <v>59.6</v>
      </c>
      <c r="AD120" s="105"/>
      <c r="AE120" s="105"/>
      <c r="AF120" s="105">
        <v>61</v>
      </c>
      <c r="AG120" s="118"/>
      <c r="AH120" s="47">
        <f t="shared" si="27"/>
        <v>68</v>
      </c>
      <c r="AI120" s="48">
        <f t="shared" si="28"/>
        <v>21.5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52">SUM(B122:B226)</f>
        <v>0</v>
      </c>
      <c r="C227" s="136">
        <f t="shared" si="52"/>
        <v>0</v>
      </c>
      <c r="D227" s="136">
        <f t="shared" si="52"/>
        <v>0</v>
      </c>
      <c r="E227" s="136">
        <f t="shared" si="52"/>
        <v>0</v>
      </c>
      <c r="F227" s="136">
        <f t="shared" si="52"/>
        <v>0</v>
      </c>
      <c r="G227" s="136">
        <f t="shared" si="52"/>
        <v>0</v>
      </c>
      <c r="H227" s="136">
        <f t="shared" si="52"/>
        <v>0</v>
      </c>
      <c r="I227" s="136">
        <f t="shared" si="52"/>
        <v>0</v>
      </c>
      <c r="J227" s="136">
        <f t="shared" si="52"/>
        <v>0</v>
      </c>
      <c r="K227" s="136">
        <f t="shared" si="52"/>
        <v>0</v>
      </c>
      <c r="L227" s="136">
        <f t="shared" si="52"/>
        <v>0</v>
      </c>
      <c r="M227" s="136">
        <f t="shared" si="52"/>
        <v>0</v>
      </c>
      <c r="N227" s="136">
        <f t="shared" si="52"/>
        <v>0</v>
      </c>
      <c r="O227" s="136">
        <f t="shared" si="52"/>
        <v>0</v>
      </c>
      <c r="P227" s="136">
        <f t="shared" si="52"/>
        <v>0</v>
      </c>
      <c r="Q227" s="136">
        <f t="shared" si="52"/>
        <v>0</v>
      </c>
      <c r="R227" s="136">
        <f t="shared" si="52"/>
        <v>0</v>
      </c>
      <c r="S227" s="136">
        <f t="shared" si="52"/>
        <v>0</v>
      </c>
      <c r="T227" s="136">
        <f t="shared" si="52"/>
        <v>0</v>
      </c>
      <c r="U227" s="136">
        <f t="shared" si="52"/>
        <v>0</v>
      </c>
      <c r="V227" s="136">
        <f t="shared" si="52"/>
        <v>0</v>
      </c>
      <c r="W227" s="136">
        <f t="shared" si="52"/>
        <v>0</v>
      </c>
      <c r="X227" s="136">
        <f t="shared" si="52"/>
        <v>0</v>
      </c>
      <c r="Y227" s="136">
        <f t="shared" si="52"/>
        <v>0</v>
      </c>
      <c r="Z227" s="136">
        <f t="shared" si="52"/>
        <v>0</v>
      </c>
      <c r="AA227" s="136">
        <f t="shared" si="52"/>
        <v>0</v>
      </c>
      <c r="AB227" s="136">
        <f t="shared" si="52"/>
        <v>0</v>
      </c>
      <c r="AC227" s="136">
        <f t="shared" si="52"/>
        <v>0</v>
      </c>
      <c r="AD227" s="136">
        <f t="shared" si="52"/>
        <v>0</v>
      </c>
      <c r="AE227" s="136">
        <f t="shared" si="52"/>
        <v>0</v>
      </c>
      <c r="AF227" s="137">
        <f t="shared" si="52"/>
        <v>0</v>
      </c>
      <c r="AG227" s="138">
        <f t="shared" si="52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53">AF229</f>
        <v>0</v>
      </c>
      <c r="C229" s="140">
        <v>0.3</v>
      </c>
      <c r="D229" s="140">
        <f t="shared" ref="D229:P234" si="54">C229</f>
        <v>0.3</v>
      </c>
      <c r="E229" s="140">
        <f t="shared" si="54"/>
        <v>0.3</v>
      </c>
      <c r="F229" s="140">
        <f t="shared" si="54"/>
        <v>0.3</v>
      </c>
      <c r="G229" s="140">
        <f t="shared" si="54"/>
        <v>0.3</v>
      </c>
      <c r="H229" s="140">
        <f t="shared" si="54"/>
        <v>0.3</v>
      </c>
      <c r="I229" s="140">
        <f t="shared" si="54"/>
        <v>0.3</v>
      </c>
      <c r="J229" s="140">
        <f t="shared" si="54"/>
        <v>0.3</v>
      </c>
      <c r="K229" s="140">
        <f t="shared" si="54"/>
        <v>0.3</v>
      </c>
      <c r="L229" s="140">
        <f t="shared" si="54"/>
        <v>0.3</v>
      </c>
      <c r="M229" s="140">
        <f t="shared" si="54"/>
        <v>0.3</v>
      </c>
      <c r="N229" s="140">
        <f t="shared" si="54"/>
        <v>0.3</v>
      </c>
      <c r="O229" s="140">
        <f t="shared" si="54"/>
        <v>0.3</v>
      </c>
      <c r="P229" s="140">
        <f t="shared" si="54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53"/>
        <v>0</v>
      </c>
      <c r="C230" s="128">
        <v>0.4</v>
      </c>
      <c r="D230" s="128">
        <f t="shared" si="54"/>
        <v>0.4</v>
      </c>
      <c r="E230" s="128">
        <f t="shared" si="54"/>
        <v>0.4</v>
      </c>
      <c r="F230" s="128">
        <f t="shared" si="54"/>
        <v>0.4</v>
      </c>
      <c r="G230" s="128">
        <f t="shared" si="54"/>
        <v>0.4</v>
      </c>
      <c r="H230" s="128">
        <f t="shared" si="54"/>
        <v>0.4</v>
      </c>
      <c r="I230" s="128">
        <f t="shared" si="54"/>
        <v>0.4</v>
      </c>
      <c r="J230" s="128">
        <f t="shared" si="54"/>
        <v>0.4</v>
      </c>
      <c r="K230" s="128">
        <f t="shared" si="54"/>
        <v>0.4</v>
      </c>
      <c r="L230" s="128">
        <f t="shared" si="54"/>
        <v>0.4</v>
      </c>
      <c r="M230" s="128">
        <f t="shared" si="54"/>
        <v>0.4</v>
      </c>
      <c r="N230" s="128">
        <f t="shared" si="54"/>
        <v>0.4</v>
      </c>
      <c r="O230" s="128">
        <f t="shared" si="54"/>
        <v>0.4</v>
      </c>
      <c r="P230" s="128">
        <f t="shared" si="54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53"/>
        <v>0</v>
      </c>
      <c r="C231" s="128">
        <v>1.5</v>
      </c>
      <c r="D231" s="128">
        <f t="shared" si="54"/>
        <v>1.5</v>
      </c>
      <c r="E231" s="128">
        <f t="shared" si="54"/>
        <v>1.5</v>
      </c>
      <c r="F231" s="128">
        <f t="shared" si="54"/>
        <v>1.5</v>
      </c>
      <c r="G231" s="128">
        <f t="shared" si="54"/>
        <v>1.5</v>
      </c>
      <c r="H231" s="128">
        <f t="shared" si="54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54"/>
        <v>123.21900000000009</v>
      </c>
      <c r="K231" s="128">
        <f t="shared" ca="1" si="54"/>
        <v>123.21900000000009</v>
      </c>
      <c r="L231" s="128">
        <f t="shared" ca="1" si="54"/>
        <v>123.21900000000009</v>
      </c>
      <c r="M231" s="128">
        <f t="shared" ca="1" si="54"/>
        <v>119.19900000000008</v>
      </c>
      <c r="N231" s="128">
        <f t="shared" ca="1" si="54"/>
        <v>119.19900000000008</v>
      </c>
      <c r="O231" s="128">
        <f t="shared" ca="1" si="54"/>
        <v>119.19900000000008</v>
      </c>
      <c r="P231" s="128">
        <f t="shared" ca="1" si="54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53"/>
        <v>0</v>
      </c>
      <c r="C232" s="128">
        <v>0.3</v>
      </c>
      <c r="D232" s="128">
        <f t="shared" si="54"/>
        <v>0.3</v>
      </c>
      <c r="E232" s="128">
        <f t="shared" si="54"/>
        <v>0.3</v>
      </c>
      <c r="F232" s="128">
        <f t="shared" si="54"/>
        <v>0.3</v>
      </c>
      <c r="G232" s="128">
        <f t="shared" si="54"/>
        <v>0.3</v>
      </c>
      <c r="H232" s="128">
        <f t="shared" si="54"/>
        <v>0.3</v>
      </c>
      <c r="I232" s="128">
        <f t="shared" si="54"/>
        <v>0.3</v>
      </c>
      <c r="J232" s="128">
        <f t="shared" si="54"/>
        <v>0.3</v>
      </c>
      <c r="K232" s="128">
        <f t="shared" si="54"/>
        <v>0.3</v>
      </c>
      <c r="L232" s="128">
        <f t="shared" si="54"/>
        <v>0.3</v>
      </c>
      <c r="M232" s="128">
        <f t="shared" si="54"/>
        <v>0.3</v>
      </c>
      <c r="N232" s="128">
        <f t="shared" si="54"/>
        <v>0.3</v>
      </c>
      <c r="O232" s="128">
        <f t="shared" si="54"/>
        <v>0.3</v>
      </c>
      <c r="P232" s="128">
        <f t="shared" si="54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53"/>
        <v>0</v>
      </c>
      <c r="C233" s="128">
        <v>0.4</v>
      </c>
      <c r="D233" s="128">
        <f t="shared" si="54"/>
        <v>0.4</v>
      </c>
      <c r="E233" s="128">
        <f t="shared" si="54"/>
        <v>0.4</v>
      </c>
      <c r="F233" s="128">
        <f t="shared" si="54"/>
        <v>0.4</v>
      </c>
      <c r="G233" s="128">
        <f t="shared" si="54"/>
        <v>0.4</v>
      </c>
      <c r="H233" s="128">
        <f t="shared" si="54"/>
        <v>0.4</v>
      </c>
      <c r="I233" s="128">
        <f t="shared" si="54"/>
        <v>0.4</v>
      </c>
      <c r="J233" s="128">
        <f t="shared" si="54"/>
        <v>0.4</v>
      </c>
      <c r="K233" s="128">
        <f t="shared" si="54"/>
        <v>0.4</v>
      </c>
      <c r="L233" s="128">
        <f t="shared" si="54"/>
        <v>0.4</v>
      </c>
      <c r="M233" s="128">
        <f t="shared" si="54"/>
        <v>0.4</v>
      </c>
      <c r="N233" s="128">
        <f t="shared" si="54"/>
        <v>0.4</v>
      </c>
      <c r="O233" s="128">
        <f t="shared" si="54"/>
        <v>0.4</v>
      </c>
      <c r="P233" s="128">
        <f t="shared" si="54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53"/>
        <v>0</v>
      </c>
      <c r="C234" s="132">
        <v>0.64</v>
      </c>
      <c r="D234" s="132">
        <f t="shared" si="54"/>
        <v>0.64</v>
      </c>
      <c r="E234" s="132">
        <f t="shared" si="54"/>
        <v>0.64</v>
      </c>
      <c r="F234" s="132">
        <f t="shared" si="54"/>
        <v>0.64</v>
      </c>
      <c r="G234" s="132">
        <f t="shared" si="54"/>
        <v>0.64</v>
      </c>
      <c r="H234" s="132">
        <f t="shared" si="54"/>
        <v>0.64</v>
      </c>
      <c r="I234" s="132">
        <f t="shared" si="54"/>
        <v>0.64</v>
      </c>
      <c r="J234" s="132">
        <f t="shared" si="54"/>
        <v>0.64</v>
      </c>
      <c r="K234" s="132">
        <f t="shared" si="54"/>
        <v>0.64</v>
      </c>
      <c r="L234" s="132">
        <f t="shared" si="54"/>
        <v>0.64</v>
      </c>
      <c r="M234" s="132">
        <f t="shared" si="54"/>
        <v>0.64</v>
      </c>
      <c r="N234" s="132">
        <f t="shared" si="54"/>
        <v>0.64</v>
      </c>
      <c r="O234" s="132">
        <f t="shared" si="54"/>
        <v>0.64</v>
      </c>
      <c r="P234" s="132">
        <f t="shared" si="54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55">SUM(B229:B234)</f>
        <v>0</v>
      </c>
      <c r="C235" s="136">
        <f t="shared" si="55"/>
        <v>3.54</v>
      </c>
      <c r="D235" s="136">
        <f t="shared" si="55"/>
        <v>3.54</v>
      </c>
      <c r="E235" s="136">
        <f t="shared" si="55"/>
        <v>3.54</v>
      </c>
      <c r="F235" s="136">
        <f t="shared" si="55"/>
        <v>3.54</v>
      </c>
      <c r="G235" s="136">
        <f t="shared" si="55"/>
        <v>3.54</v>
      </c>
      <c r="H235" s="136">
        <f t="shared" si="55"/>
        <v>3.54</v>
      </c>
      <c r="I235" s="136">
        <f t="shared" ca="1" si="55"/>
        <v>121.23900000000009</v>
      </c>
      <c r="J235" s="136">
        <f t="shared" ca="1" si="55"/>
        <v>121.23900000000009</v>
      </c>
      <c r="K235" s="136">
        <f t="shared" ca="1" si="55"/>
        <v>121.23900000000009</v>
      </c>
      <c r="L235" s="136">
        <f t="shared" ca="1" si="55"/>
        <v>125.2590000000001</v>
      </c>
      <c r="M235" s="136">
        <f t="shared" ca="1" si="55"/>
        <v>121.23900000000009</v>
      </c>
      <c r="N235" s="136">
        <f t="shared" ca="1" si="55"/>
        <v>121.23900000000009</v>
      </c>
      <c r="O235" s="136">
        <f t="shared" ca="1" si="55"/>
        <v>121.23900000000009</v>
      </c>
      <c r="P235" s="136">
        <f t="shared" ca="1" si="55"/>
        <v>121.23900000000009</v>
      </c>
      <c r="Q235" s="136">
        <f t="shared" si="55"/>
        <v>0</v>
      </c>
      <c r="R235" s="136">
        <f t="shared" si="55"/>
        <v>0</v>
      </c>
      <c r="S235" s="136">
        <f t="shared" si="55"/>
        <v>0</v>
      </c>
      <c r="T235" s="136">
        <f t="shared" si="55"/>
        <v>0</v>
      </c>
      <c r="U235" s="136">
        <f t="shared" si="55"/>
        <v>0</v>
      </c>
      <c r="V235" s="136">
        <f t="shared" si="55"/>
        <v>0</v>
      </c>
      <c r="W235" s="136">
        <f t="shared" si="55"/>
        <v>0</v>
      </c>
      <c r="X235" s="136">
        <f t="shared" si="55"/>
        <v>0</v>
      </c>
      <c r="Y235" s="136">
        <f t="shared" si="55"/>
        <v>0</v>
      </c>
      <c r="Z235" s="136">
        <f t="shared" si="55"/>
        <v>0</v>
      </c>
      <c r="AA235" s="136">
        <f t="shared" si="55"/>
        <v>0</v>
      </c>
      <c r="AB235" s="136">
        <f t="shared" si="55"/>
        <v>0</v>
      </c>
      <c r="AC235" s="136">
        <f t="shared" si="55"/>
        <v>0</v>
      </c>
      <c r="AD235" s="136">
        <f t="shared" si="55"/>
        <v>0</v>
      </c>
      <c r="AE235" s="136">
        <f t="shared" si="55"/>
        <v>0</v>
      </c>
      <c r="AF235" s="136">
        <f t="shared" si="55"/>
        <v>0</v>
      </c>
      <c r="AG235" s="145">
        <f t="shared" si="55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1888.94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3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2080/04/3)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2080/04/3)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56">B91</f>
        <v>1719.04</v>
      </c>
      <c r="U249" s="170">
        <f t="shared" si="56"/>
        <v>1908.34</v>
      </c>
      <c r="V249" s="170">
        <f t="shared" si="56"/>
        <v>1873.34</v>
      </c>
      <c r="W249" s="170">
        <f t="shared" si="56"/>
        <v>1856.94</v>
      </c>
      <c r="X249" s="170">
        <f t="shared" si="56"/>
        <v>1857.94</v>
      </c>
      <c r="Y249" s="170">
        <f t="shared" si="56"/>
        <v>1858.94</v>
      </c>
      <c r="Z249" s="170">
        <f t="shared" si="56"/>
        <v>1879.44</v>
      </c>
      <c r="AA249" s="170">
        <f t="shared" si="56"/>
        <v>1819.8400000000001</v>
      </c>
      <c r="AB249" s="170">
        <f t="shared" si="56"/>
        <v>1806.94</v>
      </c>
      <c r="AC249" s="170">
        <f t="shared" si="56"/>
        <v>1809.44</v>
      </c>
      <c r="AD249" s="170">
        <f t="shared" si="56"/>
        <v>1814.44</v>
      </c>
      <c r="AE249" s="170">
        <f t="shared" si="56"/>
        <v>1826.0400000000002</v>
      </c>
      <c r="AF249" s="170">
        <f t="shared" si="56"/>
        <v>1888.94</v>
      </c>
      <c r="AG249" s="170">
        <f t="shared" si="56"/>
        <v>537.04</v>
      </c>
      <c r="AH249" s="170">
        <f t="shared" si="56"/>
        <v>8.5399999999999991</v>
      </c>
      <c r="AI249" s="170">
        <f t="shared" si="56"/>
        <v>1976.3400000000001</v>
      </c>
      <c r="AJ249" s="170">
        <f t="shared" si="56"/>
        <v>1959.2400000000002</v>
      </c>
      <c r="AK249" s="170">
        <f t="shared" si="56"/>
        <v>1990.1399999999999</v>
      </c>
      <c r="AL249" s="170">
        <f t="shared" si="56"/>
        <v>1977.54</v>
      </c>
      <c r="AM249" s="170">
        <f t="shared" si="56"/>
        <v>2006.4400000000003</v>
      </c>
      <c r="AN249" s="170">
        <f t="shared" si="56"/>
        <v>1985.0400000000002</v>
      </c>
      <c r="AO249" s="170">
        <f t="shared" si="56"/>
        <v>1955.3400000000001</v>
      </c>
      <c r="AP249" s="170">
        <f t="shared" si="56"/>
        <v>1945.5400000000002</v>
      </c>
      <c r="AQ249" s="170">
        <f t="shared" si="56"/>
        <v>1961.44</v>
      </c>
      <c r="AR249" s="170">
        <f t="shared" si="56"/>
        <v>1960.24</v>
      </c>
      <c r="AS249" s="170">
        <f t="shared" si="56"/>
        <v>2028.4400000000003</v>
      </c>
      <c r="AT249" s="170">
        <f t="shared" si="56"/>
        <v>2073.04</v>
      </c>
      <c r="AU249" s="170">
        <f t="shared" si="56"/>
        <v>2073.04</v>
      </c>
      <c r="AV249" s="170">
        <f t="shared" si="56"/>
        <v>11.54</v>
      </c>
      <c r="AW249" s="170">
        <f t="shared" si="56"/>
        <v>2359.34</v>
      </c>
      <c r="AX249" s="170">
        <f t="shared" si="56"/>
        <v>1943.24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57">C234</f>
        <v>0.64</v>
      </c>
      <c r="C270" s="173">
        <f t="shared" si="57"/>
        <v>0.64</v>
      </c>
      <c r="D270" s="173">
        <f t="shared" si="57"/>
        <v>0.64</v>
      </c>
      <c r="E270" s="173">
        <f t="shared" si="57"/>
        <v>0.64</v>
      </c>
      <c r="F270" s="173">
        <f t="shared" si="57"/>
        <v>0.64</v>
      </c>
      <c r="G270" s="173">
        <f t="shared" si="57"/>
        <v>0.64</v>
      </c>
      <c r="H270" s="173">
        <f t="shared" si="57"/>
        <v>0.64</v>
      </c>
      <c r="I270" s="173">
        <f t="shared" si="57"/>
        <v>0.64</v>
      </c>
      <c r="J270" s="173">
        <f t="shared" si="57"/>
        <v>0.64</v>
      </c>
      <c r="K270" s="173">
        <f t="shared" si="57"/>
        <v>0.64</v>
      </c>
      <c r="L270" s="173">
        <f t="shared" si="57"/>
        <v>0.64</v>
      </c>
      <c r="M270" s="173">
        <f t="shared" si="57"/>
        <v>0.64</v>
      </c>
      <c r="N270" s="173">
        <f t="shared" si="57"/>
        <v>0.64</v>
      </c>
      <c r="O270" s="173">
        <f t="shared" si="57"/>
        <v>0.64</v>
      </c>
      <c r="P270" s="173">
        <f t="shared" si="57"/>
        <v>0</v>
      </c>
      <c r="Q270" s="173">
        <f t="shared" si="57"/>
        <v>0</v>
      </c>
      <c r="R270" s="173">
        <f t="shared" si="57"/>
        <v>0</v>
      </c>
      <c r="S270" s="173">
        <f t="shared" si="57"/>
        <v>0</v>
      </c>
      <c r="T270" s="173">
        <f t="shared" si="57"/>
        <v>0</v>
      </c>
      <c r="U270" s="173">
        <f t="shared" si="57"/>
        <v>0</v>
      </c>
      <c r="V270" s="173">
        <f t="shared" si="57"/>
        <v>0</v>
      </c>
      <c r="W270" s="173">
        <f t="shared" si="57"/>
        <v>0</v>
      </c>
      <c r="X270" s="173">
        <f t="shared" si="57"/>
        <v>0</v>
      </c>
      <c r="Y270" s="173">
        <f t="shared" si="57"/>
        <v>0</v>
      </c>
      <c r="Z270" s="173">
        <f t="shared" si="57"/>
        <v>0</v>
      </c>
      <c r="AA270" s="173">
        <f t="shared" si="57"/>
        <v>0</v>
      </c>
      <c r="AB270" s="173">
        <f t="shared" si="57"/>
        <v>0</v>
      </c>
      <c r="AC270" s="173">
        <f t="shared" si="57"/>
        <v>0</v>
      </c>
      <c r="AD270" s="173">
        <f t="shared" si="57"/>
        <v>0</v>
      </c>
      <c r="AE270" s="173">
        <f t="shared" si="57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58">IF(B238&lt;100,"",B238-520)</f>
        <v/>
      </c>
      <c r="C271" s="174" t="str">
        <f t="shared" si="58"/>
        <v/>
      </c>
      <c r="D271" s="174" t="str">
        <f t="shared" si="58"/>
        <v/>
      </c>
      <c r="E271" s="174" t="str">
        <f t="shared" si="58"/>
        <v/>
      </c>
      <c r="F271" s="174" t="str">
        <f t="shared" si="58"/>
        <v/>
      </c>
      <c r="G271" s="174" t="str">
        <f t="shared" si="58"/>
        <v/>
      </c>
      <c r="H271" s="174" t="str">
        <f t="shared" si="58"/>
        <v/>
      </c>
      <c r="I271" s="174" t="str">
        <f t="shared" si="58"/>
        <v/>
      </c>
      <c r="J271" s="174" t="str">
        <f t="shared" si="58"/>
        <v/>
      </c>
      <c r="K271" s="174" t="str">
        <f t="shared" si="58"/>
        <v/>
      </c>
      <c r="L271" s="174" t="str">
        <f t="shared" si="58"/>
        <v/>
      </c>
      <c r="M271" s="174" t="str">
        <f t="shared" si="58"/>
        <v/>
      </c>
      <c r="N271" s="174" t="str">
        <f t="shared" si="58"/>
        <v/>
      </c>
      <c r="O271" s="174" t="str">
        <f t="shared" si="58"/>
        <v/>
      </c>
      <c r="P271" s="174" t="str">
        <f t="shared" si="58"/>
        <v/>
      </c>
      <c r="Q271" s="174" t="str">
        <f t="shared" si="58"/>
        <v/>
      </c>
      <c r="R271" s="174" t="str">
        <f t="shared" si="58"/>
        <v/>
      </c>
      <c r="S271" s="174" t="str">
        <f t="shared" si="58"/>
        <v/>
      </c>
      <c r="T271" s="174" t="str">
        <f t="shared" si="58"/>
        <v/>
      </c>
      <c r="U271" s="174" t="str">
        <f t="shared" si="58"/>
        <v/>
      </c>
      <c r="V271" s="174" t="str">
        <f t="shared" si="58"/>
        <v/>
      </c>
      <c r="W271" s="174" t="str">
        <f t="shared" si="58"/>
        <v/>
      </c>
      <c r="X271" s="174" t="str">
        <f t="shared" si="58"/>
        <v/>
      </c>
      <c r="Y271" s="174" t="str">
        <f t="shared" si="58"/>
        <v/>
      </c>
      <c r="Z271" s="174" t="str">
        <f t="shared" si="58"/>
        <v/>
      </c>
      <c r="AA271" s="174" t="str">
        <f t="shared" si="58"/>
        <v/>
      </c>
      <c r="AB271" s="174" t="str">
        <f t="shared" si="58"/>
        <v/>
      </c>
      <c r="AC271" s="174" t="str">
        <f t="shared" si="58"/>
        <v/>
      </c>
      <c r="AD271" s="174" t="str">
        <f t="shared" si="58"/>
        <v/>
      </c>
      <c r="AE271" s="174" t="str">
        <f t="shared" si="58"/>
        <v/>
      </c>
      <c r="AF271" s="174" t="str">
        <f t="shared" si="58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59">IF(B239&lt;100,"",B239-620)</f>
        <v/>
      </c>
      <c r="C272" s="174" t="str">
        <f t="shared" si="59"/>
        <v/>
      </c>
      <c r="D272" s="174" t="str">
        <f t="shared" si="59"/>
        <v/>
      </c>
      <c r="E272" s="174" t="str">
        <f t="shared" si="59"/>
        <v/>
      </c>
      <c r="F272" s="174" t="str">
        <f t="shared" si="59"/>
        <v/>
      </c>
      <c r="G272" s="174" t="str">
        <f t="shared" si="59"/>
        <v/>
      </c>
      <c r="H272" s="174" t="str">
        <f t="shared" si="59"/>
        <v/>
      </c>
      <c r="I272" s="174" t="str">
        <f t="shared" si="59"/>
        <v/>
      </c>
      <c r="J272" s="174" t="str">
        <f t="shared" si="59"/>
        <v/>
      </c>
      <c r="K272" s="174" t="str">
        <f t="shared" si="59"/>
        <v/>
      </c>
      <c r="L272" s="174" t="str">
        <f t="shared" si="59"/>
        <v/>
      </c>
      <c r="M272" s="174" t="str">
        <f t="shared" si="59"/>
        <v/>
      </c>
      <c r="N272" s="174" t="str">
        <f t="shared" si="59"/>
        <v/>
      </c>
      <c r="O272" s="174" t="str">
        <f t="shared" si="59"/>
        <v/>
      </c>
      <c r="P272" s="174" t="str">
        <f t="shared" si="59"/>
        <v/>
      </c>
      <c r="Q272" s="174" t="str">
        <f t="shared" si="59"/>
        <v/>
      </c>
      <c r="R272" s="174" t="str">
        <f t="shared" si="59"/>
        <v/>
      </c>
      <c r="S272" s="174" t="str">
        <f t="shared" si="59"/>
        <v/>
      </c>
      <c r="T272" s="174" t="str">
        <f t="shared" si="59"/>
        <v/>
      </c>
      <c r="U272" s="174" t="str">
        <f t="shared" si="59"/>
        <v/>
      </c>
      <c r="V272" s="174" t="str">
        <f t="shared" si="59"/>
        <v/>
      </c>
      <c r="W272" s="174" t="str">
        <f t="shared" si="59"/>
        <v/>
      </c>
      <c r="X272" s="174" t="str">
        <f t="shared" si="59"/>
        <v/>
      </c>
      <c r="Y272" s="174" t="str">
        <f t="shared" si="59"/>
        <v/>
      </c>
      <c r="Z272" s="174" t="str">
        <f t="shared" si="59"/>
        <v/>
      </c>
      <c r="AA272" s="174" t="str">
        <f t="shared" si="59"/>
        <v/>
      </c>
      <c r="AB272" s="174" t="str">
        <f t="shared" si="59"/>
        <v/>
      </c>
      <c r="AC272" s="174" t="str">
        <f t="shared" si="59"/>
        <v/>
      </c>
      <c r="AD272" s="174" t="str">
        <f t="shared" si="59"/>
        <v/>
      </c>
      <c r="AE272" s="174" t="str">
        <f t="shared" si="59"/>
        <v/>
      </c>
      <c r="AF272" s="174" t="str">
        <f t="shared" si="59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60">IF(B240&lt;100,"",B240-330)</f>
        <v/>
      </c>
      <c r="C273" s="174" t="str">
        <f t="shared" si="60"/>
        <v/>
      </c>
      <c r="D273" s="174" t="str">
        <f t="shared" si="60"/>
        <v/>
      </c>
      <c r="E273" s="174" t="str">
        <f t="shared" si="60"/>
        <v/>
      </c>
      <c r="F273" s="174" t="str">
        <f t="shared" si="60"/>
        <v/>
      </c>
      <c r="G273" s="174" t="str">
        <f t="shared" si="60"/>
        <v/>
      </c>
      <c r="H273" s="174" t="str">
        <f t="shared" si="60"/>
        <v/>
      </c>
      <c r="I273" s="174" t="str">
        <f t="shared" si="60"/>
        <v/>
      </c>
      <c r="J273" s="174" t="str">
        <f t="shared" si="60"/>
        <v/>
      </c>
      <c r="K273" s="174" t="str">
        <f t="shared" si="60"/>
        <v/>
      </c>
      <c r="L273" s="174" t="str">
        <f t="shared" si="60"/>
        <v/>
      </c>
      <c r="M273" s="174" t="str">
        <f t="shared" si="60"/>
        <v/>
      </c>
      <c r="N273" s="174" t="str">
        <f t="shared" si="60"/>
        <v/>
      </c>
      <c r="O273" s="174" t="str">
        <f t="shared" si="60"/>
        <v/>
      </c>
      <c r="P273" s="174" t="str">
        <f t="shared" si="60"/>
        <v/>
      </c>
      <c r="Q273" s="174" t="str">
        <f t="shared" si="60"/>
        <v/>
      </c>
      <c r="R273" s="174" t="str">
        <f t="shared" si="60"/>
        <v/>
      </c>
      <c r="S273" s="174" t="str">
        <f t="shared" si="60"/>
        <v/>
      </c>
      <c r="T273" s="174" t="str">
        <f t="shared" si="60"/>
        <v/>
      </c>
      <c r="U273" s="174" t="str">
        <f t="shared" si="60"/>
        <v/>
      </c>
      <c r="V273" s="174" t="str">
        <f t="shared" si="60"/>
        <v/>
      </c>
      <c r="W273" s="174" t="str">
        <f t="shared" si="60"/>
        <v/>
      </c>
      <c r="X273" s="174" t="str">
        <f t="shared" si="60"/>
        <v/>
      </c>
      <c r="Y273" s="174" t="str">
        <f t="shared" si="60"/>
        <v/>
      </c>
      <c r="Z273" s="174" t="str">
        <f t="shared" si="60"/>
        <v/>
      </c>
      <c r="AA273" s="174" t="str">
        <f t="shared" si="60"/>
        <v/>
      </c>
      <c r="AB273" s="174" t="str">
        <f t="shared" si="60"/>
        <v/>
      </c>
      <c r="AC273" s="174" t="str">
        <f t="shared" si="60"/>
        <v/>
      </c>
      <c r="AD273" s="174" t="str">
        <f t="shared" si="60"/>
        <v/>
      </c>
      <c r="AE273" s="174" t="str">
        <f t="shared" si="60"/>
        <v/>
      </c>
      <c r="AF273" s="174" t="str">
        <f t="shared" si="60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61">IF(B241&lt;100,"",B241-1500)</f>
        <v/>
      </c>
      <c r="C274" s="174" t="str">
        <f t="shared" si="61"/>
        <v/>
      </c>
      <c r="D274" s="174" t="str">
        <f t="shared" si="61"/>
        <v/>
      </c>
      <c r="E274" s="174" t="str">
        <f t="shared" si="61"/>
        <v/>
      </c>
      <c r="F274" s="174" t="str">
        <f t="shared" si="61"/>
        <v/>
      </c>
      <c r="G274" s="174" t="str">
        <f t="shared" si="61"/>
        <v/>
      </c>
      <c r="H274" s="174" t="str">
        <f t="shared" si="61"/>
        <v/>
      </c>
      <c r="I274" s="174" t="str">
        <f t="shared" si="61"/>
        <v/>
      </c>
      <c r="J274" s="174" t="str">
        <f t="shared" si="61"/>
        <v/>
      </c>
      <c r="K274" s="174" t="str">
        <f t="shared" si="61"/>
        <v/>
      </c>
      <c r="L274" s="174" t="str">
        <f t="shared" si="61"/>
        <v/>
      </c>
      <c r="M274" s="174" t="str">
        <f t="shared" si="61"/>
        <v/>
      </c>
      <c r="N274" s="174" t="str">
        <f t="shared" si="61"/>
        <v/>
      </c>
      <c r="O274" s="174" t="str">
        <f t="shared" si="61"/>
        <v/>
      </c>
      <c r="P274" s="174" t="str">
        <f t="shared" si="61"/>
        <v/>
      </c>
      <c r="Q274" s="174" t="str">
        <f t="shared" si="61"/>
        <v/>
      </c>
      <c r="R274" s="174" t="str">
        <f t="shared" si="61"/>
        <v/>
      </c>
      <c r="S274" s="174" t="str">
        <f t="shared" si="61"/>
        <v/>
      </c>
      <c r="T274" s="174" t="str">
        <f t="shared" si="61"/>
        <v/>
      </c>
      <c r="U274" s="174" t="str">
        <f t="shared" si="61"/>
        <v/>
      </c>
      <c r="V274" s="174" t="str">
        <f t="shared" si="61"/>
        <v/>
      </c>
      <c r="W274" s="174" t="str">
        <f t="shared" si="61"/>
        <v/>
      </c>
      <c r="X274" s="174" t="str">
        <f t="shared" si="61"/>
        <v/>
      </c>
      <c r="Y274" s="174" t="str">
        <f t="shared" si="61"/>
        <v/>
      </c>
      <c r="Z274" s="174" t="str">
        <f t="shared" si="61"/>
        <v/>
      </c>
      <c r="AA274" s="174" t="str">
        <f t="shared" si="61"/>
        <v/>
      </c>
      <c r="AB274" s="174" t="str">
        <f t="shared" si="61"/>
        <v/>
      </c>
      <c r="AC274" s="174" t="str">
        <f t="shared" si="61"/>
        <v/>
      </c>
      <c r="AD274" s="174" t="str">
        <f t="shared" si="61"/>
        <v/>
      </c>
      <c r="AE274" s="174" t="str">
        <f t="shared" si="61"/>
        <v/>
      </c>
      <c r="AF274" s="174" t="str">
        <f t="shared" si="61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2824" priority="1">
      <formula>$AH11=0</formula>
    </cfRule>
  </conditionalFormatting>
  <conditionalFormatting sqref="B8 M8 S8 AB8">
    <cfRule type="expression" dxfId="2823" priority="100">
      <formula>C$9&lt;8/24</formula>
    </cfRule>
    <cfRule type="expression" dxfId="2822" priority="99">
      <formula>AND(C$9&gt;=8/24,C$9&lt;14/24)</formula>
    </cfRule>
    <cfRule type="expression" dxfId="2821" priority="98">
      <formula>AND(C$9&gt;=14/24,C$9&lt;20/24)</formula>
    </cfRule>
  </conditionalFormatting>
  <conditionalFormatting sqref="B9:AF31">
    <cfRule type="expression" dxfId="2820" priority="17">
      <formula>B$9&gt;=20/24</formula>
    </cfRule>
    <cfRule type="expression" dxfId="2819" priority="18">
      <formula>AND(B$9&gt;=14/24,B$9&lt;20/24)</formula>
    </cfRule>
    <cfRule type="expression" dxfId="2818" priority="19">
      <formula>AND(B$9&gt;=8/24,B$9&lt;14/24)</formula>
    </cfRule>
    <cfRule type="expression" dxfId="2817" priority="20">
      <formula>B$9&lt;8/24</formula>
    </cfRule>
  </conditionalFormatting>
  <conditionalFormatting sqref="B11:AF31">
    <cfRule type="expression" dxfId="2816" priority="16">
      <formula>B11&gt;$AG11</formula>
    </cfRule>
  </conditionalFormatting>
  <conditionalFormatting sqref="B32:AF45">
    <cfRule type="expression" dxfId="2815" priority="31">
      <formula>AND(B$9&gt;=14/24,B$9&lt;20/24)</formula>
    </cfRule>
    <cfRule type="expression" dxfId="2814" priority="32">
      <formula>AND(B$9&gt;=8/24,B$9&lt;14/24)</formula>
    </cfRule>
    <cfRule type="expression" dxfId="2813" priority="33">
      <formula>B$9&lt;8/24</formula>
    </cfRule>
    <cfRule type="expression" dxfId="2812" priority="30">
      <formula>B$9&gt;=20/24</formula>
    </cfRule>
  </conditionalFormatting>
  <conditionalFormatting sqref="B32:AF46">
    <cfRule type="expression" dxfId="2811" priority="29">
      <formula>B32&gt;$AG32</formula>
    </cfRule>
  </conditionalFormatting>
  <conditionalFormatting sqref="B46:AF46">
    <cfRule type="expression" dxfId="2810" priority="25">
      <formula>B$9&gt;=20/24</formula>
    </cfRule>
    <cfRule type="expression" dxfId="2809" priority="26">
      <formula>AND(B$9&gt;=14/24,B$9&lt;20/24)</formula>
    </cfRule>
    <cfRule type="expression" dxfId="2808" priority="27">
      <formula>AND(B$9&gt;=8/24,B$9&lt;14/24)</formula>
    </cfRule>
    <cfRule type="expression" dxfId="2807" priority="28">
      <formula>B$9&lt;8/24</formula>
    </cfRule>
  </conditionalFormatting>
  <conditionalFormatting sqref="B47:AF47">
    <cfRule type="expression" dxfId="2806" priority="40">
      <formula>B47&gt;$AG47</formula>
    </cfRule>
  </conditionalFormatting>
  <conditionalFormatting sqref="B47:AF49">
    <cfRule type="expression" dxfId="2805" priority="36">
      <formula>B$9&gt;=20/24</formula>
    </cfRule>
    <cfRule type="expression" dxfId="2804" priority="37">
      <formula>AND(B$9&gt;=14/24,B$9&lt;20/24)</formula>
    </cfRule>
    <cfRule type="expression" dxfId="2803" priority="38">
      <formula>AND(B$9&gt;=8/24,B$9&lt;14/24)</formula>
    </cfRule>
    <cfRule type="expression" dxfId="2802" priority="39">
      <formula>B$9&lt;8/24</formula>
    </cfRule>
  </conditionalFormatting>
  <conditionalFormatting sqref="B48:AF49">
    <cfRule type="expression" dxfId="2801" priority="35">
      <formula>B48&gt;$AG48</formula>
    </cfRule>
  </conditionalFormatting>
  <conditionalFormatting sqref="B51:AF53">
    <cfRule type="expression" dxfId="2800" priority="60">
      <formula>B$9&lt;8/24</formula>
    </cfRule>
    <cfRule type="expression" dxfId="2799" priority="56">
      <formula>B51&gt;$AG51</formula>
    </cfRule>
    <cfRule type="expression" dxfId="2798" priority="57">
      <formula>B$9&gt;=20/24</formula>
    </cfRule>
    <cfRule type="expression" dxfId="2797" priority="58">
      <formula>AND(B$9&gt;=14/24,B$9&lt;20/24)</formula>
    </cfRule>
    <cfRule type="expression" dxfId="2796" priority="59">
      <formula>AND(B$9&gt;=8/24,B$9&lt;14/24)</formula>
    </cfRule>
  </conditionalFormatting>
  <conditionalFormatting sqref="B55:AF66">
    <cfRule type="expression" dxfId="2795" priority="43">
      <formula>AND(B$9&gt;=14/24,B$9&lt;20/24)</formula>
    </cfRule>
    <cfRule type="expression" dxfId="2794" priority="44">
      <formula>AND(B$9&gt;=8/24,B$9&lt;14/24)</formula>
    </cfRule>
    <cfRule type="expression" dxfId="2793" priority="45">
      <formula>B$9&lt;8/24</formula>
    </cfRule>
    <cfRule type="expression" dxfId="2792" priority="41">
      <formula>B55&gt;$AG55</formula>
    </cfRule>
    <cfRule type="expression" dxfId="2791" priority="42">
      <formula>B$9&gt;=20/24</formula>
    </cfRule>
  </conditionalFormatting>
  <conditionalFormatting sqref="B69:AF71">
    <cfRule type="expression" dxfId="2790" priority="8">
      <formula>B$9&gt;=20/24</formula>
    </cfRule>
    <cfRule type="expression" dxfId="2789" priority="7">
      <formula>B69&gt;$AG69</formula>
    </cfRule>
    <cfRule type="expression" dxfId="2788" priority="9">
      <formula>AND(B$9&gt;=14/24,B$9&lt;20/24)</formula>
    </cfRule>
    <cfRule type="expression" dxfId="2787" priority="10">
      <formula>AND(B$9&gt;=8/24,B$9&lt;14/24)</formula>
    </cfRule>
    <cfRule type="expression" dxfId="2786" priority="11">
      <formula>B$9&lt;8/24</formula>
    </cfRule>
  </conditionalFormatting>
  <conditionalFormatting sqref="B73:AF83 B84:AG84 B85:AF90 B91:AG91">
    <cfRule type="expression" dxfId="2785" priority="4">
      <formula>AND(B$9&gt;=14/24,B$9&lt;20/24)</formula>
    </cfRule>
    <cfRule type="expression" dxfId="2784" priority="5">
      <formula>AND(B$9&gt;=8/24,B$9&lt;14/24)</formula>
    </cfRule>
    <cfRule type="expression" dxfId="2783" priority="6">
      <formula>B$9&lt;8/24</formula>
    </cfRule>
    <cfRule type="expression" dxfId="2782" priority="3">
      <formula>B$9&gt;=20/24</formula>
    </cfRule>
  </conditionalFormatting>
  <conditionalFormatting sqref="B93:AF109">
    <cfRule type="expression" dxfId="2781" priority="12">
      <formula>B$9&gt;=20/24</formula>
    </cfRule>
    <cfRule type="expression" dxfId="2780" priority="13">
      <formula>AND(B$9&gt;=14/24,B$9&lt;20/24)</formula>
    </cfRule>
    <cfRule type="expression" dxfId="2779" priority="14">
      <formula>AND(B$9&gt;=8/24,B$9&lt;14/24)</formula>
    </cfRule>
    <cfRule type="expression" dxfId="2778" priority="15">
      <formula>B$9&lt;8/24</formula>
    </cfRule>
  </conditionalFormatting>
  <conditionalFormatting sqref="B111:AF120">
    <cfRule type="expression" dxfId="2777" priority="21">
      <formula>B$9&gt;=20/24</formula>
    </cfRule>
    <cfRule type="expression" dxfId="2776" priority="22">
      <formula>AND(B$9&gt;=14/24,B$9&lt;20/24)</formula>
    </cfRule>
    <cfRule type="expression" dxfId="2775" priority="23">
      <formula>AND(B$9&gt;=8/24,B$9&lt;14/24)</formula>
    </cfRule>
    <cfRule type="expression" dxfId="2774" priority="24">
      <formula>B$9&lt;8/24</formula>
    </cfRule>
  </conditionalFormatting>
  <conditionalFormatting sqref="B227:AF227 D229:AF230 B229:B235 D231:H231 J231:AF231 D232:AF235 U248:AF248">
    <cfRule type="expression" dxfId="2773" priority="93">
      <formula>AND(B$9&gt;=8/24,B$9&lt;14/24)</formula>
    </cfRule>
    <cfRule type="expression" dxfId="2772" priority="94">
      <formula>B$9&lt;8/24</formula>
    </cfRule>
    <cfRule type="expression" dxfId="2771" priority="92">
      <formula>AND(B$9&gt;=14/24,B$9&lt;20/24)</formula>
    </cfRule>
    <cfRule type="expression" dxfId="2770" priority="91">
      <formula>B$9&gt;=20/24</formula>
    </cfRule>
  </conditionalFormatting>
  <conditionalFormatting sqref="B50:AG50">
    <cfRule type="expression" dxfId="2769" priority="34">
      <formula>B50&gt;$AG50</formula>
    </cfRule>
  </conditionalFormatting>
  <conditionalFormatting sqref="B54:AG54">
    <cfRule type="expression" dxfId="2768" priority="50">
      <formula>B$9&lt;8/24</formula>
    </cfRule>
    <cfRule type="expression" dxfId="2767" priority="46">
      <formula>B54&gt;$AG54</formula>
    </cfRule>
    <cfRule type="expression" dxfId="2766" priority="47">
      <formula>B$9&gt;=20/24</formula>
    </cfRule>
    <cfRule type="expression" dxfId="2765" priority="48">
      <formula>AND(B$9&gt;=14/24,B$9&lt;20/24)</formula>
    </cfRule>
    <cfRule type="expression" dxfId="2764" priority="49">
      <formula>AND(B$9&gt;=8/24,B$9&lt;14/24)</formula>
    </cfRule>
  </conditionalFormatting>
  <conditionalFormatting sqref="B67:AG68 B72:AG72">
    <cfRule type="expression" dxfId="2763" priority="51">
      <formula>B67&gt;$AG67</formula>
    </cfRule>
  </conditionalFormatting>
  <conditionalFormatting sqref="B72:AG72">
    <cfRule type="expression" dxfId="2762" priority="55">
      <formula>B$9&lt;8/24</formula>
    </cfRule>
    <cfRule type="expression" dxfId="2761" priority="53">
      <formula>AND(B$9&gt;=14/24,B$9&lt;20/24)</formula>
    </cfRule>
    <cfRule type="expression" dxfId="2760" priority="54">
      <formula>AND(B$9&gt;=8/24,B$9&lt;14/24)</formula>
    </cfRule>
    <cfRule type="expression" dxfId="2759" priority="52">
      <formula>B$9&gt;=20/24</formula>
    </cfRule>
  </conditionalFormatting>
  <conditionalFormatting sqref="O3:P3">
    <cfRule type="iconSet" priority="9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758" priority="97">
      <formula>C$9&gt;=20/24</formula>
    </cfRule>
  </conditionalFormatting>
  <conditionalFormatting sqref="S8">
    <cfRule type="expression" dxfId="2757" priority="87">
      <formula>U$9&lt;8/24</formula>
    </cfRule>
    <cfRule type="expression" dxfId="2756" priority="86">
      <formula>AND(U$9&gt;=8/24,U$9&lt;14/24)</formula>
    </cfRule>
    <cfRule type="expression" dxfId="2755" priority="85">
      <formula>AND(U$9&gt;=14/24,U$9&lt;20/24)</formula>
    </cfRule>
    <cfRule type="expression" dxfId="2754" priority="84">
      <formula>U$9&gt;=20/24</formula>
    </cfRule>
  </conditionalFormatting>
  <conditionalFormatting sqref="T248">
    <cfRule type="expression" dxfId="2753" priority="112">
      <formula>AX$9&lt;8/24</formula>
    </cfRule>
    <cfRule type="expression" dxfId="2752" priority="109">
      <formula>AX$9&gt;=20/24</formula>
    </cfRule>
    <cfRule type="expression" dxfId="2751" priority="110">
      <formula>AND(AX$9&gt;=14/24,AX$9&lt;20/24)</formula>
    </cfRule>
    <cfRule type="expression" dxfId="2750" priority="111">
      <formula>AND(AX$9&gt;=8/24,AX$9&lt;14/24)</formula>
    </cfRule>
  </conditionalFormatting>
  <conditionalFormatting sqref="V3 AB3">
    <cfRule type="iconSet" priority="96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749" priority="83">
      <formula>AD$9&lt;8/24</formula>
    </cfRule>
    <cfRule type="expression" dxfId="2748" priority="81">
      <formula>AND(AD$9&gt;=14/24,AD$9&lt;20/24)</formula>
    </cfRule>
    <cfRule type="expression" dxfId="2747" priority="80">
      <formula>AD$9&gt;=20/24</formula>
    </cfRule>
    <cfRule type="expression" dxfId="2746" priority="82">
      <formula>AND(AD$9&gt;=8/24,AD$9&lt;14/24)</formula>
    </cfRule>
  </conditionalFormatting>
  <conditionalFormatting sqref="AG89">
    <cfRule type="expression" dxfId="2745" priority="76">
      <formula>AG$9&gt;=20/24</formula>
    </cfRule>
    <cfRule type="expression" dxfId="2744" priority="77">
      <formula>AND(AG$9&gt;=14/24,AG$9&lt;20/24)</formula>
    </cfRule>
    <cfRule type="expression" dxfId="2743" priority="78">
      <formula>AND(AG$9&gt;=8/24,AG$9&lt;14/24)</formula>
    </cfRule>
    <cfRule type="expression" dxfId="2742" priority="79">
      <formula>AG$9&lt;8/24</formula>
    </cfRule>
  </conditionalFormatting>
  <conditionalFormatting sqref="AG248">
    <cfRule type="expression" dxfId="2741" priority="103">
      <formula>AND(B$9&gt;=8/24,B$9&lt;14/24)</formula>
    </cfRule>
    <cfRule type="expression" dxfId="2740" priority="101">
      <formula>B$9&gt;=20/24</formula>
    </cfRule>
    <cfRule type="expression" dxfId="2739" priority="102">
      <formula>AND(B$9&gt;=14/24,B$9&lt;20/24)</formula>
    </cfRule>
    <cfRule type="expression" dxfId="2738" priority="104">
      <formula>B$9&lt;8/24</formula>
    </cfRule>
  </conditionalFormatting>
  <conditionalFormatting sqref="AH248:AX248">
    <cfRule type="expression" dxfId="2737" priority="105">
      <formula>AG$9&gt;=20/24</formula>
    </cfRule>
    <cfRule type="expression" dxfId="2736" priority="106">
      <formula>AND(AG$9&gt;=14/24,AG$9&lt;20/24)</formula>
    </cfRule>
    <cfRule type="expression" dxfId="2735" priority="107">
      <formula>AND(AG$9&gt;=8/24,AG$9&lt;14/24)</formula>
    </cfRule>
    <cfRule type="expression" dxfId="2734" priority="108">
      <formula>AG$9&lt;8/24</formula>
    </cfRule>
  </conditionalFormatting>
  <conditionalFormatting sqref="AL4:AL6">
    <cfRule type="iconSet" priority="9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74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75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89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88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2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733" priority="114">
      <formula>AJ$9&gt;=20/24</formula>
    </cfRule>
    <cfRule type="expression" dxfId="2732" priority="115">
      <formula>AND(AJ$9&gt;=14/24,AJ$9&lt;20/24)</formula>
    </cfRule>
    <cfRule type="expression" dxfId="2731" priority="116">
      <formula>AND(AJ$9&gt;=8/24,AJ$9&lt;14/24)</formula>
    </cfRule>
    <cfRule type="expression" dxfId="2730" priority="117">
      <formula>AJ$9&lt;8/24</formula>
    </cfRule>
  </conditionalFormatting>
  <conditionalFormatting sqref="AL80:AN80 AL86:AN86">
    <cfRule type="expression" dxfId="2729" priority="72">
      <formula>AL$9&lt;8/24</formula>
    </cfRule>
    <cfRule type="expression" dxfId="2728" priority="71">
      <formula>AND(AL$9&gt;=8/24,AL$9&lt;14/24)</formula>
    </cfRule>
    <cfRule type="expression" dxfId="2727" priority="70">
      <formula>AND(AL$9&gt;=14/24,AL$9&lt;20/24)</formula>
    </cfRule>
    <cfRule type="expression" dxfId="2726" priority="69">
      <formula>AL$9&gt;=20/24</formula>
    </cfRule>
  </conditionalFormatting>
  <conditionalFormatting sqref="AN81:AN84">
    <cfRule type="expression" dxfId="2725" priority="68">
      <formula>AN$9&lt;8/24</formula>
    </cfRule>
    <cfRule type="expression" dxfId="2724" priority="66">
      <formula>AND(AN$9&gt;=14/24,AN$9&lt;20/24)</formula>
    </cfRule>
    <cfRule type="expression" dxfId="2723" priority="65">
      <formula>AN$9&gt;=20/24</formula>
    </cfRule>
    <cfRule type="expression" dxfId="2722" priority="67">
      <formula>AND(AN$9&gt;=8/24,AN$9&lt;14/24)</formula>
    </cfRule>
  </conditionalFormatting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242B-BD67-4795-847B-0F78E28E51C3}">
  <dimension ref="A1:CJ281"/>
  <sheetViews>
    <sheetView workbookViewId="0">
      <pane xSplit="1" ySplit="10" topLeftCell="K3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P112" sqref="P11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"2080/"&amp;"03/"&amp;INT(MID(CELL("filename",D6),FIND("]",CELL("filename",D6))+1,200))</f>
        <v>2080/03/4</v>
      </c>
      <c r="C4" s="203"/>
      <c r="D4" s="203"/>
      <c r="E4" s="204" t="str">
        <f ca="1">"2079/"&amp;"12/"&amp;INT(MID(CELL("filename",G6),FIND("]",CELL("filename",G6))+1,200))</f>
        <v>2079/12/4</v>
      </c>
      <c r="F4" s="204"/>
      <c r="G4" s="204"/>
      <c r="H4" s="204" t="str">
        <f ca="1">TEXT(E4,"dddd")</f>
        <v>Monday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48.2</v>
      </c>
      <c r="C5" s="30">
        <f t="shared" si="0"/>
        <v>52.1</v>
      </c>
      <c r="D5" s="30">
        <f t="shared" si="0"/>
        <v>45.34</v>
      </c>
      <c r="E5" s="30">
        <f t="shared" si="0"/>
        <v>27</v>
      </c>
      <c r="F5" s="30">
        <f t="shared" si="0"/>
        <v>21.1</v>
      </c>
      <c r="G5" s="30">
        <f t="shared" si="0"/>
        <v>21.1</v>
      </c>
      <c r="H5" s="30">
        <f t="shared" si="0"/>
        <v>9.1</v>
      </c>
      <c r="I5" s="30">
        <f t="shared" si="0"/>
        <v>22.4</v>
      </c>
      <c r="J5" s="30">
        <f t="shared" si="0"/>
        <v>11</v>
      </c>
      <c r="K5" s="30">
        <f t="shared" si="0"/>
        <v>11</v>
      </c>
      <c r="L5" s="30">
        <f t="shared" si="0"/>
        <v>17</v>
      </c>
      <c r="M5" s="30">
        <f t="shared" si="0"/>
        <v>5</v>
      </c>
      <c r="N5" s="30">
        <f t="shared" si="0"/>
        <v>38.5</v>
      </c>
      <c r="O5" s="30">
        <f t="shared" si="0"/>
        <v>38.5</v>
      </c>
      <c r="P5" s="30">
        <f t="shared" si="0"/>
        <v>53.1</v>
      </c>
      <c r="Q5" s="30">
        <f t="shared" si="0"/>
        <v>39.5</v>
      </c>
      <c r="R5" s="30">
        <f t="shared" si="0"/>
        <v>15.2</v>
      </c>
      <c r="S5" s="30">
        <f t="shared" si="0"/>
        <v>23.369999999999997</v>
      </c>
      <c r="T5" s="30">
        <f t="shared" si="0"/>
        <v>49.5</v>
      </c>
      <c r="U5" s="30">
        <f t="shared" si="0"/>
        <v>62.8</v>
      </c>
      <c r="V5" s="30">
        <f t="shared" si="0"/>
        <v>62.2</v>
      </c>
      <c r="W5" s="30">
        <f t="shared" si="0"/>
        <v>64.8</v>
      </c>
      <c r="X5" s="30">
        <f t="shared" si="0"/>
        <v>62.3</v>
      </c>
      <c r="Y5" s="30">
        <f t="shared" si="0"/>
        <v>47.2</v>
      </c>
      <c r="Z5" s="30">
        <f t="shared" si="0"/>
        <v>0</v>
      </c>
      <c r="AA5" s="30">
        <f t="shared" si="0"/>
        <v>57.1</v>
      </c>
      <c r="AB5" s="30">
        <f t="shared" si="0"/>
        <v>36.1</v>
      </c>
      <c r="AC5" s="30">
        <f t="shared" si="0"/>
        <v>47</v>
      </c>
      <c r="AD5" s="30">
        <f t="shared" si="0"/>
        <v>21.76</v>
      </c>
      <c r="AE5" s="30">
        <f t="shared" si="0"/>
        <v>27</v>
      </c>
      <c r="AF5" s="30">
        <f>B84</f>
        <v>45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1981MW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1979.94</v>
      </c>
      <c r="C7" s="35">
        <f t="shared" si="1"/>
        <v>1981.74</v>
      </c>
      <c r="D7" s="35">
        <f t="shared" si="1"/>
        <v>1953.54</v>
      </c>
      <c r="E7" s="35">
        <f t="shared" si="1"/>
        <v>1958.9199999999998</v>
      </c>
      <c r="F7" s="35">
        <f t="shared" si="1"/>
        <v>1936.44</v>
      </c>
      <c r="G7" s="35">
        <f t="shared" si="1"/>
        <v>1936.24</v>
      </c>
      <c r="H7" s="35">
        <f t="shared" si="1"/>
        <v>1947.74</v>
      </c>
      <c r="I7" s="35">
        <f t="shared" si="1"/>
        <v>1957.94</v>
      </c>
      <c r="J7" s="35">
        <f t="shared" si="1"/>
        <v>1971.2400000000002</v>
      </c>
      <c r="K7" s="35">
        <f t="shared" si="1"/>
        <v>1967.8400000000001</v>
      </c>
      <c r="L7" s="35">
        <f t="shared" si="1"/>
        <v>1972.8400000000001</v>
      </c>
      <c r="M7" s="35">
        <f t="shared" si="1"/>
        <v>1981.44</v>
      </c>
      <c r="N7" s="35">
        <f t="shared" si="1"/>
        <v>1970.34</v>
      </c>
      <c r="O7" s="35">
        <f t="shared" si="1"/>
        <v>2047.24</v>
      </c>
      <c r="P7" s="35">
        <f t="shared" si="1"/>
        <v>2027.0400000000002</v>
      </c>
      <c r="Q7" s="35">
        <f t="shared" si="1"/>
        <v>2025.78</v>
      </c>
      <c r="R7" s="35">
        <f t="shared" si="1"/>
        <v>2012.18</v>
      </c>
      <c r="S7" s="35">
        <f t="shared" si="1"/>
        <v>1987.88</v>
      </c>
      <c r="T7" s="35">
        <f t="shared" si="1"/>
        <v>1997.6499999999999</v>
      </c>
      <c r="U7" s="35">
        <f t="shared" si="1"/>
        <v>2023.78</v>
      </c>
      <c r="V7" s="35">
        <f t="shared" si="1"/>
        <v>2037.08</v>
      </c>
      <c r="W7" s="35">
        <f t="shared" si="1"/>
        <v>2017.74</v>
      </c>
      <c r="X7" s="35">
        <f t="shared" si="1"/>
        <v>2011.9399999999998</v>
      </c>
      <c r="Y7" s="35">
        <f t="shared" si="1"/>
        <v>2022.9399999999998</v>
      </c>
      <c r="Z7" s="35">
        <f t="shared" si="1"/>
        <v>2042.04</v>
      </c>
      <c r="AA7" s="35">
        <f t="shared" si="1"/>
        <v>3.54</v>
      </c>
      <c r="AB7" s="35">
        <f t="shared" si="1"/>
        <v>2037.04</v>
      </c>
      <c r="AC7" s="35">
        <f t="shared" si="1"/>
        <v>1699.84</v>
      </c>
      <c r="AD7" s="35">
        <f t="shared" si="1"/>
        <v>1855.7399999999998</v>
      </c>
      <c r="AE7" s="35">
        <f t="shared" si="1"/>
        <v>1871.3</v>
      </c>
      <c r="AF7" s="35">
        <f t="shared" si="1"/>
        <v>30.54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90.2</v>
      </c>
      <c r="C11" s="45">
        <v>90.2</v>
      </c>
      <c r="D11" s="45">
        <v>90.2</v>
      </c>
      <c r="E11" s="45">
        <v>90.2</v>
      </c>
      <c r="F11" s="45">
        <v>90.2</v>
      </c>
      <c r="G11" s="45">
        <v>90.2</v>
      </c>
      <c r="H11" s="45">
        <v>90.2</v>
      </c>
      <c r="I11" s="45">
        <v>90.2</v>
      </c>
      <c r="J11" s="45">
        <v>90.2</v>
      </c>
      <c r="K11" s="45">
        <v>90.2</v>
      </c>
      <c r="L11" s="45">
        <v>90.2</v>
      </c>
      <c r="M11" s="45">
        <v>90.2</v>
      </c>
      <c r="N11" s="45">
        <v>90.2</v>
      </c>
      <c r="O11" s="45">
        <v>90.2</v>
      </c>
      <c r="P11" s="45">
        <v>70</v>
      </c>
      <c r="Q11" s="45">
        <v>88.7</v>
      </c>
      <c r="R11" s="45">
        <v>88.7</v>
      </c>
      <c r="S11" s="45">
        <v>88.7</v>
      </c>
      <c r="T11" s="45">
        <v>90.3</v>
      </c>
      <c r="U11" s="45">
        <v>90.3</v>
      </c>
      <c r="V11" s="45">
        <v>90.3</v>
      </c>
      <c r="W11" s="45">
        <v>90.3</v>
      </c>
      <c r="X11" s="45">
        <v>90.3</v>
      </c>
      <c r="Y11" s="45">
        <v>90.3</v>
      </c>
      <c r="Z11" s="176">
        <v>90.3</v>
      </c>
      <c r="AA11" s="45"/>
      <c r="AB11" s="45">
        <v>0</v>
      </c>
      <c r="AC11" s="45">
        <v>0</v>
      </c>
      <c r="AD11" s="45">
        <v>61.2</v>
      </c>
      <c r="AE11" s="45">
        <v>90</v>
      </c>
      <c r="AF11" s="45"/>
      <c r="AG11" s="46">
        <v>86</v>
      </c>
      <c r="AH11" s="47">
        <f>MAX(B11:AF11)</f>
        <v>90.3</v>
      </c>
      <c r="AI11" s="48">
        <f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10</v>
      </c>
      <c r="O12" s="45">
        <v>10</v>
      </c>
      <c r="P12" s="45">
        <v>10</v>
      </c>
      <c r="Q12" s="45">
        <v>26</v>
      </c>
      <c r="R12" s="45">
        <v>26</v>
      </c>
      <c r="S12" s="45">
        <v>26</v>
      </c>
      <c r="T12" s="45">
        <v>26</v>
      </c>
      <c r="U12" s="45">
        <v>26</v>
      </c>
      <c r="V12" s="45">
        <v>26</v>
      </c>
      <c r="W12" s="45">
        <v>26</v>
      </c>
      <c r="X12" s="45">
        <v>26</v>
      </c>
      <c r="Y12" s="45">
        <v>26</v>
      </c>
      <c r="Z12" s="176">
        <v>26</v>
      </c>
      <c r="AA12" s="45"/>
      <c r="AB12" s="45">
        <v>26</v>
      </c>
      <c r="AC12" s="45">
        <v>26</v>
      </c>
      <c r="AD12" s="45">
        <v>26</v>
      </c>
      <c r="AE12" s="45">
        <v>26</v>
      </c>
      <c r="AF12" s="45"/>
      <c r="AG12" s="49">
        <v>54</v>
      </c>
      <c r="AH12" s="47">
        <f>MAX(B12:AF12)</f>
        <v>26</v>
      </c>
      <c r="AI12" s="48">
        <f>MIN(B12:AF12)</f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54.9</v>
      </c>
      <c r="D13" s="45">
        <v>54.9</v>
      </c>
      <c r="E13" s="45">
        <v>54.9</v>
      </c>
      <c r="F13" s="45">
        <v>54.9</v>
      </c>
      <c r="G13" s="45">
        <v>54.9</v>
      </c>
      <c r="H13" s="45">
        <v>54.9</v>
      </c>
      <c r="I13" s="45">
        <v>54.9</v>
      </c>
      <c r="J13" s="45">
        <v>54.9</v>
      </c>
      <c r="K13" s="45">
        <v>54.9</v>
      </c>
      <c r="L13" s="45">
        <v>54.9</v>
      </c>
      <c r="M13" s="45">
        <v>54.9</v>
      </c>
      <c r="N13" s="45">
        <v>54.9</v>
      </c>
      <c r="O13" s="45">
        <v>54.9</v>
      </c>
      <c r="P13" s="45">
        <v>54.9</v>
      </c>
      <c r="Q13" s="45">
        <v>54.9</v>
      </c>
      <c r="R13" s="45">
        <v>54.9</v>
      </c>
      <c r="S13" s="45">
        <v>54.9</v>
      </c>
      <c r="T13" s="45">
        <v>54.9</v>
      </c>
      <c r="U13" s="45">
        <v>54.9</v>
      </c>
      <c r="V13" s="45">
        <v>54.9</v>
      </c>
      <c r="W13" s="45">
        <v>54.9</v>
      </c>
      <c r="X13" s="45">
        <v>54.9</v>
      </c>
      <c r="Y13" s="45">
        <v>54.9</v>
      </c>
      <c r="Z13" s="176">
        <v>54.9</v>
      </c>
      <c r="AA13" s="45"/>
      <c r="AB13" s="45">
        <v>54.9</v>
      </c>
      <c r="AC13" s="45">
        <v>54.9</v>
      </c>
      <c r="AD13" s="45">
        <v>54.9</v>
      </c>
      <c r="AE13" s="45">
        <v>54.9</v>
      </c>
      <c r="AF13" s="45"/>
      <c r="AG13" s="46">
        <v>52.4</v>
      </c>
      <c r="AH13" s="47">
        <f>MAX(B13:AF13)</f>
        <v>55</v>
      </c>
      <c r="AI13" s="48">
        <f>MIN(B13:AF13)</f>
        <v>54.9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50.4</v>
      </c>
      <c r="C14" s="45">
        <v>50.4</v>
      </c>
      <c r="D14" s="45">
        <v>50.5</v>
      </c>
      <c r="E14" s="45">
        <v>50.5</v>
      </c>
      <c r="F14" s="45">
        <v>50.5</v>
      </c>
      <c r="G14" s="45">
        <v>50.5</v>
      </c>
      <c r="H14" s="45">
        <v>50.5</v>
      </c>
      <c r="I14" s="45">
        <v>50.5</v>
      </c>
      <c r="J14" s="45">
        <v>50.5</v>
      </c>
      <c r="K14" s="45">
        <v>50.5</v>
      </c>
      <c r="L14" s="45">
        <v>50.5</v>
      </c>
      <c r="M14" s="45">
        <v>50.5</v>
      </c>
      <c r="N14" s="45">
        <v>50.5</v>
      </c>
      <c r="O14" s="45">
        <v>50.5</v>
      </c>
      <c r="P14" s="45">
        <v>50.5</v>
      </c>
      <c r="Q14" s="45">
        <v>50.5</v>
      </c>
      <c r="R14" s="45">
        <v>50.5</v>
      </c>
      <c r="S14" s="45">
        <v>50.5</v>
      </c>
      <c r="T14" s="45">
        <v>50.5</v>
      </c>
      <c r="U14" s="45">
        <v>50.5</v>
      </c>
      <c r="V14" s="45">
        <v>50.5</v>
      </c>
      <c r="W14" s="45">
        <v>50.5</v>
      </c>
      <c r="X14" s="45">
        <v>50.5</v>
      </c>
      <c r="Y14" s="45">
        <v>50.5</v>
      </c>
      <c r="Z14" s="176">
        <v>50.5</v>
      </c>
      <c r="AA14" s="45"/>
      <c r="AB14" s="45">
        <v>0</v>
      </c>
      <c r="AC14" s="45">
        <v>0</v>
      </c>
      <c r="AD14" s="45">
        <v>25.5</v>
      </c>
      <c r="AE14" s="45">
        <v>25.5</v>
      </c>
      <c r="AF14" s="45"/>
      <c r="AG14" s="49">
        <v>50</v>
      </c>
      <c r="AH14" s="47">
        <f>MAX(B14:AF14)</f>
        <v>50.5</v>
      </c>
      <c r="AI14" s="48">
        <f>MIN(B14:AF14)</f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46.4</v>
      </c>
      <c r="C15" s="45">
        <v>46.2</v>
      </c>
      <c r="D15" s="45">
        <v>46.2</v>
      </c>
      <c r="E15" s="45">
        <v>46.2</v>
      </c>
      <c r="F15" s="45">
        <v>46.2</v>
      </c>
      <c r="G15" s="45">
        <v>46.2</v>
      </c>
      <c r="H15" s="45">
        <v>46.2</v>
      </c>
      <c r="I15" s="45">
        <v>46.2</v>
      </c>
      <c r="J15" s="45">
        <v>46.2</v>
      </c>
      <c r="K15" s="45">
        <v>46.2</v>
      </c>
      <c r="L15" s="45">
        <v>46.2</v>
      </c>
      <c r="M15" s="45">
        <v>46.2</v>
      </c>
      <c r="N15" s="45">
        <v>46.2</v>
      </c>
      <c r="O15" s="45">
        <v>46.2</v>
      </c>
      <c r="P15" s="45">
        <v>46.2</v>
      </c>
      <c r="Q15" s="45">
        <v>46.2</v>
      </c>
      <c r="R15" s="45">
        <v>46.2</v>
      </c>
      <c r="S15" s="45">
        <v>46.2</v>
      </c>
      <c r="T15" s="45">
        <v>46.2</v>
      </c>
      <c r="U15" s="45">
        <v>46.2</v>
      </c>
      <c r="V15" s="45">
        <v>46.2</v>
      </c>
      <c r="W15" s="45">
        <v>46.2</v>
      </c>
      <c r="X15" s="45">
        <v>46.2</v>
      </c>
      <c r="Y15" s="45">
        <v>46.2</v>
      </c>
      <c r="Z15" s="176">
        <v>46.2</v>
      </c>
      <c r="AA15" s="45"/>
      <c r="AB15" s="45">
        <v>46.2</v>
      </c>
      <c r="AC15" s="45">
        <v>46.2</v>
      </c>
      <c r="AD15" s="45">
        <v>46.2</v>
      </c>
      <c r="AE15" s="45">
        <v>46.2</v>
      </c>
      <c r="AF15" s="45"/>
      <c r="AG15" s="49">
        <v>45</v>
      </c>
      <c r="AH15" s="47">
        <f>MAX(B15:AF15)</f>
        <v>46.4</v>
      </c>
      <c r="AI15" s="48">
        <f>MIN(B15:AF15)</f>
        <v>46.2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176">
        <v>44</v>
      </c>
      <c r="AA16" s="45"/>
      <c r="AB16" s="45">
        <v>0</v>
      </c>
      <c r="AC16" s="45">
        <v>0</v>
      </c>
      <c r="AD16" s="45">
        <v>0</v>
      </c>
      <c r="AE16" s="45">
        <v>0</v>
      </c>
      <c r="AF16" s="45"/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</v>
      </c>
      <c r="C17" s="45">
        <v>28</v>
      </c>
      <c r="D17" s="45">
        <v>28</v>
      </c>
      <c r="E17" s="45">
        <v>28</v>
      </c>
      <c r="F17" s="45">
        <v>28</v>
      </c>
      <c r="G17" s="45">
        <v>28</v>
      </c>
      <c r="H17" s="45">
        <v>28</v>
      </c>
      <c r="I17" s="45">
        <v>28</v>
      </c>
      <c r="J17" s="45">
        <v>28</v>
      </c>
      <c r="K17" s="45">
        <v>28</v>
      </c>
      <c r="L17" s="45">
        <v>28</v>
      </c>
      <c r="M17" s="45">
        <v>28</v>
      </c>
      <c r="N17" s="45">
        <v>28</v>
      </c>
      <c r="O17" s="45">
        <v>28</v>
      </c>
      <c r="P17" s="45">
        <v>28</v>
      </c>
      <c r="Q17" s="45">
        <v>28.4</v>
      </c>
      <c r="R17" s="45">
        <v>28.4</v>
      </c>
      <c r="S17" s="45">
        <v>28.4</v>
      </c>
      <c r="T17" s="45">
        <v>28.4</v>
      </c>
      <c r="U17" s="45">
        <v>28.4</v>
      </c>
      <c r="V17" s="45">
        <v>28.4</v>
      </c>
      <c r="W17" s="45">
        <v>28.4</v>
      </c>
      <c r="X17" s="45">
        <v>28.4</v>
      </c>
      <c r="Y17" s="45">
        <v>28.4</v>
      </c>
      <c r="Z17" s="176">
        <v>28.4</v>
      </c>
      <c r="AA17" s="45"/>
      <c r="AB17" s="45">
        <v>0</v>
      </c>
      <c r="AC17" s="45">
        <v>0</v>
      </c>
      <c r="AD17" s="45">
        <v>26.4</v>
      </c>
      <c r="AE17" s="45">
        <v>26.4</v>
      </c>
      <c r="AF17" s="45"/>
      <c r="AG17" s="49">
        <v>42</v>
      </c>
      <c r="AH17" s="47">
        <f t="shared" ref="AH17:AH48" si="2">MAX(B17:AF17)</f>
        <v>28.4</v>
      </c>
      <c r="AI17" s="48">
        <f t="shared" ref="AI17:AI48" si="3">MIN(B17:AF17)</f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38.799999999999997</v>
      </c>
      <c r="C18" s="45">
        <v>38.799999999999997</v>
      </c>
      <c r="D18" s="45">
        <v>38.799999999999997</v>
      </c>
      <c r="E18" s="45">
        <v>38.799999999999997</v>
      </c>
      <c r="F18" s="45">
        <v>38.799999999999997</v>
      </c>
      <c r="G18" s="45">
        <v>38.799999999999997</v>
      </c>
      <c r="H18" s="45">
        <v>38.799999999999997</v>
      </c>
      <c r="I18" s="45">
        <v>38.799999999999997</v>
      </c>
      <c r="J18" s="45">
        <v>38.799999999999997</v>
      </c>
      <c r="K18" s="45">
        <v>38.799999999999997</v>
      </c>
      <c r="L18" s="45">
        <v>38.799999999999997</v>
      </c>
      <c r="M18" s="45">
        <v>38.799999999999997</v>
      </c>
      <c r="N18" s="45">
        <v>38.799999999999997</v>
      </c>
      <c r="O18" s="45">
        <v>38.799999999999997</v>
      </c>
      <c r="P18" s="45">
        <v>38.799999999999997</v>
      </c>
      <c r="Q18" s="45">
        <v>38.799999999999997</v>
      </c>
      <c r="R18" s="45">
        <v>38.799999999999997</v>
      </c>
      <c r="S18" s="45">
        <v>38.799999999999997</v>
      </c>
      <c r="T18" s="45">
        <v>38.799999999999997</v>
      </c>
      <c r="U18" s="45">
        <v>38.799999999999997</v>
      </c>
      <c r="V18" s="45">
        <v>38.799999999999997</v>
      </c>
      <c r="W18" s="45">
        <v>38.799999999999997</v>
      </c>
      <c r="X18" s="45">
        <v>38.799999999999997</v>
      </c>
      <c r="Y18" s="45">
        <v>38.799999999999997</v>
      </c>
      <c r="Z18" s="176">
        <v>38.799999999999997</v>
      </c>
      <c r="AA18" s="45"/>
      <c r="AB18" s="45">
        <v>38.799999999999997</v>
      </c>
      <c r="AC18" s="45">
        <v>38.799999999999997</v>
      </c>
      <c r="AD18" s="45">
        <v>38.799999999999997</v>
      </c>
      <c r="AE18" s="45">
        <v>38.799999999999997</v>
      </c>
      <c r="AF18" s="45"/>
      <c r="AG18" s="49">
        <v>38.46</v>
      </c>
      <c r="AH18" s="47">
        <f t="shared" si="2"/>
        <v>38.799999999999997</v>
      </c>
      <c r="AI18" s="48">
        <f t="shared" si="3"/>
        <v>38.799999999999997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176">
        <v>36</v>
      </c>
      <c r="AA19" s="45"/>
      <c r="AB19" s="45">
        <v>36</v>
      </c>
      <c r="AC19" s="45">
        <v>36</v>
      </c>
      <c r="AD19" s="45">
        <v>36</v>
      </c>
      <c r="AE19" s="45">
        <v>36</v>
      </c>
      <c r="AF19" s="45"/>
      <c r="AG19" s="49">
        <v>36</v>
      </c>
      <c r="AH19" s="47">
        <f t="shared" si="2"/>
        <v>36</v>
      </c>
      <c r="AI19" s="48">
        <f t="shared" si="3"/>
        <v>36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10.8</v>
      </c>
      <c r="O20" s="45">
        <v>10.8</v>
      </c>
      <c r="P20" s="45">
        <v>10.8</v>
      </c>
      <c r="Q20" s="45">
        <v>29.8</v>
      </c>
      <c r="R20" s="45">
        <v>29.8</v>
      </c>
      <c r="S20" s="45">
        <v>29.8</v>
      </c>
      <c r="T20" s="45">
        <v>29.8</v>
      </c>
      <c r="U20" s="45">
        <v>29.8</v>
      </c>
      <c r="V20" s="45">
        <v>29.8</v>
      </c>
      <c r="W20" s="45">
        <v>29.8</v>
      </c>
      <c r="X20" s="45">
        <v>29.8</v>
      </c>
      <c r="Y20" s="45">
        <v>29.8</v>
      </c>
      <c r="Z20" s="176">
        <v>29.8</v>
      </c>
      <c r="AA20" s="45"/>
      <c r="AB20" s="45">
        <v>10</v>
      </c>
      <c r="AC20" s="45">
        <v>10</v>
      </c>
      <c r="AD20" s="45">
        <v>10</v>
      </c>
      <c r="AE20" s="45">
        <v>10</v>
      </c>
      <c r="AF20" s="45"/>
      <c r="AG20" s="51">
        <v>30</v>
      </c>
      <c r="AH20" s="47">
        <f t="shared" si="2"/>
        <v>29.8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21.2</v>
      </c>
      <c r="C21" s="45">
        <v>21.2</v>
      </c>
      <c r="D21" s="45">
        <v>21.2</v>
      </c>
      <c r="E21" s="45">
        <v>21.2</v>
      </c>
      <c r="F21" s="45">
        <v>21.2</v>
      </c>
      <c r="G21" s="45">
        <v>21.2</v>
      </c>
      <c r="H21" s="45">
        <v>21.2</v>
      </c>
      <c r="I21" s="45">
        <v>21.2</v>
      </c>
      <c r="J21" s="45">
        <v>21.2</v>
      </c>
      <c r="K21" s="45">
        <v>21.2</v>
      </c>
      <c r="L21" s="45">
        <v>21.2</v>
      </c>
      <c r="M21" s="45">
        <v>21.2</v>
      </c>
      <c r="N21" s="45">
        <v>21.2</v>
      </c>
      <c r="O21" s="45">
        <v>21.2</v>
      </c>
      <c r="P21" s="45">
        <v>21.2</v>
      </c>
      <c r="Q21" s="45">
        <v>21.2</v>
      </c>
      <c r="R21" s="45">
        <v>21.2</v>
      </c>
      <c r="S21" s="45">
        <v>21.2</v>
      </c>
      <c r="T21" s="45">
        <v>21.2</v>
      </c>
      <c r="U21" s="45">
        <v>21.2</v>
      </c>
      <c r="V21" s="45">
        <v>21.2</v>
      </c>
      <c r="W21" s="45">
        <v>21.2</v>
      </c>
      <c r="X21" s="45">
        <v>21.2</v>
      </c>
      <c r="Y21" s="45">
        <v>21.2</v>
      </c>
      <c r="Z21" s="176">
        <v>21.2</v>
      </c>
      <c r="AA21" s="45"/>
      <c r="AB21" s="45">
        <v>21.2</v>
      </c>
      <c r="AC21" s="45">
        <v>21.2</v>
      </c>
      <c r="AD21" s="45">
        <v>21.2</v>
      </c>
      <c r="AE21" s="45">
        <v>21.2</v>
      </c>
      <c r="AF21" s="45"/>
      <c r="AG21" s="49">
        <v>24.2</v>
      </c>
      <c r="AH21" s="47">
        <f t="shared" si="2"/>
        <v>21.2</v>
      </c>
      <c r="AI21" s="48">
        <f t="shared" si="3"/>
        <v>21.2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20.6</v>
      </c>
      <c r="C22" s="45">
        <v>20.6</v>
      </c>
      <c r="D22" s="45">
        <v>20.5</v>
      </c>
      <c r="E22" s="45">
        <v>20.5</v>
      </c>
      <c r="F22" s="45">
        <v>20.5</v>
      </c>
      <c r="G22" s="45">
        <v>20.5</v>
      </c>
      <c r="H22" s="45">
        <v>20.5</v>
      </c>
      <c r="I22" s="45">
        <v>20.5</v>
      </c>
      <c r="J22" s="45">
        <v>20.5</v>
      </c>
      <c r="K22" s="45">
        <v>20.5</v>
      </c>
      <c r="L22" s="45">
        <v>20.5</v>
      </c>
      <c r="M22" s="45">
        <v>20.5</v>
      </c>
      <c r="N22" s="45">
        <v>20.5</v>
      </c>
      <c r="O22" s="45">
        <v>20.5</v>
      </c>
      <c r="P22" s="45">
        <v>20.5</v>
      </c>
      <c r="Q22" s="45">
        <v>20.5</v>
      </c>
      <c r="R22" s="45">
        <v>20.5</v>
      </c>
      <c r="S22" s="45">
        <v>20.5</v>
      </c>
      <c r="T22" s="45">
        <v>20.5</v>
      </c>
      <c r="U22" s="45">
        <v>20.5</v>
      </c>
      <c r="V22" s="45">
        <v>20.5</v>
      </c>
      <c r="W22" s="45">
        <v>20.5</v>
      </c>
      <c r="X22" s="45">
        <v>20.5</v>
      </c>
      <c r="Y22" s="45">
        <v>20.5</v>
      </c>
      <c r="Z22" s="176">
        <v>20.5</v>
      </c>
      <c r="AA22" s="45"/>
      <c r="AB22" s="45">
        <v>20.7</v>
      </c>
      <c r="AC22" s="45">
        <v>20.7</v>
      </c>
      <c r="AD22" s="45">
        <v>20.7</v>
      </c>
      <c r="AE22" s="45">
        <v>20.7</v>
      </c>
      <c r="AF22" s="45"/>
      <c r="AG22" s="49">
        <v>28</v>
      </c>
      <c r="AH22" s="47">
        <f t="shared" si="2"/>
        <v>20.7</v>
      </c>
      <c r="AI22" s="48">
        <f t="shared" si="3"/>
        <v>20.5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5</v>
      </c>
      <c r="O23" s="45">
        <v>5</v>
      </c>
      <c r="P23" s="45">
        <v>5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176">
        <v>9</v>
      </c>
      <c r="AA23" s="45"/>
      <c r="AB23" s="45">
        <v>9</v>
      </c>
      <c r="AC23" s="45">
        <v>9</v>
      </c>
      <c r="AD23" s="45">
        <v>9</v>
      </c>
      <c r="AE23" s="45">
        <v>9</v>
      </c>
      <c r="AF23" s="45"/>
      <c r="AG23" s="51">
        <v>30</v>
      </c>
      <c r="AH23" s="47">
        <f t="shared" si="2"/>
        <v>9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25.4</v>
      </c>
      <c r="C24" s="45">
        <v>25.4</v>
      </c>
      <c r="D24" s="45">
        <v>25.4</v>
      </c>
      <c r="E24" s="45">
        <v>25.4</v>
      </c>
      <c r="F24" s="45">
        <v>25.4</v>
      </c>
      <c r="G24" s="45">
        <v>25.4</v>
      </c>
      <c r="H24" s="45">
        <v>25.4</v>
      </c>
      <c r="I24" s="45">
        <v>25.4</v>
      </c>
      <c r="J24" s="45">
        <v>25.4</v>
      </c>
      <c r="K24" s="45">
        <v>25.4</v>
      </c>
      <c r="L24" s="45">
        <v>25.4</v>
      </c>
      <c r="M24" s="45">
        <v>25.4</v>
      </c>
      <c r="N24" s="45">
        <v>25.4</v>
      </c>
      <c r="O24" s="45">
        <v>25.4</v>
      </c>
      <c r="P24" s="45">
        <v>25.4</v>
      </c>
      <c r="Q24" s="45">
        <v>25.4</v>
      </c>
      <c r="R24" s="45">
        <v>25.4</v>
      </c>
      <c r="S24" s="45">
        <v>25.4</v>
      </c>
      <c r="T24" s="45">
        <v>25.4</v>
      </c>
      <c r="U24" s="45">
        <v>25.4</v>
      </c>
      <c r="V24" s="45">
        <v>25.4</v>
      </c>
      <c r="W24" s="45">
        <v>25.4</v>
      </c>
      <c r="X24" s="45">
        <v>25.4</v>
      </c>
      <c r="Y24" s="45">
        <v>25.4</v>
      </c>
      <c r="Z24" s="176">
        <v>25.4</v>
      </c>
      <c r="AA24" s="45"/>
      <c r="AB24" s="45">
        <v>0</v>
      </c>
      <c r="AC24" s="45">
        <v>0</v>
      </c>
      <c r="AD24" s="45">
        <v>24.9</v>
      </c>
      <c r="AE24" s="45">
        <v>24.9</v>
      </c>
      <c r="AF24" s="45"/>
      <c r="AG24" s="49">
        <v>25</v>
      </c>
      <c r="AH24" s="47">
        <f t="shared" si="2"/>
        <v>25.4</v>
      </c>
      <c r="AI24" s="48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176">
        <v>0</v>
      </c>
      <c r="AA25" s="45"/>
      <c r="AB25" s="45">
        <v>0</v>
      </c>
      <c r="AC25" s="45">
        <v>0</v>
      </c>
      <c r="AD25" s="45">
        <v>0</v>
      </c>
      <c r="AE25" s="45">
        <v>0</v>
      </c>
      <c r="AF25" s="45"/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176">
        <v>25</v>
      </c>
      <c r="AA26" s="45"/>
      <c r="AB26" s="45">
        <v>25</v>
      </c>
      <c r="AC26" s="45">
        <v>25</v>
      </c>
      <c r="AD26" s="45">
        <v>25</v>
      </c>
      <c r="AE26" s="45">
        <v>25</v>
      </c>
      <c r="AF26" s="45"/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3</v>
      </c>
      <c r="O27" s="45">
        <v>3</v>
      </c>
      <c r="P27" s="45">
        <v>3</v>
      </c>
      <c r="Q27" s="45">
        <v>3</v>
      </c>
      <c r="R27" s="45">
        <v>3</v>
      </c>
      <c r="S27" s="45">
        <v>3</v>
      </c>
      <c r="T27" s="45">
        <v>3</v>
      </c>
      <c r="U27" s="45">
        <v>3</v>
      </c>
      <c r="V27" s="45">
        <v>3</v>
      </c>
      <c r="W27" s="45">
        <v>3</v>
      </c>
      <c r="X27" s="45">
        <v>3</v>
      </c>
      <c r="Y27" s="45">
        <v>3</v>
      </c>
      <c r="Z27" s="176">
        <v>3</v>
      </c>
      <c r="AA27" s="45"/>
      <c r="AB27" s="45">
        <v>25</v>
      </c>
      <c r="AC27" s="45">
        <v>25</v>
      </c>
      <c r="AD27" s="45">
        <v>25</v>
      </c>
      <c r="AE27" s="45">
        <v>25</v>
      </c>
      <c r="AF27" s="45"/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25.3</v>
      </c>
      <c r="C28" s="45">
        <v>25.3</v>
      </c>
      <c r="D28" s="45">
        <v>25.3</v>
      </c>
      <c r="E28" s="45">
        <v>25.3</v>
      </c>
      <c r="F28" s="45">
        <v>25.3</v>
      </c>
      <c r="G28" s="45">
        <v>25.3</v>
      </c>
      <c r="H28" s="45">
        <v>25.3</v>
      </c>
      <c r="I28" s="45">
        <v>25.3</v>
      </c>
      <c r="J28" s="45">
        <v>25.3</v>
      </c>
      <c r="K28" s="45">
        <v>25.3</v>
      </c>
      <c r="L28" s="45">
        <v>25.3</v>
      </c>
      <c r="M28" s="45">
        <v>25.3</v>
      </c>
      <c r="N28" s="45">
        <v>25.3</v>
      </c>
      <c r="O28" s="45">
        <v>25.3</v>
      </c>
      <c r="P28" s="45">
        <v>25.3</v>
      </c>
      <c r="Q28" s="45">
        <v>25.3</v>
      </c>
      <c r="R28" s="45">
        <v>25.3</v>
      </c>
      <c r="S28" s="45">
        <v>25.3</v>
      </c>
      <c r="T28" s="45">
        <v>25.3</v>
      </c>
      <c r="U28" s="45">
        <v>25.3</v>
      </c>
      <c r="V28" s="45">
        <v>25.3</v>
      </c>
      <c r="W28" s="45">
        <v>25.3</v>
      </c>
      <c r="X28" s="45">
        <v>25.3</v>
      </c>
      <c r="Y28" s="45">
        <v>25.3</v>
      </c>
      <c r="Z28" s="176">
        <v>25.3</v>
      </c>
      <c r="AA28" s="45"/>
      <c r="AB28" s="45">
        <v>0</v>
      </c>
      <c r="AC28" s="45">
        <v>0</v>
      </c>
      <c r="AD28" s="45">
        <v>14.6</v>
      </c>
      <c r="AE28" s="45">
        <v>14.6</v>
      </c>
      <c r="AF28" s="45"/>
      <c r="AG28" s="49">
        <v>23.5</v>
      </c>
      <c r="AH28" s="47">
        <f t="shared" si="2"/>
        <v>25.3</v>
      </c>
      <c r="AI28" s="48">
        <f t="shared" si="3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176">
        <v>22</v>
      </c>
      <c r="AA29" s="45"/>
      <c r="AB29" s="45">
        <v>22</v>
      </c>
      <c r="AC29" s="45">
        <v>22</v>
      </c>
      <c r="AD29" s="45">
        <v>22</v>
      </c>
      <c r="AE29" s="45">
        <v>22</v>
      </c>
      <c r="AF29" s="45"/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176">
        <v>0</v>
      </c>
      <c r="AA30" s="45"/>
      <c r="AB30" s="45">
        <v>0</v>
      </c>
      <c r="AC30" s="45">
        <v>0</v>
      </c>
      <c r="AD30" s="45">
        <v>0</v>
      </c>
      <c r="AE30" s="45">
        <v>0</v>
      </c>
      <c r="AF30" s="45"/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176">
        <v>22</v>
      </c>
      <c r="AA31" s="45"/>
      <c r="AB31" s="45">
        <v>22</v>
      </c>
      <c r="AC31" s="45">
        <v>22</v>
      </c>
      <c r="AD31" s="45">
        <v>22</v>
      </c>
      <c r="AE31" s="45">
        <v>22</v>
      </c>
      <c r="AF31" s="45"/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176">
        <v>22</v>
      </c>
      <c r="AA32" s="45"/>
      <c r="AB32" s="45">
        <v>22</v>
      </c>
      <c r="AC32" s="45">
        <v>22</v>
      </c>
      <c r="AD32" s="45">
        <v>22</v>
      </c>
      <c r="AE32" s="45">
        <v>22</v>
      </c>
      <c r="AF32" s="45"/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176">
        <v>8</v>
      </c>
      <c r="AA33" s="45"/>
      <c r="AB33" s="45">
        <v>0</v>
      </c>
      <c r="AC33" s="45">
        <v>0</v>
      </c>
      <c r="AD33" s="45">
        <v>5</v>
      </c>
      <c r="AE33" s="45">
        <v>5</v>
      </c>
      <c r="AF33" s="45"/>
      <c r="AG33" s="49">
        <v>20</v>
      </c>
      <c r="AH33" s="47">
        <f t="shared" si="2"/>
        <v>8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4</v>
      </c>
      <c r="L34" s="45">
        <v>4</v>
      </c>
      <c r="M34" s="45">
        <v>4</v>
      </c>
      <c r="N34" s="45">
        <v>4</v>
      </c>
      <c r="O34" s="45">
        <v>4</v>
      </c>
      <c r="P34" s="45">
        <v>4</v>
      </c>
      <c r="Q34" s="45">
        <v>4</v>
      </c>
      <c r="R34" s="45">
        <v>4</v>
      </c>
      <c r="S34" s="45">
        <v>4</v>
      </c>
      <c r="T34" s="45">
        <v>4</v>
      </c>
      <c r="U34" s="45">
        <v>4</v>
      </c>
      <c r="V34" s="45">
        <v>4</v>
      </c>
      <c r="W34" s="45">
        <v>4</v>
      </c>
      <c r="X34" s="45">
        <v>4</v>
      </c>
      <c r="Y34" s="45">
        <v>4</v>
      </c>
      <c r="Z34" s="176">
        <v>4</v>
      </c>
      <c r="AA34" s="45"/>
      <c r="AB34" s="45">
        <v>0</v>
      </c>
      <c r="AC34" s="45">
        <v>0</v>
      </c>
      <c r="AD34" s="45">
        <v>0</v>
      </c>
      <c r="AE34" s="45">
        <v>0</v>
      </c>
      <c r="AF34" s="45"/>
      <c r="AG34" s="49">
        <v>18</v>
      </c>
      <c r="AH34" s="47">
        <f t="shared" si="2"/>
        <v>4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14</v>
      </c>
      <c r="C35" s="45">
        <v>14</v>
      </c>
      <c r="D35" s="45">
        <v>14</v>
      </c>
      <c r="E35" s="45">
        <v>14</v>
      </c>
      <c r="F35" s="45">
        <v>14</v>
      </c>
      <c r="G35" s="45">
        <v>14</v>
      </c>
      <c r="H35" s="45">
        <v>14</v>
      </c>
      <c r="I35" s="45">
        <v>14</v>
      </c>
      <c r="J35" s="45">
        <v>14</v>
      </c>
      <c r="K35" s="45">
        <v>14</v>
      </c>
      <c r="L35" s="45">
        <v>14</v>
      </c>
      <c r="M35" s="45">
        <v>14</v>
      </c>
      <c r="N35" s="45">
        <v>14</v>
      </c>
      <c r="O35" s="45">
        <v>14</v>
      </c>
      <c r="P35" s="45">
        <v>14</v>
      </c>
      <c r="Q35" s="45">
        <v>14</v>
      </c>
      <c r="R35" s="45">
        <v>14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>
        <v>14</v>
      </c>
      <c r="Z35" s="176">
        <v>14</v>
      </c>
      <c r="AA35" s="45"/>
      <c r="AB35" s="45">
        <v>14</v>
      </c>
      <c r="AC35" s="45">
        <v>14</v>
      </c>
      <c r="AD35" s="45">
        <v>14</v>
      </c>
      <c r="AE35" s="45">
        <v>14</v>
      </c>
      <c r="AF35" s="45"/>
      <c r="AG35" s="49">
        <v>14.9</v>
      </c>
      <c r="AH35" s="47">
        <f t="shared" si="2"/>
        <v>14</v>
      </c>
      <c r="AI35" s="48">
        <f t="shared" si="3"/>
        <v>14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176">
        <v>0</v>
      </c>
      <c r="AA36" s="45"/>
      <c r="AB36" s="45">
        <v>0</v>
      </c>
      <c r="AC36" s="45">
        <v>0</v>
      </c>
      <c r="AD36" s="45">
        <v>0</v>
      </c>
      <c r="AE36" s="45">
        <v>0</v>
      </c>
      <c r="AF36" s="45"/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176">
        <v>0</v>
      </c>
      <c r="AA37" s="45"/>
      <c r="AB37" s="45">
        <v>0</v>
      </c>
      <c r="AC37" s="45">
        <v>0</v>
      </c>
      <c r="AD37" s="45">
        <v>0</v>
      </c>
      <c r="AE37" s="45">
        <v>0</v>
      </c>
      <c r="AF37" s="45"/>
      <c r="AG37" s="49">
        <v>13.6</v>
      </c>
      <c r="AH37" s="47">
        <f t="shared" si="2"/>
        <v>0</v>
      </c>
      <c r="AI37" s="48">
        <f t="shared" si="3"/>
        <v>0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176">
        <v>11</v>
      </c>
      <c r="AA38" s="45"/>
      <c r="AB38" s="45">
        <v>0</v>
      </c>
      <c r="AC38" s="45">
        <v>0</v>
      </c>
      <c r="AD38" s="45">
        <v>0</v>
      </c>
      <c r="AE38" s="45">
        <v>0</v>
      </c>
      <c r="AF38" s="45"/>
      <c r="AG38" s="49">
        <v>13</v>
      </c>
      <c r="AH38" s="47">
        <f t="shared" si="2"/>
        <v>11</v>
      </c>
      <c r="AI38" s="48">
        <f t="shared" si="3"/>
        <v>0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12</v>
      </c>
      <c r="X39" s="45">
        <v>12</v>
      </c>
      <c r="Y39" s="45">
        <v>12</v>
      </c>
      <c r="Z39" s="176">
        <v>12</v>
      </c>
      <c r="AA39" s="45"/>
      <c r="AB39" s="45">
        <v>12</v>
      </c>
      <c r="AC39" s="45">
        <v>12</v>
      </c>
      <c r="AD39" s="45">
        <v>12</v>
      </c>
      <c r="AE39" s="45">
        <v>12</v>
      </c>
      <c r="AF39" s="45"/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176">
        <v>12</v>
      </c>
      <c r="AA40" s="45"/>
      <c r="AB40" s="45">
        <v>0</v>
      </c>
      <c r="AC40" s="45">
        <v>0</v>
      </c>
      <c r="AD40" s="45">
        <v>0</v>
      </c>
      <c r="AE40" s="45">
        <v>12</v>
      </c>
      <c r="AF40" s="45"/>
      <c r="AG40" s="49">
        <v>12</v>
      </c>
      <c r="AH40" s="47">
        <f t="shared" si="2"/>
        <v>12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5</v>
      </c>
      <c r="C41" s="45">
        <v>5</v>
      </c>
      <c r="D41" s="45">
        <v>5</v>
      </c>
      <c r="E41" s="45">
        <v>5</v>
      </c>
      <c r="F41" s="45">
        <v>5</v>
      </c>
      <c r="G41" s="45">
        <v>5</v>
      </c>
      <c r="H41" s="45">
        <v>5</v>
      </c>
      <c r="I41" s="45">
        <v>5</v>
      </c>
      <c r="J41" s="45">
        <v>5</v>
      </c>
      <c r="K41" s="45">
        <v>6</v>
      </c>
      <c r="L41" s="45">
        <v>10</v>
      </c>
      <c r="M41" s="45">
        <v>10</v>
      </c>
      <c r="N41" s="45">
        <v>10</v>
      </c>
      <c r="O41" s="45">
        <v>10</v>
      </c>
      <c r="P41" s="45">
        <v>10</v>
      </c>
      <c r="Q41" s="45">
        <v>10</v>
      </c>
      <c r="R41" s="45">
        <v>10</v>
      </c>
      <c r="S41" s="45">
        <v>10</v>
      </c>
      <c r="T41" s="45">
        <v>10</v>
      </c>
      <c r="U41" s="45">
        <v>10</v>
      </c>
      <c r="V41" s="45">
        <v>10</v>
      </c>
      <c r="W41" s="45">
        <v>10</v>
      </c>
      <c r="X41" s="45">
        <v>10</v>
      </c>
      <c r="Y41" s="45">
        <v>10</v>
      </c>
      <c r="Z41" s="176">
        <v>10</v>
      </c>
      <c r="AA41" s="45"/>
      <c r="AB41" s="45">
        <v>10</v>
      </c>
      <c r="AC41" s="45">
        <v>10</v>
      </c>
      <c r="AD41" s="45">
        <v>10</v>
      </c>
      <c r="AE41" s="45">
        <v>10</v>
      </c>
      <c r="AF41" s="45"/>
      <c r="AG41" s="49">
        <v>12</v>
      </c>
      <c r="AH41" s="47">
        <f t="shared" si="2"/>
        <v>10</v>
      </c>
      <c r="AI41" s="48">
        <f t="shared" si="3"/>
        <v>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176">
        <v>5</v>
      </c>
      <c r="AA42" s="45"/>
      <c r="AB42" s="45">
        <v>5</v>
      </c>
      <c r="AC42" s="45">
        <v>5</v>
      </c>
      <c r="AD42" s="45">
        <v>5</v>
      </c>
      <c r="AE42" s="45">
        <v>5</v>
      </c>
      <c r="AF42" s="45"/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0</v>
      </c>
      <c r="C43" s="45">
        <v>0</v>
      </c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176">
        <v>0</v>
      </c>
      <c r="AA43" s="45"/>
      <c r="AB43" s="45">
        <v>0</v>
      </c>
      <c r="AC43" s="45">
        <v>0</v>
      </c>
      <c r="AD43" s="45">
        <v>0</v>
      </c>
      <c r="AE43" s="45">
        <v>0</v>
      </c>
      <c r="AF43" s="45"/>
      <c r="AG43" s="51">
        <v>11.88</v>
      </c>
      <c r="AH43" s="47">
        <f t="shared" si="2"/>
        <v>0</v>
      </c>
      <c r="AI43" s="48">
        <f t="shared" si="3"/>
        <v>0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176">
        <v>10.199999999999999</v>
      </c>
      <c r="AA44" s="45"/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/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176">
        <v>9</v>
      </c>
      <c r="AA45" s="45"/>
      <c r="AB45" s="45">
        <v>0</v>
      </c>
      <c r="AC45" s="45">
        <v>0</v>
      </c>
      <c r="AD45" s="45">
        <v>0</v>
      </c>
      <c r="AE45" s="45">
        <v>0</v>
      </c>
      <c r="AF45" s="45"/>
      <c r="AG45" s="54">
        <v>10</v>
      </c>
      <c r="AH45" s="47">
        <f t="shared" si="2"/>
        <v>9</v>
      </c>
      <c r="AI45" s="48">
        <f t="shared" si="3"/>
        <v>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176">
        <v>0</v>
      </c>
      <c r="AA46" s="45"/>
      <c r="AB46" s="45">
        <v>0</v>
      </c>
      <c r="AC46" s="45">
        <v>0</v>
      </c>
      <c r="AD46" s="45">
        <v>0</v>
      </c>
      <c r="AE46" s="45">
        <v>0</v>
      </c>
      <c r="AF46" s="45"/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176">
        <v>0</v>
      </c>
      <c r="AA47" s="45"/>
      <c r="AB47" s="45">
        <v>0</v>
      </c>
      <c r="AC47" s="45">
        <v>0</v>
      </c>
      <c r="AD47" s="45">
        <v>0</v>
      </c>
      <c r="AE47" s="45">
        <v>0</v>
      </c>
      <c r="AF47" s="45"/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177">
        <v>300</v>
      </c>
      <c r="AA48" s="56"/>
      <c r="AB48" s="56">
        <v>300</v>
      </c>
      <c r="AC48" s="56">
        <v>300</v>
      </c>
      <c r="AD48" s="56">
        <v>300</v>
      </c>
      <c r="AE48" s="56">
        <v>300</v>
      </c>
      <c r="AF48" s="56"/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/>
      <c r="C49" s="56"/>
      <c r="D49" s="56"/>
      <c r="E49" s="58"/>
      <c r="F49" s="58">
        <v>109.1</v>
      </c>
      <c r="G49" s="58">
        <v>107.6</v>
      </c>
      <c r="H49" s="58">
        <v>107.7</v>
      </c>
      <c r="I49" s="58">
        <v>105.2</v>
      </c>
      <c r="J49" s="58">
        <v>105.2</v>
      </c>
      <c r="K49" s="58">
        <v>103.6</v>
      </c>
      <c r="L49" s="58">
        <v>103.6</v>
      </c>
      <c r="M49" s="58">
        <v>104</v>
      </c>
      <c r="N49" s="58">
        <v>80</v>
      </c>
      <c r="O49" s="58">
        <v>103.5</v>
      </c>
      <c r="P49" s="58">
        <v>103.5</v>
      </c>
      <c r="Q49" s="58">
        <v>103.5</v>
      </c>
      <c r="R49" s="58">
        <v>103.5</v>
      </c>
      <c r="S49" s="58">
        <v>103.5</v>
      </c>
      <c r="T49" s="58">
        <v>103.5</v>
      </c>
      <c r="U49" s="58">
        <v>103.5</v>
      </c>
      <c r="V49" s="58">
        <v>103.5</v>
      </c>
      <c r="W49" s="58">
        <v>106.5</v>
      </c>
      <c r="X49" s="56">
        <v>106.7</v>
      </c>
      <c r="Y49" s="56">
        <v>105.7</v>
      </c>
      <c r="Z49" s="177">
        <v>104.6</v>
      </c>
      <c r="AA49" s="56"/>
      <c r="AB49" s="56">
        <v>104.6</v>
      </c>
      <c r="AC49" s="56">
        <v>93</v>
      </c>
      <c r="AD49" s="56">
        <v>100</v>
      </c>
      <c r="AE49" s="56">
        <v>100</v>
      </c>
      <c r="AF49" s="56"/>
      <c r="AG49" s="54">
        <v>240</v>
      </c>
      <c r="AH49" s="47">
        <f t="shared" ref="AH49:AH80" si="4">MAX(B49:AF49)</f>
        <v>109.1</v>
      </c>
      <c r="AI49" s="48">
        <f t="shared" ref="AI49:AI80" si="5">MIN(B49:AF49)</f>
        <v>80</v>
      </c>
      <c r="AK49" s="50"/>
    </row>
    <row r="50" spans="1:41" ht="15.75" thickBot="1" x14ac:dyDescent="0.3">
      <c r="A50" s="59" t="s">
        <v>58</v>
      </c>
      <c r="B50" s="60">
        <f>SUM(B11:B48)</f>
        <v>943.5</v>
      </c>
      <c r="C50" s="60">
        <f>SUM(C11:C48)</f>
        <v>943.2</v>
      </c>
      <c r="D50" s="60">
        <f t="shared" ref="D50" si="6">SUM(D11:D48)</f>
        <v>943.2</v>
      </c>
      <c r="E50" s="60">
        <f t="shared" ref="E50:K50" si="7">SUM(E11:E48)</f>
        <v>943.2</v>
      </c>
      <c r="F50" s="60">
        <f t="shared" si="7"/>
        <v>943.2</v>
      </c>
      <c r="G50" s="60">
        <f t="shared" si="7"/>
        <v>943.2</v>
      </c>
      <c r="H50" s="60">
        <f t="shared" si="7"/>
        <v>943.2</v>
      </c>
      <c r="I50" s="60">
        <f t="shared" si="7"/>
        <v>943.2</v>
      </c>
      <c r="J50" s="60">
        <f t="shared" si="7"/>
        <v>943.2</v>
      </c>
      <c r="K50" s="60">
        <f t="shared" si="7"/>
        <v>951.2</v>
      </c>
      <c r="L50" s="60">
        <f t="shared" ref="L50" si="8">SUM(L11:L48)</f>
        <v>955.2</v>
      </c>
      <c r="M50" s="60">
        <f t="shared" ref="M50:R50" si="9">SUM(M11:M48)</f>
        <v>955.2</v>
      </c>
      <c r="N50" s="60">
        <f t="shared" si="9"/>
        <v>984</v>
      </c>
      <c r="O50" s="60">
        <f t="shared" si="9"/>
        <v>984</v>
      </c>
      <c r="P50" s="60">
        <f t="shared" si="9"/>
        <v>963.80000000000007</v>
      </c>
      <c r="Q50" s="60">
        <f t="shared" si="9"/>
        <v>1033.9000000000001</v>
      </c>
      <c r="R50" s="60">
        <f t="shared" si="9"/>
        <v>1033.9000000000001</v>
      </c>
      <c r="S50" s="60">
        <f t="shared" ref="S50:V50" si="10">SUM(S11:S48)</f>
        <v>1033.9000000000001</v>
      </c>
      <c r="T50" s="60">
        <f t="shared" si="10"/>
        <v>1035.5</v>
      </c>
      <c r="U50" s="60">
        <f t="shared" si="10"/>
        <v>1035.5</v>
      </c>
      <c r="V50" s="60">
        <f t="shared" si="10"/>
        <v>1035.5</v>
      </c>
      <c r="W50" s="60">
        <f t="shared" ref="W50:AF50" si="11">SUM(W11:W48)</f>
        <v>1035.5</v>
      </c>
      <c r="X50" s="60">
        <f t="shared" si="11"/>
        <v>1035.5</v>
      </c>
      <c r="Y50" s="60">
        <f t="shared" si="11"/>
        <v>1035.5</v>
      </c>
      <c r="Z50" s="178">
        <f t="shared" si="11"/>
        <v>1035.5</v>
      </c>
      <c r="AA50" s="60">
        <f t="shared" si="11"/>
        <v>0</v>
      </c>
      <c r="AB50" s="60">
        <f t="shared" si="11"/>
        <v>730</v>
      </c>
      <c r="AC50" s="60">
        <f t="shared" si="11"/>
        <v>730</v>
      </c>
      <c r="AD50" s="60">
        <f t="shared" si="11"/>
        <v>887.6</v>
      </c>
      <c r="AE50" s="60">
        <f t="shared" si="11"/>
        <v>928.40000000000009</v>
      </c>
      <c r="AF50" s="60">
        <f t="shared" si="11"/>
        <v>0</v>
      </c>
      <c r="AG50" s="61">
        <f>SUM(AG13:AG48)</f>
        <v>922.14</v>
      </c>
      <c r="AH50" s="47">
        <f t="shared" si="4"/>
        <v>1035.5</v>
      </c>
      <c r="AI50" s="48">
        <f t="shared" si="5"/>
        <v>0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176">
        <v>456</v>
      </c>
      <c r="AA51" s="45"/>
      <c r="AB51" s="45">
        <v>456</v>
      </c>
      <c r="AC51" s="45">
        <v>456</v>
      </c>
      <c r="AD51" s="45">
        <v>456</v>
      </c>
      <c r="AE51" s="45">
        <v>456</v>
      </c>
      <c r="AF51" s="45"/>
      <c r="AG51" s="51">
        <v>456</v>
      </c>
      <c r="AH51" s="47">
        <f t="shared" si="4"/>
        <v>456</v>
      </c>
      <c r="AI51" s="48">
        <f t="shared" si="5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179">
        <v>55</v>
      </c>
      <c r="AA52" s="64"/>
      <c r="AB52" s="64">
        <v>55</v>
      </c>
      <c r="AC52" s="64">
        <v>55</v>
      </c>
      <c r="AD52" s="64">
        <v>55</v>
      </c>
      <c r="AE52" s="64">
        <v>55</v>
      </c>
      <c r="AF52" s="64"/>
      <c r="AG52" s="54">
        <v>60</v>
      </c>
      <c r="AH52" s="47">
        <f t="shared" si="4"/>
        <v>55</v>
      </c>
      <c r="AI52" s="48">
        <f t="shared" si="5"/>
        <v>55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180">
        <v>22.5</v>
      </c>
      <c r="AA53" s="66"/>
      <c r="AB53" s="66">
        <v>22.5</v>
      </c>
      <c r="AC53" s="66">
        <v>22.5</v>
      </c>
      <c r="AD53" s="66">
        <v>22.5</v>
      </c>
      <c r="AE53" s="66">
        <v>22.5</v>
      </c>
      <c r="AF53" s="66"/>
      <c r="AG53" s="67">
        <v>22.1</v>
      </c>
      <c r="AH53" s="47">
        <f t="shared" si="4"/>
        <v>22.5</v>
      </c>
      <c r="AI53" s="48">
        <f t="shared" si="5"/>
        <v>22.5</v>
      </c>
      <c r="AK53" s="50"/>
    </row>
    <row r="54" spans="1:41" ht="15.75" thickBot="1" x14ac:dyDescent="0.3">
      <c r="A54" s="68" t="s">
        <v>62</v>
      </c>
      <c r="B54" s="60">
        <f t="shared" ref="B54:K54" si="12">SUM(B51:B53)</f>
        <v>533.5</v>
      </c>
      <c r="C54" s="60">
        <f t="shared" si="12"/>
        <v>533.5</v>
      </c>
      <c r="D54" s="60">
        <f t="shared" si="12"/>
        <v>533.5</v>
      </c>
      <c r="E54" s="60">
        <f t="shared" si="12"/>
        <v>533.5</v>
      </c>
      <c r="F54" s="60">
        <f t="shared" si="12"/>
        <v>533.5</v>
      </c>
      <c r="G54" s="60">
        <f t="shared" si="12"/>
        <v>533.5</v>
      </c>
      <c r="H54" s="60">
        <f t="shared" si="12"/>
        <v>533.5</v>
      </c>
      <c r="I54" s="60">
        <f t="shared" si="12"/>
        <v>533.5</v>
      </c>
      <c r="J54" s="60">
        <f t="shared" si="12"/>
        <v>533.5</v>
      </c>
      <c r="K54" s="60">
        <f t="shared" si="12"/>
        <v>533.5</v>
      </c>
      <c r="L54" s="60">
        <f t="shared" ref="L54" si="13">SUM(L51:L53)</f>
        <v>533.5</v>
      </c>
      <c r="M54" s="60">
        <f t="shared" ref="M54:R54" si="14">SUM(M51:M53)</f>
        <v>533.5</v>
      </c>
      <c r="N54" s="60">
        <f t="shared" si="14"/>
        <v>533.5</v>
      </c>
      <c r="O54" s="60">
        <f t="shared" si="14"/>
        <v>533.5</v>
      </c>
      <c r="P54" s="60">
        <f t="shared" si="14"/>
        <v>533.5</v>
      </c>
      <c r="Q54" s="60">
        <f t="shared" si="14"/>
        <v>533.5</v>
      </c>
      <c r="R54" s="60">
        <f t="shared" si="14"/>
        <v>533.5</v>
      </c>
      <c r="S54" s="60">
        <f t="shared" ref="S54:V54" si="15">SUM(S51:S53)</f>
        <v>533.5</v>
      </c>
      <c r="T54" s="60">
        <f t="shared" si="15"/>
        <v>533.5</v>
      </c>
      <c r="U54" s="60">
        <f t="shared" si="15"/>
        <v>533.5</v>
      </c>
      <c r="V54" s="60">
        <f t="shared" si="15"/>
        <v>533.5</v>
      </c>
      <c r="W54" s="60">
        <f t="shared" ref="W54:AG54" si="16">SUM(W51:W53)</f>
        <v>533.5</v>
      </c>
      <c r="X54" s="60">
        <f t="shared" si="16"/>
        <v>533.5</v>
      </c>
      <c r="Y54" s="60">
        <f t="shared" si="16"/>
        <v>533.5</v>
      </c>
      <c r="Z54" s="178">
        <f t="shared" si="16"/>
        <v>533.5</v>
      </c>
      <c r="AA54" s="60">
        <f t="shared" si="16"/>
        <v>0</v>
      </c>
      <c r="AB54" s="60">
        <f t="shared" si="16"/>
        <v>533.5</v>
      </c>
      <c r="AC54" s="60">
        <f t="shared" si="16"/>
        <v>533.5</v>
      </c>
      <c r="AD54" s="60">
        <f t="shared" si="16"/>
        <v>533.5</v>
      </c>
      <c r="AE54" s="60">
        <f t="shared" si="16"/>
        <v>533.5</v>
      </c>
      <c r="AF54" s="60">
        <f t="shared" si="16"/>
        <v>0</v>
      </c>
      <c r="AG54" s="61">
        <f t="shared" si="16"/>
        <v>538.1</v>
      </c>
      <c r="AH54" s="47">
        <f t="shared" si="4"/>
        <v>533.5</v>
      </c>
      <c r="AI54" s="48">
        <f t="shared" si="5"/>
        <v>0</v>
      </c>
      <c r="AK54" s="50"/>
    </row>
    <row r="55" spans="1:41" x14ac:dyDescent="0.25">
      <c r="A55" s="44" t="s">
        <v>63</v>
      </c>
      <c r="B55" s="45">
        <v>138.6</v>
      </c>
      <c r="C55" s="45">
        <v>138.6</v>
      </c>
      <c r="D55" s="45">
        <v>136.80000000000001</v>
      </c>
      <c r="E55" s="45">
        <v>136.80000000000001</v>
      </c>
      <c r="F55" s="45">
        <v>137</v>
      </c>
      <c r="G55" s="45">
        <v>137.69999999999999</v>
      </c>
      <c r="H55" s="45">
        <v>137.9</v>
      </c>
      <c r="I55" s="45">
        <v>137.69999999999999</v>
      </c>
      <c r="J55" s="45">
        <v>137.69999999999999</v>
      </c>
      <c r="K55" s="45">
        <v>137.69999999999999</v>
      </c>
      <c r="L55" s="45">
        <v>137.69999999999999</v>
      </c>
      <c r="M55" s="45">
        <v>137.69999999999999</v>
      </c>
      <c r="N55" s="45">
        <v>128</v>
      </c>
      <c r="O55" s="45">
        <v>136.1</v>
      </c>
      <c r="P55" s="45">
        <v>136.1</v>
      </c>
      <c r="Q55" s="45">
        <v>138.1</v>
      </c>
      <c r="R55" s="45">
        <v>138.1</v>
      </c>
      <c r="S55" s="45">
        <v>138.1</v>
      </c>
      <c r="T55" s="45">
        <v>138.1</v>
      </c>
      <c r="U55" s="45">
        <v>138.1</v>
      </c>
      <c r="V55" s="45">
        <v>138.1</v>
      </c>
      <c r="W55" s="45">
        <v>138.1</v>
      </c>
      <c r="X55" s="45">
        <v>139.1</v>
      </c>
      <c r="Y55" s="45">
        <v>139.19999999999999</v>
      </c>
      <c r="Z55" s="176">
        <v>139.5</v>
      </c>
      <c r="AA55" s="45"/>
      <c r="AB55" s="45">
        <v>0</v>
      </c>
      <c r="AC55" s="45">
        <v>141</v>
      </c>
      <c r="AD55" s="45">
        <v>141</v>
      </c>
      <c r="AE55" s="45">
        <v>141</v>
      </c>
      <c r="AF55" s="45"/>
      <c r="AG55" s="51">
        <v>144</v>
      </c>
      <c r="AH55" s="47">
        <f t="shared" si="4"/>
        <v>141</v>
      </c>
      <c r="AI55" s="48">
        <f t="shared" si="5"/>
        <v>0</v>
      </c>
      <c r="AK55" s="50"/>
    </row>
    <row r="56" spans="1:41" x14ac:dyDescent="0.25">
      <c r="A56" s="53" t="s">
        <v>64</v>
      </c>
      <c r="B56" s="45">
        <v>70.099999999999994</v>
      </c>
      <c r="C56" s="45">
        <v>70.099999999999994</v>
      </c>
      <c r="D56" s="64">
        <v>55.5</v>
      </c>
      <c r="E56" s="64">
        <v>55.5</v>
      </c>
      <c r="F56" s="64">
        <v>50</v>
      </c>
      <c r="G56" s="64">
        <v>55</v>
      </c>
      <c r="H56" s="64">
        <v>60.5</v>
      </c>
      <c r="I56" s="64">
        <v>69.400000000000006</v>
      </c>
      <c r="J56" s="64">
        <v>69.400000000000006</v>
      </c>
      <c r="K56" s="64">
        <v>69.400000000000006</v>
      </c>
      <c r="L56" s="64">
        <v>69.400000000000006</v>
      </c>
      <c r="M56" s="64">
        <v>69.400000000000006</v>
      </c>
      <c r="N56" s="64">
        <v>60.2</v>
      </c>
      <c r="O56" s="64">
        <v>69.400000000000006</v>
      </c>
      <c r="P56" s="64">
        <v>69.400000000000006</v>
      </c>
      <c r="Q56" s="64">
        <v>70</v>
      </c>
      <c r="R56" s="64">
        <v>70</v>
      </c>
      <c r="S56" s="64">
        <v>70</v>
      </c>
      <c r="T56" s="64">
        <v>70</v>
      </c>
      <c r="U56" s="64">
        <v>70</v>
      </c>
      <c r="V56" s="64">
        <v>70</v>
      </c>
      <c r="W56" s="64">
        <v>70</v>
      </c>
      <c r="X56" s="64">
        <v>67.599999999999994</v>
      </c>
      <c r="Y56" s="45">
        <v>69.099999999999994</v>
      </c>
      <c r="Z56" s="176">
        <v>70.5</v>
      </c>
      <c r="AA56" s="45"/>
      <c r="AB56" s="45">
        <v>70</v>
      </c>
      <c r="AC56" s="45">
        <v>70</v>
      </c>
      <c r="AD56" s="45">
        <v>50.7</v>
      </c>
      <c r="AE56" s="45">
        <v>50.7</v>
      </c>
      <c r="AF56" s="45"/>
      <c r="AG56" s="54">
        <v>70</v>
      </c>
      <c r="AH56" s="47">
        <f t="shared" si="4"/>
        <v>70.5</v>
      </c>
      <c r="AI56" s="48">
        <f t="shared" si="5"/>
        <v>50</v>
      </c>
      <c r="AK56" s="50"/>
    </row>
    <row r="57" spans="1:41" x14ac:dyDescent="0.25">
      <c r="A57" s="53" t="s">
        <v>65</v>
      </c>
      <c r="B57" s="45">
        <v>64.900000000000006</v>
      </c>
      <c r="C57" s="45">
        <v>64.900000000000006</v>
      </c>
      <c r="D57" s="64">
        <v>63.5</v>
      </c>
      <c r="E57" s="64">
        <v>55</v>
      </c>
      <c r="F57" s="64">
        <v>56.2</v>
      </c>
      <c r="G57" s="64">
        <v>56.2</v>
      </c>
      <c r="H57" s="64">
        <v>62</v>
      </c>
      <c r="I57" s="64">
        <v>64.900000000000006</v>
      </c>
      <c r="J57" s="64">
        <v>64.900000000000006</v>
      </c>
      <c r="K57" s="64">
        <v>64.900000000000006</v>
      </c>
      <c r="L57" s="64">
        <v>64.900000000000006</v>
      </c>
      <c r="M57" s="64">
        <v>64.900000000000006</v>
      </c>
      <c r="N57" s="64">
        <v>60</v>
      </c>
      <c r="O57" s="64">
        <v>65.599999999999994</v>
      </c>
      <c r="P57" s="64">
        <v>65.599999999999994</v>
      </c>
      <c r="Q57" s="64">
        <v>48.74</v>
      </c>
      <c r="R57" s="64">
        <v>48.74</v>
      </c>
      <c r="S57" s="64">
        <v>48.74</v>
      </c>
      <c r="T57" s="64">
        <v>48.74</v>
      </c>
      <c r="U57" s="64">
        <v>48.74</v>
      </c>
      <c r="V57" s="64">
        <v>48.74</v>
      </c>
      <c r="W57" s="64">
        <v>59.8</v>
      </c>
      <c r="X57" s="64">
        <v>54.5</v>
      </c>
      <c r="Y57" s="45">
        <v>57.4</v>
      </c>
      <c r="Z57" s="176">
        <v>64.900000000000006</v>
      </c>
      <c r="AA57" s="45"/>
      <c r="AB57" s="45">
        <v>65.2</v>
      </c>
      <c r="AC57" s="45">
        <v>58</v>
      </c>
      <c r="AD57" s="45">
        <v>58</v>
      </c>
      <c r="AE57" s="45">
        <v>58</v>
      </c>
      <c r="AF57" s="45"/>
      <c r="AG57" s="54">
        <v>69</v>
      </c>
      <c r="AH57" s="47">
        <f t="shared" si="4"/>
        <v>65.599999999999994</v>
      </c>
      <c r="AI57" s="48">
        <f t="shared" si="5"/>
        <v>48.74</v>
      </c>
      <c r="AK57" s="50"/>
    </row>
    <row r="58" spans="1:41" x14ac:dyDescent="0.25">
      <c r="A58" s="53" t="s">
        <v>66</v>
      </c>
      <c r="B58" s="45">
        <v>60</v>
      </c>
      <c r="C58" s="45">
        <v>60</v>
      </c>
      <c r="D58" s="64">
        <v>45</v>
      </c>
      <c r="E58" s="64">
        <v>50.64</v>
      </c>
      <c r="F58" s="64">
        <v>50.6</v>
      </c>
      <c r="G58" s="64">
        <v>50.6</v>
      </c>
      <c r="H58" s="64">
        <v>50.6</v>
      </c>
      <c r="I58" s="56">
        <v>61.2</v>
      </c>
      <c r="J58" s="56">
        <v>61.2</v>
      </c>
      <c r="K58" s="56">
        <v>61.2</v>
      </c>
      <c r="L58" s="56">
        <v>61.2</v>
      </c>
      <c r="M58" s="56">
        <v>61.2</v>
      </c>
      <c r="N58" s="56">
        <v>40.9</v>
      </c>
      <c r="O58" s="56">
        <v>59.7</v>
      </c>
      <c r="P58" s="56">
        <v>59.7</v>
      </c>
      <c r="Q58" s="56">
        <v>42.3</v>
      </c>
      <c r="R58" s="56">
        <v>42.3</v>
      </c>
      <c r="S58" s="56">
        <v>42.3</v>
      </c>
      <c r="T58" s="56">
        <v>42.3</v>
      </c>
      <c r="U58" s="56">
        <v>42.3</v>
      </c>
      <c r="V58" s="56">
        <v>42.3</v>
      </c>
      <c r="W58" s="56">
        <v>28.7</v>
      </c>
      <c r="X58" s="56">
        <v>28.7</v>
      </c>
      <c r="Y58" s="45">
        <v>38</v>
      </c>
      <c r="Z58" s="176">
        <v>63</v>
      </c>
      <c r="AA58" s="45"/>
      <c r="AB58" s="45">
        <v>61.2</v>
      </c>
      <c r="AC58" s="45">
        <v>61.2</v>
      </c>
      <c r="AD58" s="45">
        <v>61.2</v>
      </c>
      <c r="AE58" s="45">
        <v>61.2</v>
      </c>
      <c r="AF58" s="45"/>
      <c r="AG58" s="54">
        <v>60</v>
      </c>
      <c r="AH58" s="47">
        <f t="shared" si="4"/>
        <v>63</v>
      </c>
      <c r="AI58" s="48">
        <f t="shared" si="5"/>
        <v>28.7</v>
      </c>
      <c r="AK58" s="50"/>
    </row>
    <row r="59" spans="1:41" x14ac:dyDescent="0.25">
      <c r="A59" s="53" t="s">
        <v>67</v>
      </c>
      <c r="B59" s="45">
        <v>15</v>
      </c>
      <c r="C59" s="45">
        <v>15</v>
      </c>
      <c r="D59" s="64">
        <v>15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64">
        <v>30</v>
      </c>
      <c r="L59" s="64">
        <v>30</v>
      </c>
      <c r="M59" s="64">
        <v>30</v>
      </c>
      <c r="N59" s="64">
        <v>30</v>
      </c>
      <c r="O59" s="64">
        <v>30</v>
      </c>
      <c r="P59" s="64">
        <v>30</v>
      </c>
      <c r="Q59" s="64">
        <v>30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179">
        <v>30</v>
      </c>
      <c r="AA59" s="45"/>
      <c r="AB59" s="45">
        <v>30</v>
      </c>
      <c r="AC59" s="45">
        <v>30</v>
      </c>
      <c r="AD59" s="45">
        <v>30</v>
      </c>
      <c r="AE59" s="45">
        <v>30</v>
      </c>
      <c r="AF59" s="45"/>
      <c r="AG59" s="54">
        <v>30</v>
      </c>
      <c r="AH59" s="47">
        <f t="shared" si="4"/>
        <v>30</v>
      </c>
      <c r="AI59" s="48">
        <f t="shared" si="5"/>
        <v>15</v>
      </c>
      <c r="AK59" s="50"/>
    </row>
    <row r="60" spans="1:41" x14ac:dyDescent="0.25">
      <c r="A60" s="53" t="s">
        <v>68</v>
      </c>
      <c r="B60" s="45">
        <v>0</v>
      </c>
      <c r="C60" s="45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8</v>
      </c>
      <c r="N60" s="64">
        <v>14.2</v>
      </c>
      <c r="O60" s="64">
        <v>15.9</v>
      </c>
      <c r="P60" s="64">
        <v>15.9</v>
      </c>
      <c r="Q60" s="64">
        <v>18.2</v>
      </c>
      <c r="R60" s="64">
        <v>18.2</v>
      </c>
      <c r="S60" s="64">
        <v>18.2</v>
      </c>
      <c r="T60" s="64">
        <v>18.2</v>
      </c>
      <c r="U60" s="64">
        <v>18.2</v>
      </c>
      <c r="V60" s="64">
        <v>18.2</v>
      </c>
      <c r="W60" s="64">
        <v>2</v>
      </c>
      <c r="X60" s="64">
        <v>0.3</v>
      </c>
      <c r="Y60" s="64">
        <v>0</v>
      </c>
      <c r="Z60" s="179">
        <v>0</v>
      </c>
      <c r="AA60" s="45"/>
      <c r="AB60" s="45">
        <v>0</v>
      </c>
      <c r="AC60" s="45">
        <v>0</v>
      </c>
      <c r="AD60" s="45">
        <v>0</v>
      </c>
      <c r="AE60" s="45">
        <v>0</v>
      </c>
      <c r="AF60" s="45"/>
      <c r="AG60" s="54">
        <v>25</v>
      </c>
      <c r="AH60" s="47">
        <f t="shared" si="4"/>
        <v>18.2</v>
      </c>
      <c r="AI60" s="48">
        <f t="shared" si="5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179">
        <v>15</v>
      </c>
      <c r="AA61" s="64"/>
      <c r="AB61" s="64">
        <v>15</v>
      </c>
      <c r="AC61" s="64">
        <v>15</v>
      </c>
      <c r="AD61" s="64">
        <v>15</v>
      </c>
      <c r="AE61" s="64">
        <v>15</v>
      </c>
      <c r="AF61" s="64"/>
      <c r="AG61" s="54">
        <v>24</v>
      </c>
      <c r="AH61" s="47">
        <f t="shared" si="4"/>
        <v>15</v>
      </c>
      <c r="AI61" s="48">
        <f t="shared" si="5"/>
        <v>15</v>
      </c>
      <c r="AK61" s="50"/>
    </row>
    <row r="62" spans="1:41" x14ac:dyDescent="0.25">
      <c r="A62" s="53" t="s">
        <v>70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179">
        <v>4</v>
      </c>
      <c r="AA62" s="64"/>
      <c r="AB62" s="64">
        <v>0</v>
      </c>
      <c r="AC62" s="64">
        <v>0</v>
      </c>
      <c r="AD62" s="64">
        <v>0</v>
      </c>
      <c r="AE62" s="64">
        <v>0</v>
      </c>
      <c r="AF62" s="64"/>
      <c r="AG62" s="54">
        <v>15</v>
      </c>
      <c r="AH62" s="47">
        <f t="shared" si="4"/>
        <v>4</v>
      </c>
      <c r="AI62" s="48">
        <f t="shared" si="5"/>
        <v>0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9.6</v>
      </c>
      <c r="C63" s="64">
        <v>9.6</v>
      </c>
      <c r="D63" s="64">
        <v>9.8000000000000007</v>
      </c>
      <c r="E63" s="64">
        <v>9.8000000000000007</v>
      </c>
      <c r="F63" s="64">
        <v>9.8000000000000007</v>
      </c>
      <c r="G63" s="64">
        <v>9.8000000000000007</v>
      </c>
      <c r="H63" s="64">
        <v>9.8000000000000007</v>
      </c>
      <c r="I63" s="64">
        <v>9.8000000000000007</v>
      </c>
      <c r="J63" s="64">
        <v>9.8000000000000007</v>
      </c>
      <c r="K63" s="64">
        <v>9.8000000000000007</v>
      </c>
      <c r="L63" s="64">
        <v>9.8000000000000007</v>
      </c>
      <c r="M63" s="64">
        <v>5.4</v>
      </c>
      <c r="N63" s="64">
        <v>5.4</v>
      </c>
      <c r="O63" s="64">
        <v>5.4</v>
      </c>
      <c r="P63" s="64">
        <v>5.4</v>
      </c>
      <c r="Q63" s="64">
        <v>8.8000000000000007</v>
      </c>
      <c r="R63" s="64">
        <v>8.8000000000000007</v>
      </c>
      <c r="S63" s="64">
        <v>8.8000000000000007</v>
      </c>
      <c r="T63" s="64">
        <v>8.8000000000000007</v>
      </c>
      <c r="U63" s="64">
        <v>8.8000000000000007</v>
      </c>
      <c r="V63" s="64">
        <v>8.8000000000000007</v>
      </c>
      <c r="W63" s="64">
        <v>8.8000000000000007</v>
      </c>
      <c r="X63" s="64">
        <v>8.8000000000000007</v>
      </c>
      <c r="Y63" s="64">
        <v>8.8000000000000007</v>
      </c>
      <c r="Z63" s="179">
        <v>8.8000000000000007</v>
      </c>
      <c r="AA63" s="64"/>
      <c r="AB63" s="64">
        <v>8.8000000000000007</v>
      </c>
      <c r="AC63" s="64">
        <v>8.8000000000000007</v>
      </c>
      <c r="AD63" s="64">
        <v>8.8000000000000007</v>
      </c>
      <c r="AE63" s="64">
        <v>8.8000000000000007</v>
      </c>
      <c r="AF63" s="64"/>
      <c r="AG63" s="54">
        <v>14.1</v>
      </c>
      <c r="AH63" s="47">
        <f t="shared" si="4"/>
        <v>9.8000000000000007</v>
      </c>
      <c r="AI63" s="48">
        <f t="shared" si="5"/>
        <v>5.4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4.5</v>
      </c>
      <c r="C64" s="64">
        <v>13.4</v>
      </c>
      <c r="D64" s="64">
        <v>13.9</v>
      </c>
      <c r="E64" s="64">
        <v>13.9</v>
      </c>
      <c r="F64" s="64">
        <v>13.9</v>
      </c>
      <c r="G64" s="64">
        <v>13.9</v>
      </c>
      <c r="H64" s="64">
        <v>13.9</v>
      </c>
      <c r="I64" s="64">
        <v>13.9</v>
      </c>
      <c r="J64" s="64">
        <v>13.9</v>
      </c>
      <c r="K64" s="64">
        <v>13.9</v>
      </c>
      <c r="L64" s="64">
        <v>13.9</v>
      </c>
      <c r="M64" s="64">
        <v>13.9</v>
      </c>
      <c r="N64" s="64">
        <v>13.9</v>
      </c>
      <c r="O64" s="64">
        <v>13.9</v>
      </c>
      <c r="P64" s="64">
        <v>13.9</v>
      </c>
      <c r="Q64" s="64">
        <v>13.9</v>
      </c>
      <c r="R64" s="64">
        <v>13.9</v>
      </c>
      <c r="S64" s="64">
        <v>13.9</v>
      </c>
      <c r="T64" s="64">
        <v>13.9</v>
      </c>
      <c r="U64" s="64">
        <v>13.9</v>
      </c>
      <c r="V64" s="64">
        <v>13.9</v>
      </c>
      <c r="W64" s="64">
        <v>13.9</v>
      </c>
      <c r="X64" s="64">
        <v>13.9</v>
      </c>
      <c r="Y64" s="64">
        <v>13.9</v>
      </c>
      <c r="Z64" s="179">
        <v>13.9</v>
      </c>
      <c r="AA64" s="64"/>
      <c r="AB64" s="64">
        <v>0</v>
      </c>
      <c r="AC64" s="64">
        <v>0</v>
      </c>
      <c r="AD64" s="64">
        <v>6.7</v>
      </c>
      <c r="AE64" s="64">
        <v>6.7</v>
      </c>
      <c r="AF64" s="64"/>
      <c r="AG64" s="54">
        <v>14</v>
      </c>
      <c r="AH64" s="47">
        <f t="shared" si="4"/>
        <v>13.9</v>
      </c>
      <c r="AI64" s="48">
        <f t="shared" si="5"/>
        <v>0</v>
      </c>
      <c r="AK64" s="50"/>
    </row>
    <row r="65" spans="1:40" x14ac:dyDescent="0.25">
      <c r="A65" s="53" t="s">
        <v>73</v>
      </c>
      <c r="B65" s="64">
        <v>6.5</v>
      </c>
      <c r="C65" s="64">
        <v>6.5</v>
      </c>
      <c r="D65" s="64">
        <v>6.5</v>
      </c>
      <c r="E65" s="64">
        <v>6.5</v>
      </c>
      <c r="F65" s="64">
        <v>6.5</v>
      </c>
      <c r="G65" s="64">
        <v>6.5</v>
      </c>
      <c r="H65" s="64">
        <v>6.5</v>
      </c>
      <c r="I65" s="64">
        <v>6.5</v>
      </c>
      <c r="J65" s="64">
        <v>6.5</v>
      </c>
      <c r="K65" s="64">
        <v>6.5</v>
      </c>
      <c r="L65" s="64">
        <v>6.5</v>
      </c>
      <c r="M65" s="64">
        <v>6.5</v>
      </c>
      <c r="N65" s="64">
        <v>6.5</v>
      </c>
      <c r="O65" s="64">
        <v>6.5</v>
      </c>
      <c r="P65" s="64">
        <v>6.5</v>
      </c>
      <c r="Q65" s="64">
        <v>6.5</v>
      </c>
      <c r="R65" s="64">
        <v>6.5</v>
      </c>
      <c r="S65" s="64">
        <v>6.5</v>
      </c>
      <c r="T65" s="64">
        <v>6.5</v>
      </c>
      <c r="U65" s="64">
        <v>6.5</v>
      </c>
      <c r="V65" s="64">
        <v>6.5</v>
      </c>
      <c r="W65" s="64">
        <v>6.5</v>
      </c>
      <c r="X65" s="64">
        <v>6.5</v>
      </c>
      <c r="Y65" s="64">
        <v>6.5</v>
      </c>
      <c r="Z65" s="179">
        <v>6.5</v>
      </c>
      <c r="AA65" s="64"/>
      <c r="AB65" s="64">
        <v>6.5</v>
      </c>
      <c r="AC65" s="64">
        <v>6.5</v>
      </c>
      <c r="AD65" s="64">
        <v>6.5</v>
      </c>
      <c r="AE65" s="64">
        <v>6.5</v>
      </c>
      <c r="AF65" s="64"/>
      <c r="AG65" s="54">
        <v>10.050000000000001</v>
      </c>
      <c r="AH65" s="47">
        <f t="shared" si="4"/>
        <v>6.5</v>
      </c>
      <c r="AI65" s="48">
        <f t="shared" si="5"/>
        <v>6.5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179">
        <v>6.2</v>
      </c>
      <c r="AA66" s="64"/>
      <c r="AB66" s="64">
        <v>6.2</v>
      </c>
      <c r="AC66" s="64">
        <v>6.2</v>
      </c>
      <c r="AD66" s="64">
        <v>6.2</v>
      </c>
      <c r="AE66" s="64">
        <v>6.2</v>
      </c>
      <c r="AF66" s="64"/>
      <c r="AG66" s="54">
        <v>6.2</v>
      </c>
      <c r="AH66" s="47">
        <f t="shared" si="4"/>
        <v>6.2</v>
      </c>
      <c r="AI66" s="48">
        <f t="shared" si="5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18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4"/>
        <v>3.54</v>
      </c>
      <c r="AI67" s="48">
        <f t="shared" si="5"/>
        <v>3.54</v>
      </c>
      <c r="AK67" s="50"/>
    </row>
    <row r="68" spans="1:40" ht="15.75" thickBot="1" x14ac:dyDescent="0.3">
      <c r="A68" s="73" t="s">
        <v>76</v>
      </c>
      <c r="B68" s="60">
        <f t="shared" ref="B68:K68" si="17">SUM(B55:B67)</f>
        <v>397.94000000000005</v>
      </c>
      <c r="C68" s="60">
        <f t="shared" si="17"/>
        <v>406.84000000000003</v>
      </c>
      <c r="D68" s="60">
        <f t="shared" si="17"/>
        <v>374.74</v>
      </c>
      <c r="E68" s="60">
        <f t="shared" si="17"/>
        <v>386.88</v>
      </c>
      <c r="F68" s="60">
        <f t="shared" si="17"/>
        <v>382.74</v>
      </c>
      <c r="G68" s="60">
        <f t="shared" si="17"/>
        <v>388.44</v>
      </c>
      <c r="H68" s="60">
        <f t="shared" si="17"/>
        <v>399.94</v>
      </c>
      <c r="I68" s="60">
        <f t="shared" si="17"/>
        <v>422.14</v>
      </c>
      <c r="J68" s="60">
        <f t="shared" si="17"/>
        <v>422.14</v>
      </c>
      <c r="K68" s="60">
        <f t="shared" si="17"/>
        <v>422.14</v>
      </c>
      <c r="L68" s="60">
        <f t="shared" ref="L68" si="18">SUM(L55:L67)</f>
        <v>422.14</v>
      </c>
      <c r="M68" s="60">
        <f t="shared" ref="M68:R68" si="19">SUM(M55:M67)</f>
        <v>425.73999999999995</v>
      </c>
      <c r="N68" s="60">
        <f t="shared" si="19"/>
        <v>387.83999999999992</v>
      </c>
      <c r="O68" s="60">
        <f t="shared" si="19"/>
        <v>431.23999999999995</v>
      </c>
      <c r="P68" s="60">
        <f t="shared" si="19"/>
        <v>431.23999999999995</v>
      </c>
      <c r="Q68" s="60">
        <f t="shared" si="19"/>
        <v>405.28</v>
      </c>
      <c r="R68" s="60">
        <f t="shared" si="19"/>
        <v>405.28</v>
      </c>
      <c r="S68" s="60">
        <f t="shared" ref="S68:V68" si="20">SUM(S55:S67)</f>
        <v>405.28</v>
      </c>
      <c r="T68" s="60">
        <f t="shared" si="20"/>
        <v>405.28</v>
      </c>
      <c r="U68" s="60">
        <f t="shared" si="20"/>
        <v>405.28</v>
      </c>
      <c r="V68" s="60">
        <f t="shared" si="20"/>
        <v>405.28</v>
      </c>
      <c r="W68" s="60">
        <f t="shared" ref="W68:AG68" si="21">SUM(W55:W67)</f>
        <v>386.53999999999996</v>
      </c>
      <c r="X68" s="60">
        <f t="shared" si="21"/>
        <v>378.14</v>
      </c>
      <c r="Y68" s="60">
        <f t="shared" si="21"/>
        <v>391.64</v>
      </c>
      <c r="Z68" s="178">
        <f t="shared" si="21"/>
        <v>425.84</v>
      </c>
      <c r="AA68" s="60">
        <f t="shared" si="21"/>
        <v>3.54</v>
      </c>
      <c r="AB68" s="60">
        <f t="shared" si="21"/>
        <v>266.44</v>
      </c>
      <c r="AC68" s="60">
        <f t="shared" si="21"/>
        <v>400.24</v>
      </c>
      <c r="AD68" s="60">
        <f t="shared" si="21"/>
        <v>387.64</v>
      </c>
      <c r="AE68" s="60">
        <f t="shared" si="21"/>
        <v>387.64</v>
      </c>
      <c r="AF68" s="60">
        <f t="shared" si="21"/>
        <v>3.54</v>
      </c>
      <c r="AG68" s="61">
        <f t="shared" si="21"/>
        <v>489.91</v>
      </c>
      <c r="AH68" s="47">
        <f t="shared" si="4"/>
        <v>431.23999999999995</v>
      </c>
      <c r="AI68" s="48">
        <f t="shared" si="5"/>
        <v>3.54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176">
        <v>0</v>
      </c>
      <c r="AA69" s="45">
        <v>0</v>
      </c>
      <c r="AB69" s="45">
        <v>0</v>
      </c>
      <c r="AC69" s="45">
        <v>0</v>
      </c>
      <c r="AD69" s="45"/>
      <c r="AE69" s="45"/>
      <c r="AF69" s="45"/>
      <c r="AG69" s="51">
        <v>60</v>
      </c>
      <c r="AH69" s="47">
        <f t="shared" si="4"/>
        <v>0</v>
      </c>
      <c r="AI69" s="48">
        <f t="shared" si="5"/>
        <v>0</v>
      </c>
      <c r="AK69" s="50"/>
    </row>
    <row r="70" spans="1:40" x14ac:dyDescent="0.25">
      <c r="A70" s="53" t="s">
        <v>78</v>
      </c>
      <c r="B70" s="64">
        <v>0</v>
      </c>
      <c r="C70" s="45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179">
        <v>0</v>
      </c>
      <c r="AA70" s="64">
        <v>0</v>
      </c>
      <c r="AB70" s="64">
        <v>0</v>
      </c>
      <c r="AC70" s="64">
        <v>0</v>
      </c>
      <c r="AD70" s="64"/>
      <c r="AE70" s="64"/>
      <c r="AF70" s="64"/>
      <c r="AG70" s="54">
        <v>32</v>
      </c>
      <c r="AH70" s="47">
        <f t="shared" si="4"/>
        <v>0</v>
      </c>
      <c r="AI70" s="48">
        <f t="shared" si="5"/>
        <v>0</v>
      </c>
      <c r="AK70" s="50"/>
    </row>
    <row r="71" spans="1:40" ht="15.75" thickBot="1" x14ac:dyDescent="0.3">
      <c r="A71" s="70" t="s">
        <v>79</v>
      </c>
      <c r="B71" s="66">
        <v>0</v>
      </c>
      <c r="C71" s="45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180">
        <v>0</v>
      </c>
      <c r="AA71" s="66">
        <v>0</v>
      </c>
      <c r="AB71" s="66">
        <v>0</v>
      </c>
      <c r="AC71" s="66">
        <v>0</v>
      </c>
      <c r="AD71" s="66"/>
      <c r="AE71" s="66"/>
      <c r="AF71" s="66"/>
      <c r="AG71" s="67">
        <v>14</v>
      </c>
      <c r="AH71" s="47">
        <f t="shared" si="4"/>
        <v>0</v>
      </c>
      <c r="AI71" s="48">
        <f t="shared" si="5"/>
        <v>0</v>
      </c>
      <c r="AK71" s="50"/>
    </row>
    <row r="72" spans="1:40" ht="15.75" thickBot="1" x14ac:dyDescent="0.3">
      <c r="A72" s="73" t="s">
        <v>80</v>
      </c>
      <c r="B72" s="60"/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v>0</v>
      </c>
      <c r="M72" s="60">
        <f t="shared" ref="M72:R72" si="22">M69+M70+M71</f>
        <v>0</v>
      </c>
      <c r="N72" s="60">
        <f t="shared" si="22"/>
        <v>0</v>
      </c>
      <c r="O72" s="60">
        <f t="shared" si="22"/>
        <v>0</v>
      </c>
      <c r="P72" s="60">
        <f t="shared" si="22"/>
        <v>0</v>
      </c>
      <c r="Q72" s="60">
        <f t="shared" si="22"/>
        <v>0</v>
      </c>
      <c r="R72" s="60">
        <f t="shared" si="22"/>
        <v>0</v>
      </c>
      <c r="S72" s="60">
        <f t="shared" ref="S72:V72" si="23">S69+S70+S71</f>
        <v>0</v>
      </c>
      <c r="T72" s="60">
        <f t="shared" si="23"/>
        <v>0</v>
      </c>
      <c r="U72" s="60">
        <f t="shared" si="23"/>
        <v>0</v>
      </c>
      <c r="V72" s="60">
        <f t="shared" si="23"/>
        <v>0</v>
      </c>
      <c r="W72" s="60">
        <f t="shared" ref="W72:AF72" si="24">W69+W70+W71</f>
        <v>0</v>
      </c>
      <c r="X72" s="60">
        <f t="shared" si="24"/>
        <v>0</v>
      </c>
      <c r="Y72" s="60">
        <f t="shared" si="24"/>
        <v>0</v>
      </c>
      <c r="Z72" s="178">
        <f t="shared" si="24"/>
        <v>0</v>
      </c>
      <c r="AA72" s="60">
        <f t="shared" si="24"/>
        <v>0</v>
      </c>
      <c r="AB72" s="60">
        <f t="shared" si="24"/>
        <v>0</v>
      </c>
      <c r="AC72" s="60">
        <f t="shared" si="24"/>
        <v>0</v>
      </c>
      <c r="AD72" s="60">
        <f t="shared" si="24"/>
        <v>0</v>
      </c>
      <c r="AE72" s="60">
        <f t="shared" si="24"/>
        <v>0</v>
      </c>
      <c r="AF72" s="60">
        <f t="shared" si="24"/>
        <v>0</v>
      </c>
      <c r="AG72" s="61">
        <f>SUM(AG69:AG71)</f>
        <v>106</v>
      </c>
      <c r="AH72" s="47">
        <f t="shared" si="4"/>
        <v>0</v>
      </c>
      <c r="AI72" s="48">
        <f t="shared" si="5"/>
        <v>0</v>
      </c>
      <c r="AK72" s="50"/>
    </row>
    <row r="73" spans="1:40" x14ac:dyDescent="0.25">
      <c r="A73" s="44" t="s">
        <v>81</v>
      </c>
      <c r="B73" s="45">
        <v>45</v>
      </c>
      <c r="C73" s="45">
        <v>48.2</v>
      </c>
      <c r="D73" s="45">
        <v>52.1</v>
      </c>
      <c r="E73" s="45">
        <v>45.34</v>
      </c>
      <c r="F73" s="45">
        <v>27</v>
      </c>
      <c r="G73" s="45">
        <v>21.1</v>
      </c>
      <c r="H73" s="45">
        <v>21.1</v>
      </c>
      <c r="I73" s="45">
        <v>9.1</v>
      </c>
      <c r="J73" s="45">
        <v>22.4</v>
      </c>
      <c r="K73" s="45">
        <v>11</v>
      </c>
      <c r="L73" s="45">
        <v>11</v>
      </c>
      <c r="M73" s="45">
        <v>12</v>
      </c>
      <c r="N73" s="45">
        <v>-5</v>
      </c>
      <c r="O73" s="45">
        <v>33.5</v>
      </c>
      <c r="P73" s="45">
        <v>33.5</v>
      </c>
      <c r="Q73" s="45">
        <v>34.1</v>
      </c>
      <c r="R73" s="45">
        <v>34.5</v>
      </c>
      <c r="S73" s="45">
        <v>10.199999999999999</v>
      </c>
      <c r="T73" s="45">
        <v>8.3699999999999992</v>
      </c>
      <c r="U73" s="45">
        <v>34.5</v>
      </c>
      <c r="V73" s="45">
        <v>47.8</v>
      </c>
      <c r="W73" s="45">
        <v>47.2</v>
      </c>
      <c r="X73" s="45">
        <v>49.8</v>
      </c>
      <c r="Y73" s="45">
        <v>47.3</v>
      </c>
      <c r="Z73" s="176">
        <v>42.2</v>
      </c>
      <c r="AA73" s="45"/>
      <c r="AB73" s="45">
        <v>52.1</v>
      </c>
      <c r="AC73" s="45">
        <v>31.1</v>
      </c>
      <c r="AD73" s="45">
        <v>42</v>
      </c>
      <c r="AE73" s="45">
        <v>21.76</v>
      </c>
      <c r="AF73" s="45">
        <v>27</v>
      </c>
      <c r="AG73" s="51"/>
      <c r="AH73" s="47">
        <f t="shared" si="4"/>
        <v>52.1</v>
      </c>
      <c r="AI73" s="48">
        <f t="shared" si="5"/>
        <v>-5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179">
        <v>0</v>
      </c>
      <c r="AA74" s="64"/>
      <c r="AB74" s="64">
        <v>0</v>
      </c>
      <c r="AC74" s="64">
        <v>0</v>
      </c>
      <c r="AD74" s="64">
        <v>0</v>
      </c>
      <c r="AE74" s="64"/>
      <c r="AF74" s="64"/>
      <c r="AG74" s="54"/>
      <c r="AH74" s="47">
        <f t="shared" si="4"/>
        <v>0</v>
      </c>
      <c r="AI74" s="48">
        <f t="shared" si="5"/>
        <v>0</v>
      </c>
      <c r="AK74" s="50"/>
    </row>
    <row r="75" spans="1:40" x14ac:dyDescent="0.25">
      <c r="A75" s="53" t="s">
        <v>83</v>
      </c>
      <c r="B75" s="64">
        <v>-311.8</v>
      </c>
      <c r="C75" s="64">
        <v>-315</v>
      </c>
      <c r="D75" s="64">
        <v>-295</v>
      </c>
      <c r="E75" s="64">
        <v>-317.89999999999998</v>
      </c>
      <c r="F75" s="64">
        <v>-318</v>
      </c>
      <c r="G75" s="64">
        <v>-317.7</v>
      </c>
      <c r="H75" s="64">
        <v>-347.4</v>
      </c>
      <c r="I75" s="64">
        <v>-354.3</v>
      </c>
      <c r="J75" s="64">
        <v>-292</v>
      </c>
      <c r="K75" s="64">
        <v>-248.9</v>
      </c>
      <c r="L75" s="64">
        <v>-256.60000000000002</v>
      </c>
      <c r="M75" s="64">
        <v>-276</v>
      </c>
      <c r="N75" s="64">
        <v>-223</v>
      </c>
      <c r="O75" s="64">
        <v>-257.10000000000002</v>
      </c>
      <c r="P75" s="64">
        <v>-257.10000000000002</v>
      </c>
      <c r="Q75" s="64">
        <v>-223.1</v>
      </c>
      <c r="R75" s="64">
        <v>-208.3</v>
      </c>
      <c r="S75" s="64">
        <v>-235</v>
      </c>
      <c r="T75" s="64">
        <v>-288</v>
      </c>
      <c r="U75" s="64">
        <v>-244</v>
      </c>
      <c r="V75" s="64">
        <v>-281.3</v>
      </c>
      <c r="W75" s="64">
        <v>-308</v>
      </c>
      <c r="X75" s="64">
        <v>-322.5</v>
      </c>
      <c r="Y75" s="64">
        <v>-342.5</v>
      </c>
      <c r="Z75" s="179">
        <v>-288.89999999999998</v>
      </c>
      <c r="AA75" s="64"/>
      <c r="AB75" s="64">
        <v>-200</v>
      </c>
      <c r="AC75" s="64">
        <v>-141</v>
      </c>
      <c r="AD75" s="64">
        <v>-183</v>
      </c>
      <c r="AE75" s="64">
        <v>-195</v>
      </c>
      <c r="AF75" s="64">
        <v>-200</v>
      </c>
      <c r="AG75" s="74"/>
      <c r="AH75" s="47">
        <f t="shared" si="4"/>
        <v>-141</v>
      </c>
      <c r="AI75" s="48">
        <f t="shared" si="5"/>
        <v>-354.3</v>
      </c>
      <c r="AK75" s="50"/>
    </row>
    <row r="76" spans="1:40" x14ac:dyDescent="0.25">
      <c r="A76" s="53" t="s">
        <v>84</v>
      </c>
      <c r="B76" s="75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75">
        <v>0</v>
      </c>
      <c r="P76" s="75">
        <v>0</v>
      </c>
      <c r="Q76" s="75">
        <v>14</v>
      </c>
      <c r="R76" s="75">
        <v>0</v>
      </c>
      <c r="S76" s="75">
        <v>0</v>
      </c>
      <c r="T76" s="75">
        <v>10</v>
      </c>
      <c r="U76" s="75">
        <v>10</v>
      </c>
      <c r="V76" s="75">
        <v>10</v>
      </c>
      <c r="W76" s="75">
        <v>10</v>
      </c>
      <c r="X76" s="75">
        <v>10</v>
      </c>
      <c r="Y76" s="75">
        <v>10</v>
      </c>
      <c r="Z76" s="182">
        <v>0</v>
      </c>
      <c r="AA76" s="75"/>
      <c r="AB76" s="75">
        <v>0</v>
      </c>
      <c r="AC76" s="75">
        <v>0</v>
      </c>
      <c r="AD76" s="75">
        <v>0</v>
      </c>
      <c r="AE76" s="75"/>
      <c r="AF76" s="75"/>
      <c r="AG76" s="74"/>
      <c r="AH76" s="47">
        <f t="shared" si="4"/>
        <v>14</v>
      </c>
      <c r="AI76" s="48">
        <f t="shared" si="5"/>
        <v>0</v>
      </c>
      <c r="AK76" s="50"/>
    </row>
    <row r="77" spans="1:40" x14ac:dyDescent="0.25">
      <c r="A77" s="53" t="s">
        <v>85</v>
      </c>
      <c r="B77" s="45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176">
        <v>0</v>
      </c>
      <c r="AA77" s="45"/>
      <c r="AB77" s="45">
        <v>0</v>
      </c>
      <c r="AC77" s="45">
        <v>0</v>
      </c>
      <c r="AD77" s="45">
        <v>0</v>
      </c>
      <c r="AE77" s="45"/>
      <c r="AF77" s="45"/>
      <c r="AG77" s="74"/>
      <c r="AH77" s="47">
        <f t="shared" si="4"/>
        <v>0</v>
      </c>
      <c r="AI77" s="48">
        <f t="shared" si="5"/>
        <v>0</v>
      </c>
      <c r="AK77" s="50"/>
    </row>
    <row r="78" spans="1:40" x14ac:dyDescent="0.25">
      <c r="A78" s="53" t="s">
        <v>86</v>
      </c>
      <c r="B78" s="76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5</v>
      </c>
      <c r="N78" s="64">
        <v>5</v>
      </c>
      <c r="O78" s="76">
        <v>5</v>
      </c>
      <c r="P78" s="76">
        <v>5</v>
      </c>
      <c r="Q78" s="76">
        <v>5</v>
      </c>
      <c r="R78" s="76">
        <v>5</v>
      </c>
      <c r="S78" s="76">
        <v>5</v>
      </c>
      <c r="T78" s="76">
        <v>5</v>
      </c>
      <c r="U78" s="76">
        <v>5</v>
      </c>
      <c r="V78" s="76">
        <v>5</v>
      </c>
      <c r="W78" s="76">
        <v>5</v>
      </c>
      <c r="X78" s="76">
        <v>5</v>
      </c>
      <c r="Y78" s="76">
        <v>5</v>
      </c>
      <c r="Z78" s="183">
        <v>5</v>
      </c>
      <c r="AA78" s="76"/>
      <c r="AB78" s="76">
        <v>5</v>
      </c>
      <c r="AC78" s="76">
        <v>5</v>
      </c>
      <c r="AD78" s="76">
        <v>5</v>
      </c>
      <c r="AE78" s="76"/>
      <c r="AF78" s="76"/>
      <c r="AG78" s="74"/>
      <c r="AH78" s="47">
        <f t="shared" si="4"/>
        <v>5</v>
      </c>
      <c r="AI78" s="48">
        <f t="shared" si="5"/>
        <v>0</v>
      </c>
      <c r="AK78" s="50"/>
    </row>
    <row r="79" spans="1:40" ht="15.75" thickBot="1" x14ac:dyDescent="0.3">
      <c r="A79" s="53" t="s">
        <v>87</v>
      </c>
      <c r="B79" s="76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183">
        <v>0</v>
      </c>
      <c r="AA79" s="76"/>
      <c r="AB79" s="76">
        <v>0</v>
      </c>
      <c r="AC79" s="76">
        <v>0</v>
      </c>
      <c r="AD79" s="76">
        <v>0</v>
      </c>
      <c r="AE79" s="76"/>
      <c r="AF79" s="76"/>
      <c r="AG79" s="74"/>
      <c r="AH79" s="47">
        <f t="shared" si="4"/>
        <v>0</v>
      </c>
      <c r="AI79" s="48">
        <f t="shared" si="5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76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76">
        <v>0</v>
      </c>
      <c r="P80" s="76">
        <v>0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183">
        <v>0</v>
      </c>
      <c r="AA80" s="76"/>
      <c r="AB80" s="76">
        <v>0</v>
      </c>
      <c r="AC80" s="76">
        <v>0</v>
      </c>
      <c r="AD80" s="76">
        <v>0</v>
      </c>
      <c r="AE80" s="76"/>
      <c r="AF80" s="76"/>
      <c r="AG80" s="74"/>
      <c r="AH80" s="47">
        <f t="shared" si="4"/>
        <v>0</v>
      </c>
      <c r="AI80" s="48">
        <f t="shared" si="5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76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183">
        <v>0</v>
      </c>
      <c r="AA81" s="76"/>
      <c r="AB81" s="76">
        <v>0</v>
      </c>
      <c r="AC81" s="76">
        <v>0</v>
      </c>
      <c r="AD81" s="76">
        <v>0</v>
      </c>
      <c r="AE81" s="76"/>
      <c r="AF81" s="76"/>
      <c r="AG81" s="74"/>
      <c r="AH81" s="47">
        <f t="shared" ref="AH81:AH112" si="25">MAX(B81:AF81)</f>
        <v>0</v>
      </c>
      <c r="AI81" s="48">
        <f t="shared" ref="AI81:AI112" si="26">MIN(B81:AF81)</f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76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76">
        <v>0</v>
      </c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183">
        <v>0</v>
      </c>
      <c r="AA82" s="76"/>
      <c r="AB82" s="76">
        <v>0</v>
      </c>
      <c r="AC82" s="76">
        <v>0</v>
      </c>
      <c r="AD82" s="76">
        <v>0</v>
      </c>
      <c r="AE82" s="76"/>
      <c r="AF82" s="76"/>
      <c r="AG82" s="84"/>
      <c r="AH82" s="47">
        <f t="shared" si="25"/>
        <v>0</v>
      </c>
      <c r="AI82" s="48">
        <f t="shared" si="26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76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183">
        <v>0</v>
      </c>
      <c r="AA83" s="76"/>
      <c r="AB83" s="76">
        <v>0</v>
      </c>
      <c r="AC83" s="76">
        <v>0</v>
      </c>
      <c r="AD83" s="76">
        <v>0</v>
      </c>
      <c r="AE83" s="76"/>
      <c r="AF83" s="76"/>
      <c r="AG83" s="84"/>
      <c r="AH83" s="47">
        <f t="shared" si="25"/>
        <v>0</v>
      </c>
      <c r="AI83" s="48">
        <f t="shared" si="26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K84" si="27">SUMIF(B73:B83,"&gt;0")</f>
        <v>45</v>
      </c>
      <c r="C84" s="60">
        <f t="shared" si="27"/>
        <v>48.2</v>
      </c>
      <c r="D84" s="60">
        <f t="shared" si="27"/>
        <v>52.1</v>
      </c>
      <c r="E84" s="60">
        <f t="shared" si="27"/>
        <v>45.34</v>
      </c>
      <c r="F84" s="60">
        <f t="shared" si="27"/>
        <v>27</v>
      </c>
      <c r="G84" s="60">
        <f t="shared" si="27"/>
        <v>21.1</v>
      </c>
      <c r="H84" s="60">
        <f t="shared" si="27"/>
        <v>21.1</v>
      </c>
      <c r="I84" s="60">
        <f t="shared" si="27"/>
        <v>9.1</v>
      </c>
      <c r="J84" s="60">
        <f t="shared" si="27"/>
        <v>22.4</v>
      </c>
      <c r="K84" s="60">
        <f t="shared" si="27"/>
        <v>11</v>
      </c>
      <c r="L84" s="60">
        <f t="shared" ref="L84" si="28">SUMIF(L73:L83,"&gt;0")</f>
        <v>11</v>
      </c>
      <c r="M84" s="60">
        <f t="shared" ref="M84:R84" si="29">SUMIF(M73:M83,"&gt;0")</f>
        <v>17</v>
      </c>
      <c r="N84" s="60">
        <f t="shared" si="29"/>
        <v>5</v>
      </c>
      <c r="O84" s="60">
        <f t="shared" si="29"/>
        <v>38.5</v>
      </c>
      <c r="P84" s="60">
        <f t="shared" si="29"/>
        <v>38.5</v>
      </c>
      <c r="Q84" s="60">
        <f t="shared" si="29"/>
        <v>53.1</v>
      </c>
      <c r="R84" s="60">
        <f t="shared" si="29"/>
        <v>39.5</v>
      </c>
      <c r="S84" s="60">
        <f t="shared" ref="S84:V84" si="30">SUMIF(S73:S83,"&gt;0")</f>
        <v>15.2</v>
      </c>
      <c r="T84" s="60">
        <f t="shared" si="30"/>
        <v>23.369999999999997</v>
      </c>
      <c r="U84" s="60">
        <f t="shared" si="30"/>
        <v>49.5</v>
      </c>
      <c r="V84" s="60">
        <f t="shared" si="30"/>
        <v>62.8</v>
      </c>
      <c r="W84" s="60">
        <f t="shared" ref="W84:AF84" si="31">SUMIF(W73:W83,"&gt;0")</f>
        <v>62.2</v>
      </c>
      <c r="X84" s="60">
        <f t="shared" si="31"/>
        <v>64.8</v>
      </c>
      <c r="Y84" s="60">
        <f t="shared" si="31"/>
        <v>62.3</v>
      </c>
      <c r="Z84" s="178">
        <f t="shared" si="31"/>
        <v>47.2</v>
      </c>
      <c r="AA84" s="60">
        <f t="shared" si="31"/>
        <v>0</v>
      </c>
      <c r="AB84" s="60">
        <f t="shared" si="31"/>
        <v>57.1</v>
      </c>
      <c r="AC84" s="60">
        <f t="shared" si="31"/>
        <v>36.1</v>
      </c>
      <c r="AD84" s="60">
        <f t="shared" si="31"/>
        <v>47</v>
      </c>
      <c r="AE84" s="60">
        <f t="shared" si="31"/>
        <v>21.76</v>
      </c>
      <c r="AF84" s="60">
        <f t="shared" si="31"/>
        <v>27</v>
      </c>
      <c r="AG84" s="87">
        <f>SUM(AG73:AG83)</f>
        <v>0</v>
      </c>
      <c r="AH84" s="47">
        <f t="shared" si="25"/>
        <v>64.8</v>
      </c>
      <c r="AI84" s="48">
        <f t="shared" si="26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182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25"/>
        <v>0</v>
      </c>
      <c r="AI85" s="48">
        <f t="shared" si="26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183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25"/>
        <v>0</v>
      </c>
      <c r="AI86" s="48">
        <f t="shared" si="26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184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25"/>
        <v>0</v>
      </c>
      <c r="AI87" s="48">
        <f t="shared" si="26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178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25"/>
        <v>0</v>
      </c>
      <c r="AI88" s="48">
        <f t="shared" si="26"/>
        <v>0</v>
      </c>
    </row>
    <row r="89" spans="1:40" ht="15.75" thickBot="1" x14ac:dyDescent="0.3">
      <c r="A89" s="73" t="s">
        <v>100</v>
      </c>
      <c r="B89" s="94">
        <f t="shared" ref="B89:K89" si="32">B50+B54+B72+B68+B84+B88</f>
        <v>1919.94</v>
      </c>
      <c r="C89" s="94">
        <f t="shared" si="32"/>
        <v>1931.74</v>
      </c>
      <c r="D89" s="94">
        <f t="shared" si="32"/>
        <v>1903.54</v>
      </c>
      <c r="E89" s="94">
        <f t="shared" si="32"/>
        <v>1908.9199999999998</v>
      </c>
      <c r="F89" s="94">
        <f t="shared" si="32"/>
        <v>1886.44</v>
      </c>
      <c r="G89" s="94">
        <f t="shared" si="32"/>
        <v>1886.24</v>
      </c>
      <c r="H89" s="94">
        <f t="shared" si="32"/>
        <v>1897.74</v>
      </c>
      <c r="I89" s="94">
        <f t="shared" si="32"/>
        <v>1907.94</v>
      </c>
      <c r="J89" s="94">
        <f t="shared" si="32"/>
        <v>1921.2400000000002</v>
      </c>
      <c r="K89" s="94">
        <f t="shared" si="32"/>
        <v>1917.8400000000001</v>
      </c>
      <c r="L89" s="94">
        <f t="shared" ref="L89" si="33">L50+L54+L72+L68+L84+L88</f>
        <v>1921.8400000000001</v>
      </c>
      <c r="M89" s="94">
        <f t="shared" ref="M89:R89" si="34">M50+M54+M72+M68+M84+M88</f>
        <v>1931.44</v>
      </c>
      <c r="N89" s="94">
        <f t="shared" si="34"/>
        <v>1910.34</v>
      </c>
      <c r="O89" s="94">
        <f t="shared" si="34"/>
        <v>1987.24</v>
      </c>
      <c r="P89" s="94">
        <f t="shared" si="34"/>
        <v>1967.0400000000002</v>
      </c>
      <c r="Q89" s="94">
        <f t="shared" si="34"/>
        <v>2025.78</v>
      </c>
      <c r="R89" s="94">
        <f t="shared" si="34"/>
        <v>2012.18</v>
      </c>
      <c r="S89" s="94">
        <f t="shared" ref="S89:V89" si="35">S50+S54+S72+S68+S84+S88</f>
        <v>1987.88</v>
      </c>
      <c r="T89" s="94">
        <f t="shared" si="35"/>
        <v>1997.6499999999999</v>
      </c>
      <c r="U89" s="94">
        <f t="shared" si="35"/>
        <v>2023.78</v>
      </c>
      <c r="V89" s="94">
        <f t="shared" si="35"/>
        <v>2037.08</v>
      </c>
      <c r="W89" s="94">
        <f t="shared" ref="W89:AG89" si="36">W50+W54+W72+W68+W84+W88</f>
        <v>2017.74</v>
      </c>
      <c r="X89" s="94">
        <f t="shared" si="36"/>
        <v>2011.9399999999998</v>
      </c>
      <c r="Y89" s="94">
        <f t="shared" si="36"/>
        <v>2022.9399999999998</v>
      </c>
      <c r="Z89" s="185">
        <f t="shared" si="36"/>
        <v>2042.04</v>
      </c>
      <c r="AA89" s="94">
        <f t="shared" si="36"/>
        <v>3.54</v>
      </c>
      <c r="AB89" s="94">
        <f t="shared" si="36"/>
        <v>1587.04</v>
      </c>
      <c r="AC89" s="94">
        <f t="shared" si="36"/>
        <v>1699.84</v>
      </c>
      <c r="AD89" s="94">
        <f t="shared" si="36"/>
        <v>1855.7399999999998</v>
      </c>
      <c r="AE89" s="94">
        <f t="shared" si="36"/>
        <v>1871.3</v>
      </c>
      <c r="AF89" s="94">
        <f t="shared" si="36"/>
        <v>30.54</v>
      </c>
      <c r="AG89" s="61">
        <f t="shared" si="36"/>
        <v>2111.5500000000002</v>
      </c>
      <c r="AH89" s="47">
        <f t="shared" si="25"/>
        <v>2042.04</v>
      </c>
      <c r="AI89" s="48">
        <f t="shared" si="26"/>
        <v>3.54</v>
      </c>
    </row>
    <row r="90" spans="1:40" ht="15.75" thickBot="1" x14ac:dyDescent="0.3">
      <c r="A90" s="95" t="s">
        <v>101</v>
      </c>
      <c r="B90" s="96">
        <v>60</v>
      </c>
      <c r="C90" s="96">
        <v>50</v>
      </c>
      <c r="D90" s="96">
        <v>50</v>
      </c>
      <c r="E90" s="96">
        <v>50</v>
      </c>
      <c r="F90" s="96">
        <v>50</v>
      </c>
      <c r="G90" s="96">
        <v>50</v>
      </c>
      <c r="H90" s="96">
        <v>50</v>
      </c>
      <c r="I90" s="96">
        <v>50</v>
      </c>
      <c r="J90" s="96">
        <v>50</v>
      </c>
      <c r="K90" s="96">
        <v>50</v>
      </c>
      <c r="L90" s="96">
        <v>51</v>
      </c>
      <c r="M90" s="96">
        <v>50</v>
      </c>
      <c r="N90" s="96">
        <v>60</v>
      </c>
      <c r="O90" s="96">
        <v>60</v>
      </c>
      <c r="P90" s="96">
        <v>60</v>
      </c>
      <c r="Q90" s="96"/>
      <c r="R90" s="96"/>
      <c r="S90" s="96"/>
      <c r="T90" s="96"/>
      <c r="U90" s="96"/>
      <c r="V90" s="96"/>
      <c r="W90" s="96"/>
      <c r="X90" s="96"/>
      <c r="Y90" s="96"/>
      <c r="Z90" s="186"/>
      <c r="AA90" s="96"/>
      <c r="AB90" s="96">
        <v>450</v>
      </c>
      <c r="AC90" s="96"/>
      <c r="AD90" s="96"/>
      <c r="AE90" s="96"/>
      <c r="AF90" s="96"/>
      <c r="AG90" s="87"/>
      <c r="AH90" s="47">
        <f t="shared" si="25"/>
        <v>450</v>
      </c>
      <c r="AI90" s="48">
        <f t="shared" si="26"/>
        <v>50</v>
      </c>
    </row>
    <row r="91" spans="1:40" ht="15.75" thickBot="1" x14ac:dyDescent="0.3">
      <c r="A91" s="73" t="s">
        <v>102</v>
      </c>
      <c r="B91" s="94">
        <f t="shared" ref="B91:K91" si="37">B89+B90</f>
        <v>1979.94</v>
      </c>
      <c r="C91" s="94">
        <f t="shared" si="37"/>
        <v>1981.74</v>
      </c>
      <c r="D91" s="94">
        <f t="shared" si="37"/>
        <v>1953.54</v>
      </c>
      <c r="E91" s="94">
        <f t="shared" si="37"/>
        <v>1958.9199999999998</v>
      </c>
      <c r="F91" s="94">
        <f t="shared" si="37"/>
        <v>1936.44</v>
      </c>
      <c r="G91" s="94">
        <f t="shared" si="37"/>
        <v>1936.24</v>
      </c>
      <c r="H91" s="94">
        <f t="shared" si="37"/>
        <v>1947.74</v>
      </c>
      <c r="I91" s="94">
        <f t="shared" si="37"/>
        <v>1957.94</v>
      </c>
      <c r="J91" s="94">
        <f t="shared" si="37"/>
        <v>1971.2400000000002</v>
      </c>
      <c r="K91" s="94">
        <f t="shared" si="37"/>
        <v>1967.8400000000001</v>
      </c>
      <c r="L91" s="94">
        <f t="shared" ref="L91" si="38">L89+L90</f>
        <v>1972.8400000000001</v>
      </c>
      <c r="M91" s="94">
        <f t="shared" ref="M91:R91" si="39">M89+M90</f>
        <v>1981.44</v>
      </c>
      <c r="N91" s="94">
        <f t="shared" si="39"/>
        <v>1970.34</v>
      </c>
      <c r="O91" s="94">
        <f t="shared" si="39"/>
        <v>2047.24</v>
      </c>
      <c r="P91" s="94">
        <f t="shared" si="39"/>
        <v>2027.0400000000002</v>
      </c>
      <c r="Q91" s="94">
        <f t="shared" si="39"/>
        <v>2025.78</v>
      </c>
      <c r="R91" s="94">
        <f t="shared" si="39"/>
        <v>2012.18</v>
      </c>
      <c r="S91" s="94">
        <f t="shared" ref="S91:V91" si="40">S89+S90</f>
        <v>1987.88</v>
      </c>
      <c r="T91" s="94">
        <f t="shared" si="40"/>
        <v>1997.6499999999999</v>
      </c>
      <c r="U91" s="94">
        <f t="shared" si="40"/>
        <v>2023.78</v>
      </c>
      <c r="V91" s="94">
        <f t="shared" si="40"/>
        <v>2037.08</v>
      </c>
      <c r="W91" s="94">
        <f t="shared" ref="W91:AF91" si="41">W89+W90</f>
        <v>2017.74</v>
      </c>
      <c r="X91" s="94">
        <f t="shared" si="41"/>
        <v>2011.9399999999998</v>
      </c>
      <c r="Y91" s="94">
        <f t="shared" si="41"/>
        <v>2022.9399999999998</v>
      </c>
      <c r="Z91" s="185">
        <f t="shared" si="41"/>
        <v>2042.04</v>
      </c>
      <c r="AA91" s="94">
        <f t="shared" si="41"/>
        <v>3.54</v>
      </c>
      <c r="AB91" s="94">
        <f t="shared" si="41"/>
        <v>2037.04</v>
      </c>
      <c r="AC91" s="94">
        <f t="shared" si="41"/>
        <v>1699.84</v>
      </c>
      <c r="AD91" s="94">
        <f t="shared" si="41"/>
        <v>1855.7399999999998</v>
      </c>
      <c r="AE91" s="94">
        <f t="shared" si="41"/>
        <v>1871.3</v>
      </c>
      <c r="AF91" s="94">
        <f t="shared" si="41"/>
        <v>30.54</v>
      </c>
      <c r="AG91" s="87">
        <f>AG88+AG84+AG72+AG68+AG50+AG90</f>
        <v>1573.45</v>
      </c>
      <c r="AH91" s="47">
        <f t="shared" si="25"/>
        <v>2047.24</v>
      </c>
      <c r="AI91" s="48">
        <f t="shared" si="26"/>
        <v>3.54</v>
      </c>
    </row>
    <row r="92" spans="1:40" ht="15.75" thickBot="1" x14ac:dyDescent="0.3">
      <c r="A92" s="73" t="s">
        <v>103</v>
      </c>
      <c r="B92" s="94">
        <f t="shared" ref="B92:K92" si="42">B91-B99</f>
        <v>1979.94</v>
      </c>
      <c r="C92" s="94">
        <f t="shared" si="42"/>
        <v>1981.74</v>
      </c>
      <c r="D92" s="94">
        <f t="shared" si="42"/>
        <v>1953.54</v>
      </c>
      <c r="E92" s="94">
        <f t="shared" si="42"/>
        <v>1958.9199999999998</v>
      </c>
      <c r="F92" s="94">
        <f t="shared" si="42"/>
        <v>1936.44</v>
      </c>
      <c r="G92" s="94">
        <f t="shared" si="42"/>
        <v>1936.24</v>
      </c>
      <c r="H92" s="94">
        <f t="shared" si="42"/>
        <v>1947.74</v>
      </c>
      <c r="I92" s="94">
        <f t="shared" si="42"/>
        <v>1957.94</v>
      </c>
      <c r="J92" s="94">
        <f t="shared" si="42"/>
        <v>1971.2400000000002</v>
      </c>
      <c r="K92" s="94">
        <f t="shared" si="42"/>
        <v>1967.8400000000001</v>
      </c>
      <c r="L92" s="94">
        <f t="shared" ref="L92" si="43">L91-L99</f>
        <v>1972.8400000000001</v>
      </c>
      <c r="M92" s="94">
        <f t="shared" ref="M92:R92" si="44">M91-M99</f>
        <v>1981.44</v>
      </c>
      <c r="N92" s="94">
        <f t="shared" si="44"/>
        <v>1970.34</v>
      </c>
      <c r="O92" s="94">
        <f t="shared" si="44"/>
        <v>2047.24</v>
      </c>
      <c r="P92" s="94">
        <f t="shared" si="44"/>
        <v>2027.0400000000002</v>
      </c>
      <c r="Q92" s="94">
        <f t="shared" si="44"/>
        <v>2025.78</v>
      </c>
      <c r="R92" s="94">
        <f t="shared" si="44"/>
        <v>2012.18</v>
      </c>
      <c r="S92" s="94">
        <f t="shared" ref="S92:V92" si="45">S91-S99</f>
        <v>1987.88</v>
      </c>
      <c r="T92" s="94">
        <f t="shared" si="45"/>
        <v>1997.6499999999999</v>
      </c>
      <c r="U92" s="94">
        <f t="shared" si="45"/>
        <v>2023.78</v>
      </c>
      <c r="V92" s="94">
        <f t="shared" si="45"/>
        <v>2037.08</v>
      </c>
      <c r="W92" s="94">
        <f t="shared" ref="W92:AF92" si="46">W91-W99</f>
        <v>2017.74</v>
      </c>
      <c r="X92" s="94">
        <f t="shared" si="46"/>
        <v>2011.9399999999998</v>
      </c>
      <c r="Y92" s="94">
        <f t="shared" si="46"/>
        <v>2022.9399999999998</v>
      </c>
      <c r="Z92" s="185">
        <f t="shared" si="46"/>
        <v>2042.04</v>
      </c>
      <c r="AA92" s="94">
        <f t="shared" si="46"/>
        <v>3.54</v>
      </c>
      <c r="AB92" s="94">
        <f t="shared" si="46"/>
        <v>2037.04</v>
      </c>
      <c r="AC92" s="94">
        <f t="shared" si="46"/>
        <v>1699.84</v>
      </c>
      <c r="AD92" s="94">
        <f t="shared" si="46"/>
        <v>1855.7399999999998</v>
      </c>
      <c r="AE92" s="94">
        <f t="shared" si="46"/>
        <v>1871.3</v>
      </c>
      <c r="AF92" s="94">
        <f t="shared" si="46"/>
        <v>30.54</v>
      </c>
      <c r="AG92" s="87"/>
      <c r="AH92" s="47">
        <f t="shared" si="25"/>
        <v>2047.24</v>
      </c>
      <c r="AI92" s="48">
        <f t="shared" si="26"/>
        <v>3.54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182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25"/>
        <v>0</v>
      </c>
      <c r="AI93" s="48">
        <f t="shared" si="26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182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25"/>
        <v>0</v>
      </c>
      <c r="AI94" s="48">
        <f t="shared" si="26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182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25"/>
        <v>0</v>
      </c>
      <c r="AI95" s="48">
        <f t="shared" si="26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182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25"/>
        <v>0</v>
      </c>
      <c r="AI96" s="48">
        <f t="shared" si="26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182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25"/>
        <v>0</v>
      </c>
      <c r="AI97" s="48">
        <f t="shared" si="26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184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25"/>
        <v>0</v>
      </c>
      <c r="AI98" s="48">
        <f t="shared" si="26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178"/>
      <c r="AA99" s="60"/>
      <c r="AB99" s="60"/>
      <c r="AC99" s="60"/>
      <c r="AD99" s="60"/>
      <c r="AE99" s="60"/>
      <c r="AF99" s="60"/>
      <c r="AG99" s="87"/>
      <c r="AH99" s="47">
        <f t="shared" si="25"/>
        <v>0</v>
      </c>
      <c r="AI99" s="48">
        <f t="shared" si="26"/>
        <v>0</v>
      </c>
      <c r="AK99" s="50"/>
    </row>
    <row r="100" spans="1:37" ht="15.75" thickBot="1" x14ac:dyDescent="0.3">
      <c r="A100" s="73" t="s">
        <v>108</v>
      </c>
      <c r="B100" s="60">
        <f t="shared" ref="B100:K100" si="47">B84-B99</f>
        <v>45</v>
      </c>
      <c r="C100" s="60">
        <f t="shared" si="47"/>
        <v>48.2</v>
      </c>
      <c r="D100" s="60">
        <f t="shared" si="47"/>
        <v>52.1</v>
      </c>
      <c r="E100" s="60">
        <f t="shared" si="47"/>
        <v>45.34</v>
      </c>
      <c r="F100" s="60">
        <f t="shared" si="47"/>
        <v>27</v>
      </c>
      <c r="G100" s="60">
        <f t="shared" si="47"/>
        <v>21.1</v>
      </c>
      <c r="H100" s="60">
        <f t="shared" si="47"/>
        <v>21.1</v>
      </c>
      <c r="I100" s="60">
        <f t="shared" si="47"/>
        <v>9.1</v>
      </c>
      <c r="J100" s="60">
        <f t="shared" si="47"/>
        <v>22.4</v>
      </c>
      <c r="K100" s="60">
        <f t="shared" si="47"/>
        <v>11</v>
      </c>
      <c r="L100" s="60">
        <f t="shared" ref="L100" si="48">L84-L99</f>
        <v>11</v>
      </c>
      <c r="M100" s="60">
        <f t="shared" ref="M100:R100" si="49">M84-M99</f>
        <v>17</v>
      </c>
      <c r="N100" s="60">
        <f t="shared" si="49"/>
        <v>5</v>
      </c>
      <c r="O100" s="60">
        <f t="shared" si="49"/>
        <v>38.5</v>
      </c>
      <c r="P100" s="60">
        <f t="shared" si="49"/>
        <v>38.5</v>
      </c>
      <c r="Q100" s="60">
        <f t="shared" si="49"/>
        <v>53.1</v>
      </c>
      <c r="R100" s="60">
        <f t="shared" si="49"/>
        <v>39.5</v>
      </c>
      <c r="S100" s="60">
        <f t="shared" ref="S100:V100" si="50">S84-S99</f>
        <v>15.2</v>
      </c>
      <c r="T100" s="60">
        <f t="shared" si="50"/>
        <v>23.369999999999997</v>
      </c>
      <c r="U100" s="60">
        <f t="shared" si="50"/>
        <v>49.5</v>
      </c>
      <c r="V100" s="60">
        <f t="shared" si="50"/>
        <v>62.8</v>
      </c>
      <c r="W100" s="60">
        <f t="shared" ref="W100:AF100" si="51">W84-W99</f>
        <v>62.2</v>
      </c>
      <c r="X100" s="60">
        <f t="shared" si="51"/>
        <v>64.8</v>
      </c>
      <c r="Y100" s="60">
        <f t="shared" si="51"/>
        <v>62.3</v>
      </c>
      <c r="Z100" s="178">
        <f t="shared" si="51"/>
        <v>47.2</v>
      </c>
      <c r="AA100" s="60">
        <f t="shared" si="51"/>
        <v>0</v>
      </c>
      <c r="AB100" s="60">
        <f t="shared" si="51"/>
        <v>57.1</v>
      </c>
      <c r="AC100" s="60">
        <f t="shared" si="51"/>
        <v>36.1</v>
      </c>
      <c r="AD100" s="60">
        <f t="shared" si="51"/>
        <v>47</v>
      </c>
      <c r="AE100" s="60">
        <f t="shared" si="51"/>
        <v>21.76</v>
      </c>
      <c r="AF100" s="60">
        <f t="shared" si="51"/>
        <v>27</v>
      </c>
      <c r="AG100" s="87"/>
      <c r="AH100" s="47">
        <f t="shared" si="25"/>
        <v>64.8</v>
      </c>
      <c r="AI100" s="48">
        <f t="shared" si="26"/>
        <v>0</v>
      </c>
    </row>
    <row r="101" spans="1:37" x14ac:dyDescent="0.25">
      <c r="A101" s="99" t="s">
        <v>109</v>
      </c>
      <c r="B101" s="100">
        <v>49.89</v>
      </c>
      <c r="C101" s="100">
        <v>49.99</v>
      </c>
      <c r="D101" s="100">
        <v>49.96</v>
      </c>
      <c r="E101" s="100">
        <v>49.945</v>
      </c>
      <c r="F101" s="100">
        <v>49.935000000000002</v>
      </c>
      <c r="G101" s="100">
        <v>49.951000000000001</v>
      </c>
      <c r="H101" s="100">
        <v>49.984999999999999</v>
      </c>
      <c r="I101" s="100">
        <v>49.951000000000001</v>
      </c>
      <c r="J101" s="100">
        <v>49.951000000000001</v>
      </c>
      <c r="K101" s="100">
        <v>50.04</v>
      </c>
      <c r="L101" s="100">
        <v>50.04</v>
      </c>
      <c r="M101" s="100">
        <v>50.058999999999997</v>
      </c>
      <c r="N101" s="100">
        <v>49.930999999999997</v>
      </c>
      <c r="O101" s="100">
        <v>50.061999999999998</v>
      </c>
      <c r="P101" s="100">
        <v>49.947000000000003</v>
      </c>
      <c r="Q101" s="100">
        <v>50.05</v>
      </c>
      <c r="R101" s="100">
        <v>50.017000000000003</v>
      </c>
      <c r="S101" s="100">
        <v>50.017000000000003</v>
      </c>
      <c r="T101" s="100">
        <v>50.017000000000003</v>
      </c>
      <c r="U101" s="100">
        <v>50.017000000000003</v>
      </c>
      <c r="V101" s="100">
        <v>50.017000000000003</v>
      </c>
      <c r="W101" s="100">
        <v>50.072000000000003</v>
      </c>
      <c r="X101" s="100">
        <v>50.097000000000001</v>
      </c>
      <c r="Y101" s="100">
        <v>50.067</v>
      </c>
      <c r="Z101" s="187">
        <v>50.018000000000001</v>
      </c>
      <c r="AA101" s="100"/>
      <c r="AB101" s="100">
        <v>49.984000000000002</v>
      </c>
      <c r="AC101" s="100">
        <v>49.902999999999999</v>
      </c>
      <c r="AD101" s="100">
        <v>49.902999999999999</v>
      </c>
      <c r="AE101" s="100"/>
      <c r="AF101" s="100"/>
      <c r="AG101" s="101"/>
      <c r="AH101" s="47">
        <f t="shared" si="25"/>
        <v>50.097000000000001</v>
      </c>
      <c r="AI101" s="48">
        <f t="shared" si="26"/>
        <v>49.89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179"/>
      <c r="AA102" s="64"/>
      <c r="AB102" s="64"/>
      <c r="AC102" s="64"/>
      <c r="AD102" s="64"/>
      <c r="AE102" s="64"/>
      <c r="AF102" s="64"/>
      <c r="AG102" s="103"/>
      <c r="AH102" s="47">
        <f t="shared" si="25"/>
        <v>0</v>
      </c>
      <c r="AI102" s="48">
        <f t="shared" si="26"/>
        <v>0</v>
      </c>
    </row>
    <row r="103" spans="1:37" x14ac:dyDescent="0.25">
      <c r="A103" s="102" t="s">
        <v>111</v>
      </c>
      <c r="B103" s="64">
        <v>128.6</v>
      </c>
      <c r="C103" s="64">
        <v>128.9</v>
      </c>
      <c r="D103" s="64">
        <v>129.4</v>
      </c>
      <c r="E103" s="64">
        <v>129.19999999999999</v>
      </c>
      <c r="F103" s="64">
        <v>129.19999999999999</v>
      </c>
      <c r="G103" s="64">
        <v>128.4</v>
      </c>
      <c r="H103" s="64">
        <v>128.4</v>
      </c>
      <c r="I103" s="64">
        <v>128.4</v>
      </c>
      <c r="J103" s="64">
        <v>126.5</v>
      </c>
      <c r="K103" s="64">
        <v>125.8</v>
      </c>
      <c r="L103" s="64">
        <v>125.8</v>
      </c>
      <c r="M103" s="64">
        <v>126.2</v>
      </c>
      <c r="N103" s="64">
        <v>125.1</v>
      </c>
      <c r="O103" s="64">
        <v>123.8</v>
      </c>
      <c r="P103" s="64">
        <v>122.7</v>
      </c>
      <c r="Q103" s="64">
        <v>124.4</v>
      </c>
      <c r="R103" s="64">
        <v>123.5</v>
      </c>
      <c r="S103" s="64">
        <v>123.5</v>
      </c>
      <c r="T103" s="64">
        <v>123.5</v>
      </c>
      <c r="U103" s="64">
        <v>123.5</v>
      </c>
      <c r="V103" s="64">
        <v>123.5</v>
      </c>
      <c r="W103" s="64">
        <v>127.6</v>
      </c>
      <c r="X103" s="64">
        <v>127.6</v>
      </c>
      <c r="Y103" s="64">
        <v>127.6</v>
      </c>
      <c r="Z103" s="179">
        <v>125.9</v>
      </c>
      <c r="AA103" s="64"/>
      <c r="AB103" s="64">
        <v>125.4</v>
      </c>
      <c r="AC103" s="64">
        <v>126.5</v>
      </c>
      <c r="AD103" s="64">
        <v>126.5</v>
      </c>
      <c r="AE103" s="64"/>
      <c r="AF103" s="64"/>
      <c r="AG103" s="103"/>
      <c r="AH103" s="47">
        <f t="shared" si="25"/>
        <v>129.4</v>
      </c>
      <c r="AI103" s="48">
        <f t="shared" si="26"/>
        <v>122.7</v>
      </c>
    </row>
    <row r="104" spans="1:37" x14ac:dyDescent="0.25">
      <c r="A104" s="102" t="s">
        <v>112</v>
      </c>
      <c r="B104" s="64">
        <v>126.4</v>
      </c>
      <c r="C104" s="64">
        <v>126.1</v>
      </c>
      <c r="D104" s="64">
        <v>126.2</v>
      </c>
      <c r="E104" s="64">
        <v>126.9</v>
      </c>
      <c r="F104" s="64">
        <v>126.9</v>
      </c>
      <c r="G104" s="64">
        <v>128.80000000000001</v>
      </c>
      <c r="H104" s="64">
        <v>128.80000000000001</v>
      </c>
      <c r="I104" s="64">
        <v>128.80000000000001</v>
      </c>
      <c r="J104" s="64">
        <v>124</v>
      </c>
      <c r="K104" s="64">
        <v>120</v>
      </c>
      <c r="L104" s="64">
        <v>120</v>
      </c>
      <c r="M104" s="64">
        <v>128</v>
      </c>
      <c r="N104" s="64">
        <v>125.6</v>
      </c>
      <c r="O104" s="64">
        <v>124.6</v>
      </c>
      <c r="P104" s="64">
        <v>120.7</v>
      </c>
      <c r="Q104" s="64">
        <v>123.1</v>
      </c>
      <c r="R104" s="64">
        <v>122.5</v>
      </c>
      <c r="S104" s="64">
        <v>122.5</v>
      </c>
      <c r="T104" s="64">
        <v>122.5</v>
      </c>
      <c r="U104" s="64">
        <v>122.5</v>
      </c>
      <c r="V104" s="64">
        <v>122.5</v>
      </c>
      <c r="W104" s="64">
        <v>126.7</v>
      </c>
      <c r="X104" s="64">
        <v>126.7</v>
      </c>
      <c r="Y104" s="64">
        <v>126.7</v>
      </c>
      <c r="Z104" s="179">
        <v>123.4</v>
      </c>
      <c r="AA104" s="64"/>
      <c r="AB104" s="64">
        <v>121.4</v>
      </c>
      <c r="AC104" s="64">
        <v>129.4</v>
      </c>
      <c r="AD104" s="64">
        <v>129.4</v>
      </c>
      <c r="AE104" s="64"/>
      <c r="AF104" s="64"/>
      <c r="AG104" s="103"/>
      <c r="AH104" s="47">
        <f t="shared" si="25"/>
        <v>129.4</v>
      </c>
      <c r="AI104" s="48">
        <f t="shared" si="26"/>
        <v>120</v>
      </c>
    </row>
    <row r="105" spans="1:37" x14ac:dyDescent="0.25">
      <c r="A105" s="104" t="s">
        <v>113</v>
      </c>
      <c r="B105" s="64">
        <v>127.8</v>
      </c>
      <c r="C105" s="64">
        <v>126.6</v>
      </c>
      <c r="D105" s="64">
        <v>129</v>
      </c>
      <c r="E105" s="64">
        <v>128.5</v>
      </c>
      <c r="F105" s="64">
        <v>128.5</v>
      </c>
      <c r="G105" s="64">
        <v>129.69999999999999</v>
      </c>
      <c r="H105" s="64">
        <v>129.69999999999999</v>
      </c>
      <c r="I105" s="64">
        <v>129.69999999999999</v>
      </c>
      <c r="J105" s="64">
        <v>122.5</v>
      </c>
      <c r="K105" s="64">
        <v>118</v>
      </c>
      <c r="L105" s="64">
        <v>118</v>
      </c>
      <c r="M105" s="64">
        <v>128.5</v>
      </c>
      <c r="N105" s="64">
        <v>125.4</v>
      </c>
      <c r="O105" s="64">
        <v>124.1</v>
      </c>
      <c r="P105" s="64">
        <v>119.4</v>
      </c>
      <c r="Q105" s="64">
        <v>122.7</v>
      </c>
      <c r="R105" s="64">
        <v>121.7</v>
      </c>
      <c r="S105" s="64">
        <v>121.7</v>
      </c>
      <c r="T105" s="64">
        <v>121.7</v>
      </c>
      <c r="U105" s="64">
        <v>121.7</v>
      </c>
      <c r="V105" s="64">
        <v>121.7</v>
      </c>
      <c r="W105" s="64">
        <v>125.1</v>
      </c>
      <c r="X105" s="64">
        <v>125.1</v>
      </c>
      <c r="Y105" s="64">
        <v>125.1</v>
      </c>
      <c r="Z105" s="179">
        <v>122.5</v>
      </c>
      <c r="AA105" s="64"/>
      <c r="AB105" s="64">
        <v>118.4</v>
      </c>
      <c r="AC105" s="64">
        <v>131.69999999999999</v>
      </c>
      <c r="AD105" s="64">
        <v>131.69999999999999</v>
      </c>
      <c r="AE105" s="64"/>
      <c r="AF105" s="64"/>
      <c r="AG105" s="103"/>
      <c r="AH105" s="47">
        <f t="shared" si="25"/>
        <v>131.69999999999999</v>
      </c>
      <c r="AI105" s="48">
        <f t="shared" si="26"/>
        <v>118</v>
      </c>
    </row>
    <row r="106" spans="1:37" x14ac:dyDescent="0.25">
      <c r="A106" s="104" t="s">
        <v>114</v>
      </c>
      <c r="B106" s="105">
        <v>132.1</v>
      </c>
      <c r="C106" s="105">
        <v>131.80000000000001</v>
      </c>
      <c r="D106" s="105">
        <v>132.1</v>
      </c>
      <c r="E106" s="64">
        <v>131.30000000000001</v>
      </c>
      <c r="F106" s="64">
        <v>131.30000000000001</v>
      </c>
      <c r="G106" s="105">
        <v>131.69999999999999</v>
      </c>
      <c r="H106" s="105">
        <v>131.69999999999999</v>
      </c>
      <c r="I106" s="105">
        <v>131.69999999999999</v>
      </c>
      <c r="J106" s="105">
        <v>132.69999999999999</v>
      </c>
      <c r="K106" s="105">
        <v>130.6</v>
      </c>
      <c r="L106" s="105">
        <v>130.6</v>
      </c>
      <c r="M106" s="105">
        <v>135.80000000000001</v>
      </c>
      <c r="N106" s="105">
        <v>128.9</v>
      </c>
      <c r="O106" s="105">
        <v>131.5</v>
      </c>
      <c r="P106" s="105">
        <v>128.5</v>
      </c>
      <c r="Q106" s="105">
        <v>128.5</v>
      </c>
      <c r="R106" s="105">
        <v>131.1</v>
      </c>
      <c r="S106" s="105">
        <v>131.1</v>
      </c>
      <c r="T106" s="105">
        <v>131.1</v>
      </c>
      <c r="U106" s="105">
        <v>131.1</v>
      </c>
      <c r="V106" s="105">
        <v>131.1</v>
      </c>
      <c r="W106" s="105">
        <v>129.80000000000001</v>
      </c>
      <c r="X106" s="105">
        <v>129.80000000000001</v>
      </c>
      <c r="Y106" s="105">
        <v>129.80000000000001</v>
      </c>
      <c r="Z106" s="188">
        <v>130.19999999999999</v>
      </c>
      <c r="AA106" s="105"/>
      <c r="AB106" s="105">
        <v>133.9</v>
      </c>
      <c r="AC106" s="105">
        <v>132</v>
      </c>
      <c r="AD106" s="105">
        <v>132</v>
      </c>
      <c r="AE106" s="105"/>
      <c r="AF106" s="105"/>
      <c r="AG106" s="106"/>
      <c r="AH106" s="47">
        <f t="shared" si="25"/>
        <v>135.80000000000001</v>
      </c>
      <c r="AI106" s="48">
        <f t="shared" si="26"/>
        <v>128.5</v>
      </c>
    </row>
    <row r="107" spans="1:37" x14ac:dyDescent="0.25">
      <c r="A107" s="102" t="s">
        <v>115</v>
      </c>
      <c r="B107" s="64">
        <v>128.19999999999999</v>
      </c>
      <c r="C107" s="64">
        <v>125.2</v>
      </c>
      <c r="D107" s="64">
        <v>132.4</v>
      </c>
      <c r="E107" s="105">
        <v>128</v>
      </c>
      <c r="F107" s="105">
        <v>128</v>
      </c>
      <c r="G107" s="64">
        <v>124.5</v>
      </c>
      <c r="H107" s="64">
        <v>124.5</v>
      </c>
      <c r="I107" s="64">
        <v>124.5</v>
      </c>
      <c r="J107" s="64">
        <v>130.19999999999999</v>
      </c>
      <c r="K107" s="64">
        <v>126.4</v>
      </c>
      <c r="L107" s="64">
        <v>126.4</v>
      </c>
      <c r="M107" s="64">
        <v>129</v>
      </c>
      <c r="N107" s="64">
        <v>130.6</v>
      </c>
      <c r="O107" s="64">
        <v>125.9</v>
      </c>
      <c r="P107" s="64">
        <v>126.3</v>
      </c>
      <c r="Q107" s="64">
        <v>127.9</v>
      </c>
      <c r="R107" s="64">
        <v>124.8</v>
      </c>
      <c r="S107" s="64">
        <v>124.8</v>
      </c>
      <c r="T107" s="64">
        <v>124.8</v>
      </c>
      <c r="U107" s="64">
        <v>124.8</v>
      </c>
      <c r="V107" s="64">
        <v>124.8</v>
      </c>
      <c r="W107" s="64">
        <v>121.9</v>
      </c>
      <c r="X107" s="64">
        <v>121.9</v>
      </c>
      <c r="Y107" s="64">
        <v>121.9</v>
      </c>
      <c r="Z107" s="179">
        <v>129.1</v>
      </c>
      <c r="AA107" s="64"/>
      <c r="AB107" s="64">
        <v>133.6</v>
      </c>
      <c r="AC107" s="64">
        <v>127.7</v>
      </c>
      <c r="AD107" s="64">
        <v>127.7</v>
      </c>
      <c r="AE107" s="64"/>
      <c r="AF107" s="64"/>
      <c r="AG107" s="103"/>
      <c r="AH107" s="47">
        <f t="shared" si="25"/>
        <v>133.6</v>
      </c>
      <c r="AI107" s="48">
        <f t="shared" si="26"/>
        <v>121.9</v>
      </c>
    </row>
    <row r="108" spans="1:37" ht="15.75" thickBot="1" x14ac:dyDescent="0.3">
      <c r="A108" s="102" t="s">
        <v>116</v>
      </c>
      <c r="B108" s="91">
        <v>64.8</v>
      </c>
      <c r="C108" s="91">
        <v>65.3</v>
      </c>
      <c r="D108" s="91">
        <v>65.2</v>
      </c>
      <c r="E108" s="91">
        <v>65</v>
      </c>
      <c r="F108" s="91">
        <v>65</v>
      </c>
      <c r="G108" s="91">
        <v>64.7</v>
      </c>
      <c r="H108" s="91">
        <v>64.7</v>
      </c>
      <c r="I108" s="91">
        <v>64.7</v>
      </c>
      <c r="J108" s="91">
        <v>63.9</v>
      </c>
      <c r="K108" s="91">
        <v>63.2</v>
      </c>
      <c r="L108" s="91">
        <v>63.2</v>
      </c>
      <c r="M108" s="91">
        <v>63</v>
      </c>
      <c r="N108" s="91">
        <v>62.7</v>
      </c>
      <c r="O108" s="91">
        <v>61.8</v>
      </c>
      <c r="P108" s="91">
        <v>61.4</v>
      </c>
      <c r="Q108" s="91">
        <v>62.2</v>
      </c>
      <c r="R108" s="91">
        <v>61.5</v>
      </c>
      <c r="S108" s="91">
        <v>61.5</v>
      </c>
      <c r="T108" s="91">
        <v>61.5</v>
      </c>
      <c r="U108" s="91">
        <v>61.5</v>
      </c>
      <c r="V108" s="91">
        <v>61.5</v>
      </c>
      <c r="W108" s="91">
        <v>63.7</v>
      </c>
      <c r="X108" s="91">
        <v>63.7</v>
      </c>
      <c r="Y108" s="91">
        <v>63.7</v>
      </c>
      <c r="Z108" s="189">
        <v>63.2</v>
      </c>
      <c r="AA108" s="91"/>
      <c r="AB108" s="91">
        <v>62.9</v>
      </c>
      <c r="AC108" s="91">
        <v>62.9</v>
      </c>
      <c r="AD108" s="91">
        <v>62.9</v>
      </c>
      <c r="AE108" s="91"/>
      <c r="AF108" s="91"/>
      <c r="AG108" s="107"/>
      <c r="AH108" s="47">
        <f t="shared" si="25"/>
        <v>65.3</v>
      </c>
      <c r="AI108" s="48">
        <f t="shared" si="26"/>
        <v>61.4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189"/>
      <c r="AA109" s="91"/>
      <c r="AB109" s="91"/>
      <c r="AC109" s="91"/>
      <c r="AD109" s="91"/>
      <c r="AE109" s="91"/>
      <c r="AF109" s="91"/>
      <c r="AG109" s="107"/>
      <c r="AH109" s="47">
        <f t="shared" si="25"/>
        <v>0</v>
      </c>
      <c r="AI109" s="48">
        <f t="shared" si="26"/>
        <v>0</v>
      </c>
    </row>
    <row r="110" spans="1:37" ht="15.75" thickBot="1" x14ac:dyDescent="0.3">
      <c r="A110" s="109" t="s">
        <v>118</v>
      </c>
      <c r="B110" s="110">
        <f>SUM(B20,B26,B29:B30,B58,B60:B61,B63,B65,B111:B115,B138,B144,B150,B159,B161,B173,B180,B183:B184,B191,B193,B195,B199:B201,B203:B205,B210,B216:B217,B219:B221,B229,B234)</f>
        <v>35.499999999999993</v>
      </c>
      <c r="C110" s="110">
        <f>SUM(C20,C26,C29:C30,C58,C60:C61,C63,C65,C111:C115,C138,C144,C150,C159,C161,C173,C180,C183:C184,C191,C193,C195,C199:C201,C203:C205,C210,C216:C217,C219:C221,C229,C234)</f>
        <v>35.640000000000008</v>
      </c>
      <c r="D110" s="110">
        <f t="shared" ref="D110:O110" si="52">SUM(D20,D26,D29:D30,D58,D60:D61,D63,D65,D111:D115,D138,D144,D150,D159,D161,D173,D180,D183:D184,D191,D193,D195,D199:D201,D203:D205,D210,D216:D217,D219:D221,D229,D234)</f>
        <v>24.13999999999999</v>
      </c>
      <c r="E110" s="110">
        <f t="shared" si="52"/>
        <v>20.479999999999986</v>
      </c>
      <c r="F110" s="110">
        <f t="shared" si="52"/>
        <v>14.839999999999984</v>
      </c>
      <c r="G110" s="110">
        <f t="shared" si="52"/>
        <v>33.639999999999965</v>
      </c>
      <c r="H110" s="110">
        <f t="shared" si="52"/>
        <v>33.639999999999965</v>
      </c>
      <c r="I110" s="110">
        <f t="shared" si="52"/>
        <v>79.940000000000012</v>
      </c>
      <c r="J110" s="110">
        <f t="shared" si="52"/>
        <v>111.84000000000003</v>
      </c>
      <c r="K110" s="110">
        <f t="shared" si="52"/>
        <v>145.64000000000001</v>
      </c>
      <c r="L110" s="110">
        <f t="shared" ref="L110" si="53">SUM(L20,L26,L29:L30,L58,L60:L61,L63,L65,L111:L115,L138,L144,L150,L159,L161,L173,L180,L183:L184,L191,L193,L195,L199:L201,L203:L205,L210,L216:L217,L219:L221,L229,L234)</f>
        <v>143.83999999999997</v>
      </c>
      <c r="M110" s="110">
        <f t="shared" si="52"/>
        <v>164.24</v>
      </c>
      <c r="N110" s="110">
        <f t="shared" si="52"/>
        <v>185.73999999999995</v>
      </c>
      <c r="O110" s="110">
        <f t="shared" si="52"/>
        <v>194.24</v>
      </c>
      <c r="P110" s="110">
        <v>42</v>
      </c>
      <c r="Q110" s="110">
        <f>SUM(Q20,Q26,Q29:Q30,Q58,Q60:Q61,Q63,Q65,Q111:Q115,Q138,Q144,Q150,Q159,Q161,Q173,Q180,Q183:Q184,Q191,Q193,Q195,Q199:Q201,Q203:Q205,Q210,Q216:Q217,Q219:Q221,Q229,Q234)</f>
        <v>204.39999999999998</v>
      </c>
      <c r="R110" s="110">
        <f>SUM(R20,R26,R29:R30,R58,R60:R61,R63,R65,R111:R115,R138,R144,R150,R159,R161,R173,R180,R183:R184,R191,R193,R195,R199:R201,R203:R205,R210,R216:R217,R219:R221,R229,R234)</f>
        <v>178.9</v>
      </c>
      <c r="S110" s="110">
        <f t="shared" ref="S110:V110" si="54">SUM(S20,S26,S29:S30,S58,S60:S61,S63,S65,S111:S115,S138,S144,S150,S159,S161,S173,S180,S183:S184,S191,S193,S195,S199:S201,S203:S205,S210,S216:S217,S219:S221,S229,S234)</f>
        <v>178.9</v>
      </c>
      <c r="T110" s="110">
        <f t="shared" si="54"/>
        <v>178.9</v>
      </c>
      <c r="U110" s="110">
        <f t="shared" si="54"/>
        <v>178.9</v>
      </c>
      <c r="V110" s="110">
        <f t="shared" si="54"/>
        <v>178.9</v>
      </c>
      <c r="W110" s="110">
        <f t="shared" ref="W110:AC110" si="55">SUM(W20,W26,W29:W30,W58,W60:W61,W63,W65,W111:W115,W138,W144,W150,W159,W161,W173,W180,W183:W184,W191,W193,W195,W199:W201,W203:W205,W210,W216:W217,W219:W221,W229,W234)</f>
        <v>175.69999999999996</v>
      </c>
      <c r="X110" s="110">
        <f t="shared" si="55"/>
        <v>178.99999999999997</v>
      </c>
      <c r="Y110" s="110">
        <f t="shared" si="55"/>
        <v>189.3</v>
      </c>
      <c r="Z110" s="190">
        <f t="shared" si="55"/>
        <v>239.29999999999998</v>
      </c>
      <c r="AA110" s="110">
        <f t="shared" si="55"/>
        <v>0</v>
      </c>
      <c r="AB110" s="110">
        <f t="shared" si="55"/>
        <v>205.29999999999998</v>
      </c>
      <c r="AC110" s="110">
        <f t="shared" si="55"/>
        <v>184.4</v>
      </c>
      <c r="AD110" s="110"/>
      <c r="AE110" s="110">
        <f>SUM(AE20,AE26,AE29:AE30,AE58,AE60:AE61,AE63,AE65,AE111:AE115,AE138,AE144,AE150,AE159,AE161,AE173,AE180,AE183:AE184,AE191,AE193,AE195,AE199:AE201,AE203:AE205,AE210,AE216:AE217,AE219:AE221,AE229,AE234)</f>
        <v>148.5</v>
      </c>
      <c r="AF110" s="110">
        <f>SUM(AF20,AF26,AF29:AF30,AF58,AF60:AF61,AF63,AF65,AF111:AF115,AF138,AF144,AF150,AF159,AF161,AF173,AF180,AF183:AF184,AF191,AF193,AF195,AF199:AF201,AF203:AF205,AF210,AF216:AF217,AF219:AF221,AF229,AF234)</f>
        <v>0</v>
      </c>
      <c r="AG110" s="111"/>
      <c r="AH110" s="47">
        <f t="shared" si="25"/>
        <v>239.29999999999998</v>
      </c>
      <c r="AI110" s="48">
        <f t="shared" si="26"/>
        <v>0</v>
      </c>
    </row>
    <row r="111" spans="1:37" x14ac:dyDescent="0.25">
      <c r="A111" s="99" t="s">
        <v>119</v>
      </c>
      <c r="B111" s="112">
        <v>35.1</v>
      </c>
      <c r="C111" s="112">
        <v>33.200000000000003</v>
      </c>
      <c r="D111" s="112">
        <v>31.3</v>
      </c>
      <c r="E111" s="112">
        <v>30.2</v>
      </c>
      <c r="F111" s="112">
        <v>29.5</v>
      </c>
      <c r="G111" s="112">
        <v>35.9</v>
      </c>
      <c r="H111" s="112">
        <v>35.9</v>
      </c>
      <c r="I111" s="112">
        <v>37.6</v>
      </c>
      <c r="J111" s="112">
        <v>40.299999999999997</v>
      </c>
      <c r="K111" s="112">
        <v>38.799999999999997</v>
      </c>
      <c r="L111" s="112">
        <v>39.6</v>
      </c>
      <c r="M111" s="112">
        <v>50</v>
      </c>
      <c r="N111" s="112">
        <v>54.3</v>
      </c>
      <c r="O111" s="112">
        <v>45</v>
      </c>
      <c r="P111" s="112">
        <v>57.7</v>
      </c>
      <c r="Q111" s="112">
        <v>52.4</v>
      </c>
      <c r="R111" s="112">
        <v>39.4</v>
      </c>
      <c r="S111" s="112">
        <v>39.4</v>
      </c>
      <c r="T111" s="112">
        <v>39.4</v>
      </c>
      <c r="U111" s="112">
        <v>39.4</v>
      </c>
      <c r="V111" s="112">
        <v>39.4</v>
      </c>
      <c r="W111" s="112">
        <v>54.6</v>
      </c>
      <c r="X111" s="112">
        <v>49.3</v>
      </c>
      <c r="Y111" s="112">
        <v>52</v>
      </c>
      <c r="Z111" s="191">
        <v>62.5</v>
      </c>
      <c r="AA111" s="112"/>
      <c r="AB111" s="112">
        <v>51.8</v>
      </c>
      <c r="AC111" s="112">
        <v>44.2</v>
      </c>
      <c r="AD111" s="112">
        <v>44.2</v>
      </c>
      <c r="AE111" s="112"/>
      <c r="AF111" s="112"/>
      <c r="AG111" s="113">
        <v>75</v>
      </c>
      <c r="AH111" s="47">
        <f t="shared" si="25"/>
        <v>62.5</v>
      </c>
      <c r="AI111" s="48">
        <f t="shared" si="26"/>
        <v>29.5</v>
      </c>
    </row>
    <row r="112" spans="1:37" x14ac:dyDescent="0.25">
      <c r="A112" s="102" t="s">
        <v>120</v>
      </c>
      <c r="B112" s="114">
        <v>53.6</v>
      </c>
      <c r="C112" s="114">
        <v>49.5</v>
      </c>
      <c r="D112" s="114">
        <v>47</v>
      </c>
      <c r="E112" s="114">
        <v>46.3</v>
      </c>
      <c r="F112" s="114">
        <v>45.4</v>
      </c>
      <c r="G112" s="114">
        <v>50.8</v>
      </c>
      <c r="H112" s="114">
        <v>50.8</v>
      </c>
      <c r="I112" s="114">
        <v>56.7</v>
      </c>
      <c r="J112" s="114">
        <v>57.3</v>
      </c>
      <c r="K112" s="114">
        <v>54.3</v>
      </c>
      <c r="L112" s="114">
        <v>56.8</v>
      </c>
      <c r="M112" s="114">
        <v>69.400000000000006</v>
      </c>
      <c r="N112" s="114">
        <v>75.7</v>
      </c>
      <c r="O112" s="114">
        <v>62.7</v>
      </c>
      <c r="P112" s="114">
        <v>83.1</v>
      </c>
      <c r="Q112" s="114">
        <v>76.7</v>
      </c>
      <c r="R112" s="114">
        <v>59.5</v>
      </c>
      <c r="S112" s="114">
        <v>59.5</v>
      </c>
      <c r="T112" s="114">
        <v>59.5</v>
      </c>
      <c r="U112" s="114">
        <v>59.5</v>
      </c>
      <c r="V112" s="114">
        <v>59.5</v>
      </c>
      <c r="W112" s="114">
        <v>80.5</v>
      </c>
      <c r="X112" s="114">
        <v>73.900000000000006</v>
      </c>
      <c r="Y112" s="114">
        <v>74.400000000000006</v>
      </c>
      <c r="Z112" s="192">
        <v>91.4</v>
      </c>
      <c r="AA112" s="114"/>
      <c r="AB112" s="114">
        <v>71.599999999999994</v>
      </c>
      <c r="AC112" s="114">
        <v>63.1</v>
      </c>
      <c r="AD112" s="114">
        <v>63.1</v>
      </c>
      <c r="AE112" s="114"/>
      <c r="AF112" s="114"/>
      <c r="AG112" s="113">
        <v>240</v>
      </c>
      <c r="AH112" s="47">
        <f t="shared" si="25"/>
        <v>91.4</v>
      </c>
      <c r="AI112" s="48">
        <f t="shared" si="26"/>
        <v>45.4</v>
      </c>
    </row>
    <row r="113" spans="1:37" x14ac:dyDescent="0.25">
      <c r="A113" s="102" t="s">
        <v>121</v>
      </c>
      <c r="B113" s="114">
        <f>-87.1-91.6</f>
        <v>-178.7</v>
      </c>
      <c r="C113" s="114">
        <v>-173</v>
      </c>
      <c r="D113" s="114">
        <f>-80-84.9</f>
        <v>-164.9</v>
      </c>
      <c r="E113" s="114">
        <v>-171.3</v>
      </c>
      <c r="F113" s="114">
        <v>-174</v>
      </c>
      <c r="G113" s="114">
        <v>-169</v>
      </c>
      <c r="H113" s="114">
        <v>-169</v>
      </c>
      <c r="I113" s="114">
        <v>-155</v>
      </c>
      <c r="J113" s="114">
        <v>-130.69999999999999</v>
      </c>
      <c r="K113" s="114">
        <v>-100.3</v>
      </c>
      <c r="L113" s="114">
        <v>-115.6</v>
      </c>
      <c r="M113" s="114">
        <v>-123</v>
      </c>
      <c r="N113" s="114">
        <v>-108.9</v>
      </c>
      <c r="O113" s="114">
        <v>-100</v>
      </c>
      <c r="P113" s="114">
        <v>-108</v>
      </c>
      <c r="Q113" s="114">
        <v>-114.5</v>
      </c>
      <c r="R113" s="114">
        <v>-109</v>
      </c>
      <c r="S113" s="114">
        <v>-109</v>
      </c>
      <c r="T113" s="114">
        <v>-109</v>
      </c>
      <c r="U113" s="114">
        <v>-109</v>
      </c>
      <c r="V113" s="114">
        <v>-109</v>
      </c>
      <c r="W113" s="114">
        <v>-118</v>
      </c>
      <c r="X113" s="114">
        <v>-104.6</v>
      </c>
      <c r="Y113" s="114">
        <v>-105.6</v>
      </c>
      <c r="Z113" s="192">
        <v>-110</v>
      </c>
      <c r="AA113" s="114"/>
      <c r="AB113" s="114">
        <f>-44.5-47.6</f>
        <v>-92.1</v>
      </c>
      <c r="AC113" s="114">
        <v>-82</v>
      </c>
      <c r="AD113" s="114">
        <v>-82</v>
      </c>
      <c r="AE113" s="114"/>
      <c r="AF113" s="114"/>
      <c r="AG113" s="113">
        <v>240</v>
      </c>
      <c r="AH113" s="47">
        <f t="shared" ref="AH113:AH120" si="56">MAX(B113:AF113)</f>
        <v>-82</v>
      </c>
      <c r="AI113" s="48">
        <f t="shared" ref="AI113:AI120" si="57">MIN(B113:AF113)</f>
        <v>-178.7</v>
      </c>
    </row>
    <row r="114" spans="1:37" x14ac:dyDescent="0.25">
      <c r="A114" s="102" t="s">
        <v>122</v>
      </c>
      <c r="B114" s="114">
        <v>-12.6</v>
      </c>
      <c r="C114" s="114">
        <v>-13.1</v>
      </c>
      <c r="D114" s="114">
        <v>-13.5</v>
      </c>
      <c r="E114" s="114">
        <v>-14.6</v>
      </c>
      <c r="F114" s="114">
        <v>-15.9</v>
      </c>
      <c r="G114" s="114">
        <v>-13.9</v>
      </c>
      <c r="H114" s="114">
        <v>-13.9</v>
      </c>
      <c r="I114" s="114">
        <v>-6.7</v>
      </c>
      <c r="J114" s="114">
        <v>-3.6</v>
      </c>
      <c r="K114" s="114">
        <v>1</v>
      </c>
      <c r="L114" s="114">
        <v>0</v>
      </c>
      <c r="M114" s="114">
        <v>2</v>
      </c>
      <c r="N114" s="114">
        <v>2.5</v>
      </c>
      <c r="O114" s="114">
        <v>3.8</v>
      </c>
      <c r="P114" s="114">
        <v>0</v>
      </c>
      <c r="Q114" s="114">
        <v>0</v>
      </c>
      <c r="R114" s="114">
        <v>-0.6</v>
      </c>
      <c r="S114" s="114">
        <v>-0.6</v>
      </c>
      <c r="T114" s="114">
        <v>-0.6</v>
      </c>
      <c r="U114" s="114">
        <v>-0.6</v>
      </c>
      <c r="V114" s="114">
        <v>-0.6</v>
      </c>
      <c r="W114" s="114">
        <v>-1.4</v>
      </c>
      <c r="X114" s="114">
        <v>2.4</v>
      </c>
      <c r="Y114" s="114">
        <v>0.9</v>
      </c>
      <c r="Z114" s="192">
        <v>5.2</v>
      </c>
      <c r="AA114" s="114"/>
      <c r="AB114" s="114">
        <v>3.5</v>
      </c>
      <c r="AC114" s="114">
        <v>5.3</v>
      </c>
      <c r="AD114" s="114">
        <v>5.3</v>
      </c>
      <c r="AE114" s="114"/>
      <c r="AF114" s="114"/>
      <c r="AG114" s="113">
        <v>60</v>
      </c>
      <c r="AH114" s="47">
        <f t="shared" si="56"/>
        <v>5.3</v>
      </c>
      <c r="AI114" s="48">
        <f t="shared" si="57"/>
        <v>-15.9</v>
      </c>
    </row>
    <row r="115" spans="1:37" x14ac:dyDescent="0.25">
      <c r="A115" s="115" t="s">
        <v>123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6.9</v>
      </c>
      <c r="J115" s="116">
        <v>8.1</v>
      </c>
      <c r="K115" s="116">
        <v>11.4</v>
      </c>
      <c r="L115" s="116">
        <v>22.6</v>
      </c>
      <c r="M115" s="116">
        <v>21.8</v>
      </c>
      <c r="N115" s="116">
        <v>21.4</v>
      </c>
      <c r="O115" s="116">
        <v>21.5</v>
      </c>
      <c r="P115" s="116">
        <v>14.5</v>
      </c>
      <c r="Q115" s="116">
        <v>22.2</v>
      </c>
      <c r="R115" s="116">
        <v>22</v>
      </c>
      <c r="S115" s="116">
        <v>22</v>
      </c>
      <c r="T115" s="116">
        <v>22</v>
      </c>
      <c r="U115" s="116">
        <v>22</v>
      </c>
      <c r="V115" s="116">
        <v>22</v>
      </c>
      <c r="W115" s="116">
        <v>22.2</v>
      </c>
      <c r="X115" s="116">
        <v>21.9</v>
      </c>
      <c r="Y115" s="116">
        <v>22.5</v>
      </c>
      <c r="Z115" s="193">
        <v>20.100000000000001</v>
      </c>
      <c r="AA115" s="116"/>
      <c r="AB115" s="116">
        <v>22</v>
      </c>
      <c r="AC115" s="116">
        <v>5.3</v>
      </c>
      <c r="AD115" s="116">
        <v>5.3</v>
      </c>
      <c r="AE115" s="116"/>
      <c r="AF115" s="116"/>
      <c r="AG115" s="117">
        <v>120</v>
      </c>
      <c r="AH115" s="47">
        <f t="shared" si="56"/>
        <v>22.6</v>
      </c>
      <c r="AI115" s="48">
        <f t="shared" si="57"/>
        <v>0</v>
      </c>
    </row>
    <row r="116" spans="1:37" x14ac:dyDescent="0.25">
      <c r="A116" s="115" t="s">
        <v>124</v>
      </c>
      <c r="B116" s="116">
        <v>36.799999999999997</v>
      </c>
      <c r="C116" s="116">
        <v>47.2</v>
      </c>
      <c r="D116" s="116">
        <v>50.3</v>
      </c>
      <c r="E116" s="116">
        <v>46.3</v>
      </c>
      <c r="F116" s="116">
        <v>43.5</v>
      </c>
      <c r="G116" s="116">
        <v>47.8</v>
      </c>
      <c r="H116" s="116">
        <v>47.8</v>
      </c>
      <c r="I116" s="116">
        <v>52.3</v>
      </c>
      <c r="J116" s="116">
        <v>60.2</v>
      </c>
      <c r="K116" s="116">
        <v>85.1</v>
      </c>
      <c r="L116" s="116">
        <v>74.599999999999994</v>
      </c>
      <c r="M116" s="116">
        <v>72</v>
      </c>
      <c r="N116" s="116">
        <v>60.4</v>
      </c>
      <c r="O116" s="116">
        <v>86.1</v>
      </c>
      <c r="P116" s="116">
        <v>70.8</v>
      </c>
      <c r="Q116" s="116">
        <v>76.5</v>
      </c>
      <c r="R116" s="116">
        <v>82.7</v>
      </c>
      <c r="S116" s="116">
        <v>82.7</v>
      </c>
      <c r="T116" s="116">
        <v>82.7</v>
      </c>
      <c r="U116" s="116">
        <v>82.7</v>
      </c>
      <c r="V116" s="116">
        <v>82.7</v>
      </c>
      <c r="W116" s="116">
        <v>51.4</v>
      </c>
      <c r="X116" s="116">
        <v>45.3</v>
      </c>
      <c r="Y116" s="116">
        <v>44.1</v>
      </c>
      <c r="Z116" s="193">
        <v>56</v>
      </c>
      <c r="AA116" s="116"/>
      <c r="AB116" s="116">
        <v>60</v>
      </c>
      <c r="AC116" s="116">
        <v>97</v>
      </c>
      <c r="AD116" s="116">
        <v>97</v>
      </c>
      <c r="AE116" s="116"/>
      <c r="AF116" s="116"/>
      <c r="AG116" s="117"/>
      <c r="AH116" s="47">
        <f t="shared" si="56"/>
        <v>97</v>
      </c>
      <c r="AI116" s="48">
        <f t="shared" si="57"/>
        <v>36.799999999999997</v>
      </c>
    </row>
    <row r="117" spans="1:37" x14ac:dyDescent="0.25">
      <c r="A117" s="115" t="s">
        <v>125</v>
      </c>
      <c r="B117" s="116">
        <v>9.1</v>
      </c>
      <c r="C117" s="116">
        <v>10</v>
      </c>
      <c r="D117" s="116">
        <v>11.3</v>
      </c>
      <c r="E117" s="116">
        <v>11</v>
      </c>
      <c r="F117" s="116">
        <v>10.4</v>
      </c>
      <c r="G117" s="116">
        <v>14.2</v>
      </c>
      <c r="H117" s="116">
        <v>14.2</v>
      </c>
      <c r="I117" s="116">
        <v>10.6</v>
      </c>
      <c r="J117" s="116">
        <v>13.5</v>
      </c>
      <c r="K117" s="116">
        <v>11.6</v>
      </c>
      <c r="L117" s="116">
        <v>17</v>
      </c>
      <c r="M117" s="116">
        <v>24.3</v>
      </c>
      <c r="N117" s="116">
        <v>21.4</v>
      </c>
      <c r="O117" s="116">
        <v>11.2</v>
      </c>
      <c r="P117" s="116">
        <v>2.2999999999999998</v>
      </c>
      <c r="Q117" s="116">
        <v>1</v>
      </c>
      <c r="R117" s="116">
        <v>-10.199999999999999</v>
      </c>
      <c r="S117" s="116">
        <v>-10.199999999999999</v>
      </c>
      <c r="T117" s="116">
        <v>-10.199999999999999</v>
      </c>
      <c r="U117" s="116">
        <v>-10.199999999999999</v>
      </c>
      <c r="V117" s="116">
        <v>-10.199999999999999</v>
      </c>
      <c r="W117" s="116">
        <v>3.2</v>
      </c>
      <c r="X117" s="116">
        <v>-1.1000000000000001</v>
      </c>
      <c r="Y117" s="116">
        <v>4.5999999999999996</v>
      </c>
      <c r="Z117" s="193">
        <v>1.8</v>
      </c>
      <c r="AA117" s="116"/>
      <c r="AB117" s="116">
        <v>0</v>
      </c>
      <c r="AC117" s="116">
        <v>0</v>
      </c>
      <c r="AD117" s="116">
        <v>0</v>
      </c>
      <c r="AE117" s="116"/>
      <c r="AF117" s="116"/>
      <c r="AG117" s="118"/>
      <c r="AH117" s="47">
        <f t="shared" si="56"/>
        <v>24.3</v>
      </c>
      <c r="AI117" s="48">
        <f t="shared" si="57"/>
        <v>-10.199999999999999</v>
      </c>
    </row>
    <row r="118" spans="1:37" x14ac:dyDescent="0.25">
      <c r="A118" s="119" t="s">
        <v>126</v>
      </c>
      <c r="B118" s="105">
        <v>20.3</v>
      </c>
      <c r="C118" s="105">
        <v>21.5</v>
      </c>
      <c r="D118" s="105">
        <v>23.3</v>
      </c>
      <c r="E118" s="105">
        <v>28.6</v>
      </c>
      <c r="F118" s="105">
        <v>33</v>
      </c>
      <c r="G118" s="105">
        <v>30</v>
      </c>
      <c r="H118" s="105">
        <v>30</v>
      </c>
      <c r="I118" s="105">
        <v>20.9</v>
      </c>
      <c r="J118" s="105">
        <v>15.2</v>
      </c>
      <c r="K118" s="105">
        <v>11.3</v>
      </c>
      <c r="L118" s="105">
        <v>12.1</v>
      </c>
      <c r="M118" s="105">
        <v>35.700000000000003</v>
      </c>
      <c r="N118" s="105">
        <v>-10.1</v>
      </c>
      <c r="O118" s="105">
        <v>17.100000000000001</v>
      </c>
      <c r="P118" s="105">
        <v>8.8000000000000007</v>
      </c>
      <c r="Q118" s="105">
        <v>8.1999999999999993</v>
      </c>
      <c r="R118" s="105">
        <v>14</v>
      </c>
      <c r="S118" s="105">
        <v>14</v>
      </c>
      <c r="T118" s="105">
        <v>14</v>
      </c>
      <c r="U118" s="105">
        <v>14</v>
      </c>
      <c r="V118" s="105">
        <v>14</v>
      </c>
      <c r="W118" s="105">
        <v>13.7</v>
      </c>
      <c r="X118" s="105">
        <v>13.1</v>
      </c>
      <c r="Y118" s="105">
        <v>21.9</v>
      </c>
      <c r="Z118" s="188">
        <v>7.8</v>
      </c>
      <c r="AA118" s="105"/>
      <c r="AB118" s="105">
        <v>-17.5</v>
      </c>
      <c r="AC118" s="105">
        <v>16</v>
      </c>
      <c r="AD118" s="105">
        <v>16</v>
      </c>
      <c r="AE118" s="105"/>
      <c r="AF118" s="105"/>
      <c r="AG118" s="118"/>
      <c r="AH118" s="47">
        <f t="shared" si="56"/>
        <v>35.700000000000003</v>
      </c>
      <c r="AI118" s="48">
        <f t="shared" si="57"/>
        <v>-17.5</v>
      </c>
    </row>
    <row r="119" spans="1:37" x14ac:dyDescent="0.25">
      <c r="A119" s="120" t="s">
        <v>127</v>
      </c>
      <c r="B119" s="105">
        <v>95.4</v>
      </c>
      <c r="C119" s="105">
        <v>98.4</v>
      </c>
      <c r="D119" s="105">
        <v>96.8</v>
      </c>
      <c r="E119" s="105">
        <v>93.2</v>
      </c>
      <c r="F119" s="105">
        <v>90</v>
      </c>
      <c r="G119" s="105">
        <v>87.1</v>
      </c>
      <c r="H119" s="105">
        <v>87.1</v>
      </c>
      <c r="I119" s="105">
        <v>74.2</v>
      </c>
      <c r="J119" s="105">
        <v>62.6</v>
      </c>
      <c r="K119" s="105">
        <v>0</v>
      </c>
      <c r="L119" s="105">
        <v>0</v>
      </c>
      <c r="M119" s="105">
        <v>0</v>
      </c>
      <c r="N119" s="105">
        <v>0</v>
      </c>
      <c r="O119" s="105">
        <v>0</v>
      </c>
      <c r="P119" s="105">
        <v>0</v>
      </c>
      <c r="Q119" s="105">
        <v>0</v>
      </c>
      <c r="R119" s="105">
        <v>0</v>
      </c>
      <c r="S119" s="105">
        <v>0</v>
      </c>
      <c r="T119" s="105">
        <v>0</v>
      </c>
      <c r="U119" s="105">
        <v>0</v>
      </c>
      <c r="V119" s="105">
        <v>0</v>
      </c>
      <c r="W119" s="105">
        <v>0</v>
      </c>
      <c r="X119" s="105">
        <v>0</v>
      </c>
      <c r="Y119" s="105">
        <v>0</v>
      </c>
      <c r="Z119" s="188">
        <v>0</v>
      </c>
      <c r="AA119" s="105"/>
      <c r="AB119" s="105">
        <v>0</v>
      </c>
      <c r="AC119" s="105">
        <v>0</v>
      </c>
      <c r="AD119" s="105">
        <v>0</v>
      </c>
      <c r="AE119" s="105"/>
      <c r="AF119" s="105"/>
      <c r="AG119" s="118"/>
      <c r="AH119" s="47">
        <f t="shared" si="56"/>
        <v>98.4</v>
      </c>
      <c r="AI119" s="48">
        <f t="shared" si="57"/>
        <v>0</v>
      </c>
    </row>
    <row r="120" spans="1:37" ht="15.75" thickBot="1" x14ac:dyDescent="0.3">
      <c r="A120" s="119" t="s">
        <v>128</v>
      </c>
      <c r="B120" s="105">
        <v>54.8</v>
      </c>
      <c r="C120" s="105">
        <v>52</v>
      </c>
      <c r="D120" s="105">
        <v>55</v>
      </c>
      <c r="E120" s="105">
        <v>44.6</v>
      </c>
      <c r="F120" s="105">
        <v>39.5</v>
      </c>
      <c r="G120" s="105">
        <v>37.5</v>
      </c>
      <c r="H120" s="105">
        <v>37.5</v>
      </c>
      <c r="I120" s="105">
        <v>37.6</v>
      </c>
      <c r="J120" s="105">
        <v>41.5</v>
      </c>
      <c r="K120" s="105">
        <v>50.2</v>
      </c>
      <c r="L120" s="105">
        <v>53.9</v>
      </c>
      <c r="M120" s="105">
        <v>38.9</v>
      </c>
      <c r="N120" s="105">
        <v>61.6</v>
      </c>
      <c r="O120" s="105">
        <v>46.3</v>
      </c>
      <c r="P120" s="105">
        <v>67</v>
      </c>
      <c r="Q120" s="105">
        <v>65.7</v>
      </c>
      <c r="R120" s="105">
        <v>61</v>
      </c>
      <c r="S120" s="105">
        <v>61</v>
      </c>
      <c r="T120" s="105">
        <v>61</v>
      </c>
      <c r="U120" s="105">
        <v>61</v>
      </c>
      <c r="V120" s="105">
        <v>61</v>
      </c>
      <c r="W120" s="105">
        <v>45.3</v>
      </c>
      <c r="X120" s="105">
        <v>40.9</v>
      </c>
      <c r="Y120" s="105">
        <v>42.5</v>
      </c>
      <c r="Z120" s="188">
        <v>60.8</v>
      </c>
      <c r="AA120" s="105"/>
      <c r="AB120" s="105">
        <v>104</v>
      </c>
      <c r="AC120" s="105">
        <v>98</v>
      </c>
      <c r="AD120" s="105">
        <v>98</v>
      </c>
      <c r="AE120" s="105"/>
      <c r="AF120" s="105"/>
      <c r="AG120" s="118"/>
      <c r="AH120" s="47">
        <f t="shared" si="56"/>
        <v>104</v>
      </c>
      <c r="AI120" s="48">
        <f t="shared" si="57"/>
        <v>37.5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58">SUM(B122:B226)</f>
        <v>0</v>
      </c>
      <c r="C227" s="136">
        <f t="shared" si="58"/>
        <v>0</v>
      </c>
      <c r="D227" s="136">
        <f t="shared" si="58"/>
        <v>0</v>
      </c>
      <c r="E227" s="136">
        <f t="shared" si="58"/>
        <v>0</v>
      </c>
      <c r="F227" s="136">
        <f t="shared" si="58"/>
        <v>0</v>
      </c>
      <c r="G227" s="136">
        <f t="shared" si="58"/>
        <v>0</v>
      </c>
      <c r="H227" s="136">
        <f t="shared" si="58"/>
        <v>0</v>
      </c>
      <c r="I227" s="136">
        <f t="shared" si="58"/>
        <v>0</v>
      </c>
      <c r="J227" s="136">
        <f t="shared" si="58"/>
        <v>0</v>
      </c>
      <c r="K227" s="136">
        <f t="shared" si="58"/>
        <v>0</v>
      </c>
      <c r="L227" s="136">
        <f t="shared" si="58"/>
        <v>0</v>
      </c>
      <c r="M227" s="136">
        <f t="shared" si="58"/>
        <v>0</v>
      </c>
      <c r="N227" s="136">
        <f t="shared" si="58"/>
        <v>0</v>
      </c>
      <c r="O227" s="136">
        <f t="shared" si="58"/>
        <v>0</v>
      </c>
      <c r="P227" s="136">
        <f t="shared" si="58"/>
        <v>0</v>
      </c>
      <c r="Q227" s="136">
        <f t="shared" si="58"/>
        <v>0</v>
      </c>
      <c r="R227" s="136">
        <f t="shared" si="58"/>
        <v>0</v>
      </c>
      <c r="S227" s="136">
        <f t="shared" si="58"/>
        <v>0</v>
      </c>
      <c r="T227" s="136">
        <f t="shared" si="58"/>
        <v>0</v>
      </c>
      <c r="U227" s="136">
        <f t="shared" si="58"/>
        <v>0</v>
      </c>
      <c r="V227" s="136">
        <f t="shared" si="58"/>
        <v>0</v>
      </c>
      <c r="W227" s="136">
        <f t="shared" si="58"/>
        <v>0</v>
      </c>
      <c r="X227" s="136">
        <f t="shared" si="58"/>
        <v>0</v>
      </c>
      <c r="Y227" s="136">
        <f t="shared" si="58"/>
        <v>0</v>
      </c>
      <c r="Z227" s="136">
        <f t="shared" si="58"/>
        <v>0</v>
      </c>
      <c r="AA227" s="136">
        <f t="shared" si="58"/>
        <v>0</v>
      </c>
      <c r="AB227" s="136">
        <f t="shared" si="58"/>
        <v>0</v>
      </c>
      <c r="AC227" s="136">
        <f t="shared" si="58"/>
        <v>0</v>
      </c>
      <c r="AD227" s="136">
        <f t="shared" si="58"/>
        <v>0</v>
      </c>
      <c r="AE227" s="136">
        <f t="shared" si="58"/>
        <v>0</v>
      </c>
      <c r="AF227" s="137">
        <f t="shared" si="58"/>
        <v>0</v>
      </c>
      <c r="AG227" s="138">
        <f t="shared" si="58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59">AF229</f>
        <v>0</v>
      </c>
      <c r="C229" s="140">
        <v>0.3</v>
      </c>
      <c r="D229" s="140">
        <f t="shared" ref="D229:P234" si="60">C229</f>
        <v>0.3</v>
      </c>
      <c r="E229" s="140">
        <f t="shared" si="60"/>
        <v>0.3</v>
      </c>
      <c r="F229" s="140">
        <f t="shared" si="60"/>
        <v>0.3</v>
      </c>
      <c r="G229" s="140">
        <f t="shared" si="60"/>
        <v>0.3</v>
      </c>
      <c r="H229" s="140">
        <f t="shared" si="60"/>
        <v>0.3</v>
      </c>
      <c r="I229" s="140">
        <f t="shared" si="60"/>
        <v>0.3</v>
      </c>
      <c r="J229" s="140">
        <f t="shared" si="60"/>
        <v>0.3</v>
      </c>
      <c r="K229" s="140">
        <f t="shared" si="60"/>
        <v>0.3</v>
      </c>
      <c r="L229" s="140">
        <f t="shared" si="60"/>
        <v>0.3</v>
      </c>
      <c r="M229" s="140">
        <f t="shared" si="60"/>
        <v>0.3</v>
      </c>
      <c r="N229" s="140">
        <f t="shared" si="60"/>
        <v>0.3</v>
      </c>
      <c r="O229" s="140">
        <f t="shared" si="60"/>
        <v>0.3</v>
      </c>
      <c r="P229" s="140">
        <f t="shared" si="60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59"/>
        <v>0</v>
      </c>
      <c r="C230" s="128">
        <v>0.4</v>
      </c>
      <c r="D230" s="128">
        <f t="shared" si="60"/>
        <v>0.4</v>
      </c>
      <c r="E230" s="128">
        <f t="shared" si="60"/>
        <v>0.4</v>
      </c>
      <c r="F230" s="128">
        <f t="shared" si="60"/>
        <v>0.4</v>
      </c>
      <c r="G230" s="128">
        <f t="shared" si="60"/>
        <v>0.4</v>
      </c>
      <c r="H230" s="128">
        <f t="shared" si="60"/>
        <v>0.4</v>
      </c>
      <c r="I230" s="128">
        <f t="shared" si="60"/>
        <v>0.4</v>
      </c>
      <c r="J230" s="128">
        <f t="shared" si="60"/>
        <v>0.4</v>
      </c>
      <c r="K230" s="128">
        <f t="shared" si="60"/>
        <v>0.4</v>
      </c>
      <c r="L230" s="128">
        <f t="shared" si="60"/>
        <v>0.4</v>
      </c>
      <c r="M230" s="128">
        <f t="shared" si="60"/>
        <v>0.4</v>
      </c>
      <c r="N230" s="128">
        <f t="shared" si="60"/>
        <v>0.4</v>
      </c>
      <c r="O230" s="128">
        <f t="shared" si="60"/>
        <v>0.4</v>
      </c>
      <c r="P230" s="128">
        <f t="shared" si="60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59"/>
        <v>0</v>
      </c>
      <c r="C231" s="128">
        <v>1.5</v>
      </c>
      <c r="D231" s="128">
        <f t="shared" si="60"/>
        <v>1.5</v>
      </c>
      <c r="E231" s="128">
        <f t="shared" si="60"/>
        <v>1.5</v>
      </c>
      <c r="F231" s="128">
        <f t="shared" si="60"/>
        <v>1.5</v>
      </c>
      <c r="G231" s="128">
        <f t="shared" si="60"/>
        <v>1.5</v>
      </c>
      <c r="H231" s="128">
        <f t="shared" si="60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ref="J231:P231" ca="1" si="61">I231</f>
        <v>123.21900000000009</v>
      </c>
      <c r="K231" s="128">
        <f t="shared" ca="1" si="61"/>
        <v>123.21900000000009</v>
      </c>
      <c r="L231" s="128">
        <f t="shared" ca="1" si="61"/>
        <v>123.21900000000009</v>
      </c>
      <c r="M231" s="128">
        <f t="shared" ca="1" si="61"/>
        <v>119.19900000000008</v>
      </c>
      <c r="N231" s="128">
        <f t="shared" ca="1" si="61"/>
        <v>119.19900000000008</v>
      </c>
      <c r="O231" s="128">
        <f t="shared" ca="1" si="61"/>
        <v>119.19900000000008</v>
      </c>
      <c r="P231" s="128">
        <f t="shared" ca="1" si="61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59"/>
        <v>0</v>
      </c>
      <c r="C232" s="128">
        <v>0.3</v>
      </c>
      <c r="D232" s="128">
        <f t="shared" si="60"/>
        <v>0.3</v>
      </c>
      <c r="E232" s="128">
        <f t="shared" si="60"/>
        <v>0.3</v>
      </c>
      <c r="F232" s="128">
        <f t="shared" si="60"/>
        <v>0.3</v>
      </c>
      <c r="G232" s="128">
        <f t="shared" si="60"/>
        <v>0.3</v>
      </c>
      <c r="H232" s="128">
        <f t="shared" si="60"/>
        <v>0.3</v>
      </c>
      <c r="I232" s="128">
        <f t="shared" si="60"/>
        <v>0.3</v>
      </c>
      <c r="J232" s="128">
        <f t="shared" si="60"/>
        <v>0.3</v>
      </c>
      <c r="K232" s="128">
        <f t="shared" si="60"/>
        <v>0.3</v>
      </c>
      <c r="L232" s="128">
        <f t="shared" si="60"/>
        <v>0.3</v>
      </c>
      <c r="M232" s="128">
        <f t="shared" si="60"/>
        <v>0.3</v>
      </c>
      <c r="N232" s="128">
        <f t="shared" si="60"/>
        <v>0.3</v>
      </c>
      <c r="O232" s="128">
        <f t="shared" si="60"/>
        <v>0.3</v>
      </c>
      <c r="P232" s="128">
        <f t="shared" si="60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59"/>
        <v>0</v>
      </c>
      <c r="C233" s="128">
        <v>0.4</v>
      </c>
      <c r="D233" s="128">
        <f t="shared" si="60"/>
        <v>0.4</v>
      </c>
      <c r="E233" s="128">
        <f t="shared" si="60"/>
        <v>0.4</v>
      </c>
      <c r="F233" s="128">
        <f t="shared" si="60"/>
        <v>0.4</v>
      </c>
      <c r="G233" s="128">
        <f t="shared" si="60"/>
        <v>0.4</v>
      </c>
      <c r="H233" s="128">
        <f t="shared" si="60"/>
        <v>0.4</v>
      </c>
      <c r="I233" s="128">
        <f t="shared" si="60"/>
        <v>0.4</v>
      </c>
      <c r="J233" s="128">
        <f t="shared" si="60"/>
        <v>0.4</v>
      </c>
      <c r="K233" s="128">
        <f t="shared" si="60"/>
        <v>0.4</v>
      </c>
      <c r="L233" s="128">
        <f t="shared" si="60"/>
        <v>0.4</v>
      </c>
      <c r="M233" s="128">
        <f t="shared" si="60"/>
        <v>0.4</v>
      </c>
      <c r="N233" s="128">
        <f t="shared" si="60"/>
        <v>0.4</v>
      </c>
      <c r="O233" s="128">
        <f t="shared" si="60"/>
        <v>0.4</v>
      </c>
      <c r="P233" s="128">
        <f t="shared" si="60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59"/>
        <v>0</v>
      </c>
      <c r="C234" s="132">
        <v>0.64</v>
      </c>
      <c r="D234" s="132">
        <f t="shared" si="60"/>
        <v>0.64</v>
      </c>
      <c r="E234" s="132">
        <f t="shared" si="60"/>
        <v>0.64</v>
      </c>
      <c r="F234" s="132">
        <f t="shared" si="60"/>
        <v>0.64</v>
      </c>
      <c r="G234" s="132">
        <f t="shared" si="60"/>
        <v>0.64</v>
      </c>
      <c r="H234" s="132">
        <f t="shared" si="60"/>
        <v>0.64</v>
      </c>
      <c r="I234" s="132">
        <f t="shared" si="60"/>
        <v>0.64</v>
      </c>
      <c r="J234" s="132">
        <f t="shared" si="60"/>
        <v>0.64</v>
      </c>
      <c r="K234" s="132">
        <f t="shared" si="60"/>
        <v>0.64</v>
      </c>
      <c r="L234" s="132">
        <f t="shared" si="60"/>
        <v>0.64</v>
      </c>
      <c r="M234" s="132">
        <f t="shared" si="60"/>
        <v>0.64</v>
      </c>
      <c r="N234" s="132">
        <f t="shared" si="60"/>
        <v>0.64</v>
      </c>
      <c r="O234" s="132">
        <f t="shared" si="60"/>
        <v>0.64</v>
      </c>
      <c r="P234" s="132">
        <f t="shared" si="60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62">SUM(B229:B234)</f>
        <v>0</v>
      </c>
      <c r="C235" s="136">
        <f t="shared" si="62"/>
        <v>3.54</v>
      </c>
      <c r="D235" s="136">
        <f t="shared" si="62"/>
        <v>3.54</v>
      </c>
      <c r="E235" s="136">
        <f t="shared" si="62"/>
        <v>3.54</v>
      </c>
      <c r="F235" s="136">
        <f t="shared" si="62"/>
        <v>3.54</v>
      </c>
      <c r="G235" s="136">
        <f t="shared" si="62"/>
        <v>3.54</v>
      </c>
      <c r="H235" s="136">
        <f t="shared" si="62"/>
        <v>3.54</v>
      </c>
      <c r="I235" s="136">
        <f t="shared" ref="I235:P235" ca="1" si="63">SUM(I229:I234)</f>
        <v>121.23900000000009</v>
      </c>
      <c r="J235" s="136">
        <f t="shared" ca="1" si="63"/>
        <v>121.23900000000009</v>
      </c>
      <c r="K235" s="136">
        <f t="shared" ca="1" si="63"/>
        <v>121.23900000000009</v>
      </c>
      <c r="L235" s="136">
        <f t="shared" ca="1" si="63"/>
        <v>125.2590000000001</v>
      </c>
      <c r="M235" s="136">
        <f t="shared" ca="1" si="63"/>
        <v>121.23900000000009</v>
      </c>
      <c r="N235" s="136">
        <f t="shared" ca="1" si="63"/>
        <v>121.23900000000009</v>
      </c>
      <c r="O235" s="136">
        <f t="shared" ca="1" si="63"/>
        <v>121.23900000000009</v>
      </c>
      <c r="P235" s="136">
        <f t="shared" ca="1" si="63"/>
        <v>121.23900000000009</v>
      </c>
      <c r="Q235" s="136">
        <f t="shared" si="62"/>
        <v>0</v>
      </c>
      <c r="R235" s="136">
        <f t="shared" si="62"/>
        <v>0</v>
      </c>
      <c r="S235" s="136">
        <f t="shared" si="62"/>
        <v>0</v>
      </c>
      <c r="T235" s="136">
        <f t="shared" si="62"/>
        <v>0</v>
      </c>
      <c r="U235" s="136">
        <f t="shared" si="62"/>
        <v>0</v>
      </c>
      <c r="V235" s="136">
        <f t="shared" si="62"/>
        <v>0</v>
      </c>
      <c r="W235" s="136">
        <f t="shared" si="62"/>
        <v>0</v>
      </c>
      <c r="X235" s="136">
        <f t="shared" si="62"/>
        <v>0</v>
      </c>
      <c r="Y235" s="136">
        <f t="shared" si="62"/>
        <v>0</v>
      </c>
      <c r="Z235" s="136">
        <f t="shared" si="62"/>
        <v>0</v>
      </c>
      <c r="AA235" s="136">
        <f t="shared" si="62"/>
        <v>0</v>
      </c>
      <c r="AB235" s="136">
        <f t="shared" si="62"/>
        <v>0</v>
      </c>
      <c r="AC235" s="136">
        <f t="shared" si="62"/>
        <v>0</v>
      </c>
      <c r="AD235" s="136">
        <f t="shared" si="62"/>
        <v>0</v>
      </c>
      <c r="AE235" s="136">
        <f t="shared" si="62"/>
        <v>0</v>
      </c>
      <c r="AF235" s="136">
        <f t="shared" si="62"/>
        <v>0</v>
      </c>
      <c r="AG235" s="145">
        <f t="shared" si="6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1981.44</v>
      </c>
      <c r="C244" s="161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4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2080/03/4)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2080/03/4)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64">B91</f>
        <v>1979.94</v>
      </c>
      <c r="U249" s="170">
        <f t="shared" si="64"/>
        <v>1981.74</v>
      </c>
      <c r="V249" s="170">
        <f t="shared" si="64"/>
        <v>1953.54</v>
      </c>
      <c r="W249" s="170">
        <f t="shared" si="64"/>
        <v>1958.9199999999998</v>
      </c>
      <c r="X249" s="170">
        <f t="shared" si="64"/>
        <v>1936.44</v>
      </c>
      <c r="Y249" s="170">
        <f t="shared" si="64"/>
        <v>1936.24</v>
      </c>
      <c r="Z249" s="170">
        <f t="shared" si="64"/>
        <v>1947.74</v>
      </c>
      <c r="AA249" s="170">
        <f t="shared" si="64"/>
        <v>1957.94</v>
      </c>
      <c r="AB249" s="170">
        <f t="shared" si="64"/>
        <v>1971.2400000000002</v>
      </c>
      <c r="AC249" s="170">
        <f t="shared" si="64"/>
        <v>1967.8400000000001</v>
      </c>
      <c r="AD249" s="170">
        <f t="shared" si="64"/>
        <v>1972.8400000000001</v>
      </c>
      <c r="AE249" s="170">
        <f t="shared" si="64"/>
        <v>1981.44</v>
      </c>
      <c r="AF249" s="170">
        <f t="shared" si="64"/>
        <v>1970.34</v>
      </c>
      <c r="AG249" s="170">
        <f t="shared" si="64"/>
        <v>2047.24</v>
      </c>
      <c r="AH249" s="170">
        <f t="shared" si="64"/>
        <v>2027.0400000000002</v>
      </c>
      <c r="AI249" s="170">
        <f t="shared" si="64"/>
        <v>2025.78</v>
      </c>
      <c r="AJ249" s="170">
        <f t="shared" si="64"/>
        <v>2012.18</v>
      </c>
      <c r="AK249" s="170">
        <f t="shared" si="64"/>
        <v>1987.88</v>
      </c>
      <c r="AL249" s="170">
        <f t="shared" si="64"/>
        <v>1997.6499999999999</v>
      </c>
      <c r="AM249" s="170">
        <f t="shared" si="64"/>
        <v>2023.78</v>
      </c>
      <c r="AN249" s="170">
        <f t="shared" si="64"/>
        <v>2037.08</v>
      </c>
      <c r="AO249" s="170">
        <f t="shared" si="64"/>
        <v>2017.74</v>
      </c>
      <c r="AP249" s="170">
        <f t="shared" si="64"/>
        <v>2011.9399999999998</v>
      </c>
      <c r="AQ249" s="170">
        <f t="shared" si="64"/>
        <v>2022.9399999999998</v>
      </c>
      <c r="AR249" s="170">
        <f t="shared" si="64"/>
        <v>2042.04</v>
      </c>
      <c r="AS249" s="170">
        <f t="shared" si="64"/>
        <v>3.54</v>
      </c>
      <c r="AT249" s="170">
        <f t="shared" si="64"/>
        <v>2037.04</v>
      </c>
      <c r="AU249" s="170">
        <f t="shared" si="64"/>
        <v>1699.84</v>
      </c>
      <c r="AV249" s="170">
        <f t="shared" si="64"/>
        <v>1855.7399999999998</v>
      </c>
      <c r="AW249" s="170">
        <f t="shared" si="64"/>
        <v>1871.3</v>
      </c>
      <c r="AX249" s="170">
        <f t="shared" si="64"/>
        <v>30.54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65">C234</f>
        <v>0.64</v>
      </c>
      <c r="C270" s="173">
        <f t="shared" si="65"/>
        <v>0.64</v>
      </c>
      <c r="D270" s="173">
        <f t="shared" si="65"/>
        <v>0.64</v>
      </c>
      <c r="E270" s="173">
        <f t="shared" si="65"/>
        <v>0.64</v>
      </c>
      <c r="F270" s="173">
        <f t="shared" si="65"/>
        <v>0.64</v>
      </c>
      <c r="G270" s="173">
        <f t="shared" si="65"/>
        <v>0.64</v>
      </c>
      <c r="H270" s="173">
        <f t="shared" si="65"/>
        <v>0.64</v>
      </c>
      <c r="I270" s="173">
        <f t="shared" si="65"/>
        <v>0.64</v>
      </c>
      <c r="J270" s="173">
        <f t="shared" si="65"/>
        <v>0.64</v>
      </c>
      <c r="K270" s="173">
        <f t="shared" si="65"/>
        <v>0.64</v>
      </c>
      <c r="L270" s="173">
        <f t="shared" si="65"/>
        <v>0.64</v>
      </c>
      <c r="M270" s="173">
        <f t="shared" si="65"/>
        <v>0.64</v>
      </c>
      <c r="N270" s="173">
        <f t="shared" si="65"/>
        <v>0.64</v>
      </c>
      <c r="O270" s="173">
        <f t="shared" si="65"/>
        <v>0.64</v>
      </c>
      <c r="P270" s="173">
        <f t="shared" si="65"/>
        <v>0</v>
      </c>
      <c r="Q270" s="173">
        <f t="shared" si="65"/>
        <v>0</v>
      </c>
      <c r="R270" s="173">
        <f t="shared" si="65"/>
        <v>0</v>
      </c>
      <c r="S270" s="173">
        <f t="shared" si="65"/>
        <v>0</v>
      </c>
      <c r="T270" s="173">
        <f t="shared" si="65"/>
        <v>0</v>
      </c>
      <c r="U270" s="173">
        <f t="shared" si="65"/>
        <v>0</v>
      </c>
      <c r="V270" s="173">
        <f t="shared" si="65"/>
        <v>0</v>
      </c>
      <c r="W270" s="173">
        <f t="shared" si="65"/>
        <v>0</v>
      </c>
      <c r="X270" s="173">
        <f t="shared" si="65"/>
        <v>0</v>
      </c>
      <c r="Y270" s="173">
        <f t="shared" si="65"/>
        <v>0</v>
      </c>
      <c r="Z270" s="173">
        <f t="shared" si="65"/>
        <v>0</v>
      </c>
      <c r="AA270" s="173">
        <f t="shared" si="65"/>
        <v>0</v>
      </c>
      <c r="AB270" s="173">
        <f t="shared" si="65"/>
        <v>0</v>
      </c>
      <c r="AC270" s="173">
        <f t="shared" si="65"/>
        <v>0</v>
      </c>
      <c r="AD270" s="173">
        <f t="shared" si="65"/>
        <v>0</v>
      </c>
      <c r="AE270" s="173">
        <f t="shared" si="65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66">IF(B238&lt;100,"",B238-520)</f>
        <v/>
      </c>
      <c r="C271" s="174" t="str">
        <f t="shared" si="66"/>
        <v/>
      </c>
      <c r="D271" s="174" t="str">
        <f t="shared" si="66"/>
        <v/>
      </c>
      <c r="E271" s="174" t="str">
        <f t="shared" si="66"/>
        <v/>
      </c>
      <c r="F271" s="174" t="str">
        <f t="shared" si="66"/>
        <v/>
      </c>
      <c r="G271" s="174" t="str">
        <f t="shared" si="66"/>
        <v/>
      </c>
      <c r="H271" s="174" t="str">
        <f t="shared" si="66"/>
        <v/>
      </c>
      <c r="I271" s="174" t="str">
        <f t="shared" si="66"/>
        <v/>
      </c>
      <c r="J271" s="174" t="str">
        <f t="shared" si="66"/>
        <v/>
      </c>
      <c r="K271" s="174" t="str">
        <f t="shared" si="66"/>
        <v/>
      </c>
      <c r="L271" s="174" t="str">
        <f t="shared" si="66"/>
        <v/>
      </c>
      <c r="M271" s="174" t="str">
        <f t="shared" si="66"/>
        <v/>
      </c>
      <c r="N271" s="174" t="str">
        <f t="shared" si="66"/>
        <v/>
      </c>
      <c r="O271" s="174" t="str">
        <f t="shared" si="66"/>
        <v/>
      </c>
      <c r="P271" s="174" t="str">
        <f t="shared" si="66"/>
        <v/>
      </c>
      <c r="Q271" s="174" t="str">
        <f t="shared" si="66"/>
        <v/>
      </c>
      <c r="R271" s="174" t="str">
        <f t="shared" si="66"/>
        <v/>
      </c>
      <c r="S271" s="174" t="str">
        <f t="shared" si="66"/>
        <v/>
      </c>
      <c r="T271" s="174" t="str">
        <f t="shared" si="66"/>
        <v/>
      </c>
      <c r="U271" s="174" t="str">
        <f t="shared" si="66"/>
        <v/>
      </c>
      <c r="V271" s="174" t="str">
        <f t="shared" si="66"/>
        <v/>
      </c>
      <c r="W271" s="174" t="str">
        <f t="shared" si="66"/>
        <v/>
      </c>
      <c r="X271" s="174" t="str">
        <f t="shared" si="66"/>
        <v/>
      </c>
      <c r="Y271" s="174" t="str">
        <f t="shared" si="66"/>
        <v/>
      </c>
      <c r="Z271" s="174" t="str">
        <f t="shared" si="66"/>
        <v/>
      </c>
      <c r="AA271" s="174" t="str">
        <f t="shared" si="66"/>
        <v/>
      </c>
      <c r="AB271" s="174" t="str">
        <f t="shared" si="66"/>
        <v/>
      </c>
      <c r="AC271" s="174" t="str">
        <f t="shared" si="66"/>
        <v/>
      </c>
      <c r="AD271" s="174" t="str">
        <f t="shared" si="66"/>
        <v/>
      </c>
      <c r="AE271" s="174" t="str">
        <f t="shared" si="66"/>
        <v/>
      </c>
      <c r="AF271" s="174" t="str">
        <f t="shared" si="66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67">IF(B239&lt;100,"",B239-620)</f>
        <v/>
      </c>
      <c r="C272" s="174" t="str">
        <f t="shared" si="67"/>
        <v/>
      </c>
      <c r="D272" s="174" t="str">
        <f t="shared" si="67"/>
        <v/>
      </c>
      <c r="E272" s="174" t="str">
        <f t="shared" si="67"/>
        <v/>
      </c>
      <c r="F272" s="174" t="str">
        <f t="shared" si="67"/>
        <v/>
      </c>
      <c r="G272" s="174" t="str">
        <f t="shared" si="67"/>
        <v/>
      </c>
      <c r="H272" s="174" t="str">
        <f t="shared" si="67"/>
        <v/>
      </c>
      <c r="I272" s="174" t="str">
        <f t="shared" si="67"/>
        <v/>
      </c>
      <c r="J272" s="174" t="str">
        <f t="shared" si="67"/>
        <v/>
      </c>
      <c r="K272" s="174" t="str">
        <f t="shared" si="67"/>
        <v/>
      </c>
      <c r="L272" s="174" t="str">
        <f t="shared" si="67"/>
        <v/>
      </c>
      <c r="M272" s="174" t="str">
        <f t="shared" si="67"/>
        <v/>
      </c>
      <c r="N272" s="174" t="str">
        <f t="shared" si="67"/>
        <v/>
      </c>
      <c r="O272" s="174" t="str">
        <f t="shared" si="67"/>
        <v/>
      </c>
      <c r="P272" s="174" t="str">
        <f t="shared" si="67"/>
        <v/>
      </c>
      <c r="Q272" s="174" t="str">
        <f t="shared" si="67"/>
        <v/>
      </c>
      <c r="R272" s="174" t="str">
        <f t="shared" si="67"/>
        <v/>
      </c>
      <c r="S272" s="174" t="str">
        <f t="shared" si="67"/>
        <v/>
      </c>
      <c r="T272" s="174" t="str">
        <f t="shared" si="67"/>
        <v/>
      </c>
      <c r="U272" s="174" t="str">
        <f t="shared" si="67"/>
        <v/>
      </c>
      <c r="V272" s="174" t="str">
        <f t="shared" si="67"/>
        <v/>
      </c>
      <c r="W272" s="174" t="str">
        <f t="shared" si="67"/>
        <v/>
      </c>
      <c r="X272" s="174" t="str">
        <f t="shared" si="67"/>
        <v/>
      </c>
      <c r="Y272" s="174" t="str">
        <f t="shared" si="67"/>
        <v/>
      </c>
      <c r="Z272" s="174" t="str">
        <f t="shared" si="67"/>
        <v/>
      </c>
      <c r="AA272" s="174" t="str">
        <f t="shared" si="67"/>
        <v/>
      </c>
      <c r="AB272" s="174" t="str">
        <f t="shared" si="67"/>
        <v/>
      </c>
      <c r="AC272" s="174" t="str">
        <f t="shared" si="67"/>
        <v/>
      </c>
      <c r="AD272" s="174" t="str">
        <f t="shared" si="67"/>
        <v/>
      </c>
      <c r="AE272" s="174" t="str">
        <f t="shared" si="67"/>
        <v/>
      </c>
      <c r="AF272" s="174" t="str">
        <f t="shared" si="67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68">IF(B240&lt;100,"",B240-330)</f>
        <v/>
      </c>
      <c r="C273" s="174" t="str">
        <f t="shared" si="68"/>
        <v/>
      </c>
      <c r="D273" s="174" t="str">
        <f t="shared" si="68"/>
        <v/>
      </c>
      <c r="E273" s="174" t="str">
        <f t="shared" si="68"/>
        <v/>
      </c>
      <c r="F273" s="174" t="str">
        <f t="shared" si="68"/>
        <v/>
      </c>
      <c r="G273" s="174" t="str">
        <f t="shared" si="68"/>
        <v/>
      </c>
      <c r="H273" s="174" t="str">
        <f t="shared" si="68"/>
        <v/>
      </c>
      <c r="I273" s="174" t="str">
        <f t="shared" si="68"/>
        <v/>
      </c>
      <c r="J273" s="174" t="str">
        <f t="shared" si="68"/>
        <v/>
      </c>
      <c r="K273" s="174" t="str">
        <f t="shared" si="68"/>
        <v/>
      </c>
      <c r="L273" s="174" t="str">
        <f t="shared" si="68"/>
        <v/>
      </c>
      <c r="M273" s="174" t="str">
        <f t="shared" si="68"/>
        <v/>
      </c>
      <c r="N273" s="174" t="str">
        <f t="shared" si="68"/>
        <v/>
      </c>
      <c r="O273" s="174" t="str">
        <f t="shared" si="68"/>
        <v/>
      </c>
      <c r="P273" s="174" t="str">
        <f t="shared" si="68"/>
        <v/>
      </c>
      <c r="Q273" s="174" t="str">
        <f t="shared" si="68"/>
        <v/>
      </c>
      <c r="R273" s="174" t="str">
        <f t="shared" si="68"/>
        <v/>
      </c>
      <c r="S273" s="174" t="str">
        <f t="shared" si="68"/>
        <v/>
      </c>
      <c r="T273" s="174" t="str">
        <f t="shared" si="68"/>
        <v/>
      </c>
      <c r="U273" s="174" t="str">
        <f t="shared" si="68"/>
        <v/>
      </c>
      <c r="V273" s="174" t="str">
        <f t="shared" si="68"/>
        <v/>
      </c>
      <c r="W273" s="174" t="str">
        <f t="shared" si="68"/>
        <v/>
      </c>
      <c r="X273" s="174" t="str">
        <f t="shared" si="68"/>
        <v/>
      </c>
      <c r="Y273" s="174" t="str">
        <f t="shared" si="68"/>
        <v/>
      </c>
      <c r="Z273" s="174" t="str">
        <f t="shared" si="68"/>
        <v/>
      </c>
      <c r="AA273" s="174" t="str">
        <f t="shared" si="68"/>
        <v/>
      </c>
      <c r="AB273" s="174" t="str">
        <f t="shared" si="68"/>
        <v/>
      </c>
      <c r="AC273" s="174" t="str">
        <f t="shared" si="68"/>
        <v/>
      </c>
      <c r="AD273" s="174" t="str">
        <f t="shared" si="68"/>
        <v/>
      </c>
      <c r="AE273" s="174" t="str">
        <f t="shared" si="68"/>
        <v/>
      </c>
      <c r="AF273" s="174" t="str">
        <f t="shared" si="68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69">IF(B241&lt;100,"",B241-1500)</f>
        <v/>
      </c>
      <c r="C274" s="174" t="str">
        <f t="shared" si="69"/>
        <v/>
      </c>
      <c r="D274" s="174" t="str">
        <f t="shared" si="69"/>
        <v/>
      </c>
      <c r="E274" s="174" t="str">
        <f t="shared" si="69"/>
        <v/>
      </c>
      <c r="F274" s="174" t="str">
        <f t="shared" si="69"/>
        <v/>
      </c>
      <c r="G274" s="174" t="str">
        <f t="shared" si="69"/>
        <v/>
      </c>
      <c r="H274" s="174" t="str">
        <f t="shared" si="69"/>
        <v/>
      </c>
      <c r="I274" s="174" t="str">
        <f t="shared" si="69"/>
        <v/>
      </c>
      <c r="J274" s="174" t="str">
        <f t="shared" si="69"/>
        <v/>
      </c>
      <c r="K274" s="174" t="str">
        <f t="shared" si="69"/>
        <v/>
      </c>
      <c r="L274" s="174" t="str">
        <f t="shared" si="69"/>
        <v/>
      </c>
      <c r="M274" s="174" t="str">
        <f t="shared" si="69"/>
        <v/>
      </c>
      <c r="N274" s="174" t="str">
        <f t="shared" si="69"/>
        <v/>
      </c>
      <c r="O274" s="174" t="str">
        <f t="shared" si="69"/>
        <v/>
      </c>
      <c r="P274" s="174" t="str">
        <f t="shared" si="69"/>
        <v/>
      </c>
      <c r="Q274" s="174" t="str">
        <f t="shared" si="69"/>
        <v/>
      </c>
      <c r="R274" s="174" t="str">
        <f t="shared" si="69"/>
        <v/>
      </c>
      <c r="S274" s="174" t="str">
        <f t="shared" si="69"/>
        <v/>
      </c>
      <c r="T274" s="174" t="str">
        <f t="shared" si="69"/>
        <v/>
      </c>
      <c r="U274" s="174" t="str">
        <f t="shared" si="69"/>
        <v/>
      </c>
      <c r="V274" s="174" t="str">
        <f t="shared" si="69"/>
        <v/>
      </c>
      <c r="W274" s="174" t="str">
        <f t="shared" si="69"/>
        <v/>
      </c>
      <c r="X274" s="174" t="str">
        <f t="shared" si="69"/>
        <v/>
      </c>
      <c r="Y274" s="174" t="str">
        <f t="shared" si="69"/>
        <v/>
      </c>
      <c r="Z274" s="174" t="str">
        <f t="shared" si="69"/>
        <v/>
      </c>
      <c r="AA274" s="174" t="str">
        <f t="shared" si="69"/>
        <v/>
      </c>
      <c r="AB274" s="174" t="str">
        <f t="shared" si="69"/>
        <v/>
      </c>
      <c r="AC274" s="174" t="str">
        <f t="shared" si="69"/>
        <v/>
      </c>
      <c r="AD274" s="174" t="str">
        <f t="shared" si="69"/>
        <v/>
      </c>
      <c r="AE274" s="174" t="str">
        <f t="shared" si="69"/>
        <v/>
      </c>
      <c r="AF274" s="174" t="str">
        <f t="shared" si="69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2721" priority="214">
      <formula>$AH11=0</formula>
    </cfRule>
  </conditionalFormatting>
  <conditionalFormatting sqref="B8 M8 S8 AB8">
    <cfRule type="expression" dxfId="2720" priority="467">
      <formula>AND(C$9&gt;=8/24,C$9&lt;14/24)</formula>
    </cfRule>
    <cfRule type="expression" dxfId="2719" priority="466">
      <formula>AND(C$9&gt;=14/24,C$9&lt;20/24)</formula>
    </cfRule>
    <cfRule type="expression" dxfId="2718" priority="468">
      <formula>C$9&lt;8/24</formula>
    </cfRule>
  </conditionalFormatting>
  <conditionalFormatting sqref="B55:C66">
    <cfRule type="expression" dxfId="2717" priority="39">
      <formula>B55&gt;$AG55</formula>
    </cfRule>
    <cfRule type="expression" dxfId="2716" priority="43">
      <formula>B$9&lt;8/24</formula>
    </cfRule>
    <cfRule type="expression" dxfId="2715" priority="42">
      <formula>AND(B$9&gt;=8/24,B$9&lt;14/24)</formula>
    </cfRule>
    <cfRule type="expression" dxfId="2714" priority="41">
      <formula>AND(B$9&gt;=14/24,B$9&lt;20/24)</formula>
    </cfRule>
    <cfRule type="expression" dxfId="2713" priority="40">
      <formula>B$9&gt;=20/24</formula>
    </cfRule>
  </conditionalFormatting>
  <conditionalFormatting sqref="B9:AF31">
    <cfRule type="expression" dxfId="2712" priority="17">
      <formula>AND(B$9&gt;=8/24,B$9&lt;14/24)</formula>
    </cfRule>
    <cfRule type="expression" dxfId="2711" priority="15">
      <formula>B$9&gt;=20/24</formula>
    </cfRule>
    <cfRule type="expression" dxfId="2710" priority="16">
      <formula>AND(B$9&gt;=14/24,B$9&lt;20/24)</formula>
    </cfRule>
    <cfRule type="expression" dxfId="2709" priority="18">
      <formula>B$9&lt;8/24</formula>
    </cfRule>
  </conditionalFormatting>
  <conditionalFormatting sqref="B11:AF31">
    <cfRule type="expression" dxfId="2708" priority="14">
      <formula>B11&gt;$AG11</formula>
    </cfRule>
  </conditionalFormatting>
  <conditionalFormatting sqref="B32:AF45">
    <cfRule type="expression" dxfId="2707" priority="28">
      <formula>B$9&gt;=20/24</formula>
    </cfRule>
    <cfRule type="expression" dxfId="2706" priority="29">
      <formula>AND(B$9&gt;=14/24,B$9&lt;20/24)</formula>
    </cfRule>
    <cfRule type="expression" dxfId="2705" priority="30">
      <formula>AND(B$9&gt;=8/24,B$9&lt;14/24)</formula>
    </cfRule>
    <cfRule type="expression" dxfId="2704" priority="31">
      <formula>B$9&lt;8/24</formula>
    </cfRule>
  </conditionalFormatting>
  <conditionalFormatting sqref="B32:AF46">
    <cfRule type="expression" dxfId="2703" priority="27">
      <formula>B32&gt;$AG32</formula>
    </cfRule>
  </conditionalFormatting>
  <conditionalFormatting sqref="B46:AF46">
    <cfRule type="expression" dxfId="2702" priority="25">
      <formula>AND(B$9&gt;=8/24,B$9&lt;14/24)</formula>
    </cfRule>
    <cfRule type="expression" dxfId="2701" priority="26">
      <formula>B$9&lt;8/24</formula>
    </cfRule>
    <cfRule type="expression" dxfId="2700" priority="23">
      <formula>B$9&gt;=20/24</formula>
    </cfRule>
    <cfRule type="expression" dxfId="2699" priority="24">
      <formula>AND(B$9&gt;=14/24,B$9&lt;20/24)</formula>
    </cfRule>
  </conditionalFormatting>
  <conditionalFormatting sqref="B47:AF47">
    <cfRule type="expression" dxfId="2698" priority="38">
      <formula>B47&gt;$AG47</formula>
    </cfRule>
  </conditionalFormatting>
  <conditionalFormatting sqref="B47:AF49">
    <cfRule type="expression" dxfId="2697" priority="34">
      <formula>B$9&gt;=20/24</formula>
    </cfRule>
    <cfRule type="expression" dxfId="2696" priority="35">
      <formula>AND(B$9&gt;=14/24,B$9&lt;20/24)</formula>
    </cfRule>
    <cfRule type="expression" dxfId="2695" priority="36">
      <formula>AND(B$9&gt;=8/24,B$9&lt;14/24)</formula>
    </cfRule>
    <cfRule type="expression" dxfId="2694" priority="37">
      <formula>B$9&lt;8/24</formula>
    </cfRule>
  </conditionalFormatting>
  <conditionalFormatting sqref="B48:AF53">
    <cfRule type="expression" dxfId="2693" priority="32">
      <formula>B48&gt;$AG48</formula>
    </cfRule>
  </conditionalFormatting>
  <conditionalFormatting sqref="B51:AF53">
    <cfRule type="expression" dxfId="2692" priority="55">
      <formula>B$9&gt;=20/24</formula>
    </cfRule>
    <cfRule type="expression" dxfId="2691" priority="56">
      <formula>AND(B$9&gt;=14/24,B$9&lt;20/24)</formula>
    </cfRule>
    <cfRule type="expression" dxfId="2690" priority="57">
      <formula>AND(B$9&gt;=8/24,B$9&lt;14/24)</formula>
    </cfRule>
    <cfRule type="expression" dxfId="2689" priority="58">
      <formula>B$9&lt;8/24</formula>
    </cfRule>
  </conditionalFormatting>
  <conditionalFormatting sqref="B69:AF71">
    <cfRule type="expression" dxfId="2688" priority="5">
      <formula>B69&gt;$AG69</formula>
    </cfRule>
    <cfRule type="expression" dxfId="2687" priority="6">
      <formula>B$9&gt;=20/24</formula>
    </cfRule>
    <cfRule type="expression" dxfId="2686" priority="7">
      <formula>AND(B$9&gt;=14/24,B$9&lt;20/24)</formula>
    </cfRule>
    <cfRule type="expression" dxfId="2685" priority="8">
      <formula>AND(B$9&gt;=8/24,B$9&lt;14/24)</formula>
    </cfRule>
    <cfRule type="expression" dxfId="2684" priority="9">
      <formula>B$9&lt;8/24</formula>
    </cfRule>
  </conditionalFormatting>
  <conditionalFormatting sqref="B73:AF91">
    <cfRule type="expression" dxfId="2683" priority="2">
      <formula>AND(B$9&gt;=14/24,B$9&lt;20/24)</formula>
    </cfRule>
    <cfRule type="expression" dxfId="2682" priority="3">
      <formula>AND(B$9&gt;=8/24,B$9&lt;14/24)</formula>
    </cfRule>
    <cfRule type="expression" dxfId="2681" priority="4">
      <formula>B$9&lt;8/24</formula>
    </cfRule>
    <cfRule type="expression" dxfId="2680" priority="1">
      <formula>B$9&gt;=20/24</formula>
    </cfRule>
  </conditionalFormatting>
  <conditionalFormatting sqref="B93:AF109">
    <cfRule type="expression" dxfId="2679" priority="10">
      <formula>B$9&gt;=20/24</formula>
    </cfRule>
    <cfRule type="expression" dxfId="2678" priority="13">
      <formula>B$9&lt;8/24</formula>
    </cfRule>
    <cfRule type="expression" dxfId="2677" priority="12">
      <formula>AND(B$9&gt;=8/24,B$9&lt;14/24)</formula>
    </cfRule>
    <cfRule type="expression" dxfId="2676" priority="11">
      <formula>AND(B$9&gt;=14/24,B$9&lt;20/24)</formula>
    </cfRule>
  </conditionalFormatting>
  <conditionalFormatting sqref="B111:AF120">
    <cfRule type="expression" dxfId="2675" priority="19">
      <formula>B$9&gt;=20/24</formula>
    </cfRule>
    <cfRule type="expression" dxfId="2674" priority="22">
      <formula>B$9&lt;8/24</formula>
    </cfRule>
    <cfRule type="expression" dxfId="2673" priority="21">
      <formula>AND(B$9&gt;=8/24,B$9&lt;14/24)</formula>
    </cfRule>
    <cfRule type="expression" dxfId="2672" priority="20">
      <formula>AND(B$9&gt;=14/24,B$9&lt;20/24)</formula>
    </cfRule>
  </conditionalFormatting>
  <conditionalFormatting sqref="B227:AF227 D229:AF230 B229:B235 D231:H231 J231:AF231 D232:AF235 U248:AF248">
    <cfRule type="expression" dxfId="2671" priority="462">
      <formula>B$9&lt;8/24</formula>
    </cfRule>
    <cfRule type="expression" dxfId="2670" priority="461">
      <formula>AND(B$9&gt;=8/24,B$9&lt;14/24)</formula>
    </cfRule>
    <cfRule type="expression" dxfId="2669" priority="460">
      <formula>AND(B$9&gt;=14/24,B$9&lt;20/24)</formula>
    </cfRule>
    <cfRule type="expression" dxfId="2668" priority="459">
      <formula>B$9&gt;=20/24</formula>
    </cfRule>
  </conditionalFormatting>
  <conditionalFormatting sqref="B54:AG54">
    <cfRule type="expression" dxfId="2667" priority="44">
      <formula>B54&gt;$AG54</formula>
    </cfRule>
    <cfRule type="expression" dxfId="2666" priority="45">
      <formula>B$9&gt;=20/24</formula>
    </cfRule>
    <cfRule type="expression" dxfId="2665" priority="46">
      <formula>AND(B$9&gt;=14/24,B$9&lt;20/24)</formula>
    </cfRule>
    <cfRule type="expression" dxfId="2664" priority="47">
      <formula>AND(B$9&gt;=8/24,B$9&lt;14/24)</formula>
    </cfRule>
    <cfRule type="expression" dxfId="2663" priority="48">
      <formula>B$9&lt;8/24</formula>
    </cfRule>
  </conditionalFormatting>
  <conditionalFormatting sqref="B67:AG68 B72:AG72">
    <cfRule type="expression" dxfId="2662" priority="49">
      <formula>B67&gt;$AG67</formula>
    </cfRule>
  </conditionalFormatting>
  <conditionalFormatting sqref="B72:AG72">
    <cfRule type="expression" dxfId="2661" priority="50">
      <formula>B$9&gt;=20/24</formula>
    </cfRule>
    <cfRule type="expression" dxfId="2660" priority="51">
      <formula>AND(B$9&gt;=14/24,B$9&lt;20/24)</formula>
    </cfRule>
    <cfRule type="expression" dxfId="2659" priority="52">
      <formula>AND(B$9&gt;=8/24,B$9&lt;14/24)</formula>
    </cfRule>
    <cfRule type="expression" dxfId="2658" priority="53">
      <formula>B$9&lt;8/24</formula>
    </cfRule>
  </conditionalFormatting>
  <conditionalFormatting sqref="D55:F59 G57:G59 H58:X59 Y59:Z59">
    <cfRule type="expression" dxfId="2657" priority="269">
      <formula>D55&gt;$AG55</formula>
    </cfRule>
  </conditionalFormatting>
  <conditionalFormatting sqref="D55:F59">
    <cfRule type="expression" dxfId="2656" priority="273">
      <formula>D$9&lt;8/24</formula>
    </cfRule>
    <cfRule type="expression" dxfId="2655" priority="272">
      <formula>AND(D$9&gt;=8/24,D$9&lt;14/24)</formula>
    </cfRule>
    <cfRule type="expression" dxfId="2654" priority="271">
      <formula>AND(D$9&gt;=14/24,D$9&lt;20/24)</formula>
    </cfRule>
    <cfRule type="expression" dxfId="2653" priority="270">
      <formula>D$9&gt;=20/24</formula>
    </cfRule>
  </conditionalFormatting>
  <conditionalFormatting sqref="D60:Z60">
    <cfRule type="expression" dxfId="2652" priority="254">
      <formula>D$9&lt;8/24</formula>
    </cfRule>
    <cfRule type="expression" dxfId="2651" priority="250">
      <formula>D60&gt;$AG60</formula>
    </cfRule>
    <cfRule type="expression" dxfId="2650" priority="251">
      <formula>D$9&gt;=20/24</formula>
    </cfRule>
    <cfRule type="expression" dxfId="2649" priority="252">
      <formula>AND(D$9&gt;=14/24,D$9&lt;20/24)</formula>
    </cfRule>
    <cfRule type="expression" dxfId="2648" priority="253">
      <formula>AND(D$9&gt;=8/24,D$9&lt;14/24)</formula>
    </cfRule>
  </conditionalFormatting>
  <conditionalFormatting sqref="D61:AF66">
    <cfRule type="expression" dxfId="2647" priority="75">
      <formula>D61&gt;$AG61</formula>
    </cfRule>
    <cfRule type="expression" dxfId="2646" priority="76">
      <formula>D$9&gt;=20/24</formula>
    </cfRule>
    <cfRule type="expression" dxfId="2645" priority="77">
      <formula>AND(D$9&gt;=14/24,D$9&lt;20/24)</formula>
    </cfRule>
    <cfRule type="expression" dxfId="2644" priority="78">
      <formula>AND(D$9&gt;=8/24,D$9&lt;14/24)</formula>
    </cfRule>
    <cfRule type="expression" dxfId="2643" priority="79">
      <formula>D$9&lt;8/24</formula>
    </cfRule>
  </conditionalFormatting>
  <conditionalFormatting sqref="G57:G59 H58:H59 I59:Z59">
    <cfRule type="expression" dxfId="2642" priority="274">
      <formula>G$9&gt;=20/24</formula>
    </cfRule>
    <cfRule type="expression" dxfId="2641" priority="275">
      <formula>AND(G$9&gt;=14/24,G$9&lt;20/24)</formula>
    </cfRule>
    <cfRule type="expression" dxfId="2640" priority="276">
      <formula>AND(G$9&gt;=8/24,G$9&lt;14/24)</formula>
    </cfRule>
    <cfRule type="expression" dxfId="2639" priority="277">
      <formula>G$9&lt;8/24</formula>
    </cfRule>
  </conditionalFormatting>
  <conditionalFormatting sqref="G55:I56 J55:W57 X56:X57 H57:I57">
    <cfRule type="expression" dxfId="2638" priority="396">
      <formula>G55&gt;$AG55</formula>
    </cfRule>
  </conditionalFormatting>
  <conditionalFormatting sqref="G56:I56 J56:X57 H57:I57">
    <cfRule type="expression" dxfId="2637" priority="401">
      <formula>G$9&gt;=20/24</formula>
    </cfRule>
    <cfRule type="expression" dxfId="2636" priority="402">
      <formula>AND(G$9&gt;=14/24,G$9&lt;20/24)</formula>
    </cfRule>
    <cfRule type="expression" dxfId="2635" priority="403">
      <formula>AND(G$9&gt;=8/24,G$9&lt;14/24)</formula>
    </cfRule>
    <cfRule type="expression" dxfId="2634" priority="404">
      <formula>G$9&lt;8/24</formula>
    </cfRule>
  </conditionalFormatting>
  <conditionalFormatting sqref="G55:W55">
    <cfRule type="expression" dxfId="2633" priority="399">
      <formula>AND(G$9&gt;=8/24,G$9&lt;14/24)</formula>
    </cfRule>
    <cfRule type="expression" dxfId="2632" priority="400">
      <formula>G$9&lt;8/24</formula>
    </cfRule>
    <cfRule type="expression" dxfId="2631" priority="397">
      <formula>G$9&gt;=20/24</formula>
    </cfRule>
    <cfRule type="expression" dxfId="2630" priority="398">
      <formula>AND(G$9&gt;=14/24,G$9&lt;20/24)</formula>
    </cfRule>
  </conditionalFormatting>
  <conditionalFormatting sqref="O3:P3">
    <cfRule type="iconSet" priority="46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629" priority="465">
      <formula>C$9&gt;=20/24</formula>
    </cfRule>
  </conditionalFormatting>
  <conditionalFormatting sqref="S8">
    <cfRule type="expression" dxfId="2628" priority="438">
      <formula>U$9&gt;=20/24</formula>
    </cfRule>
    <cfRule type="expression" dxfId="2627" priority="441">
      <formula>U$9&lt;8/24</formula>
    </cfRule>
    <cfRule type="expression" dxfId="2626" priority="440">
      <formula>AND(U$9&gt;=8/24,U$9&lt;14/24)</formula>
    </cfRule>
    <cfRule type="expression" dxfId="2625" priority="439">
      <formula>AND(U$9&gt;=14/24,U$9&lt;20/24)</formula>
    </cfRule>
  </conditionalFormatting>
  <conditionalFormatting sqref="T248">
    <cfRule type="expression" dxfId="2624" priority="481">
      <formula>AX$9&lt;8/24</formula>
    </cfRule>
    <cfRule type="expression" dxfId="2623" priority="480">
      <formula>AND(AX$9&gt;=8/24,AX$9&lt;14/24)</formula>
    </cfRule>
    <cfRule type="expression" dxfId="2622" priority="479">
      <formula>AND(AX$9&gt;=14/24,AX$9&lt;20/24)</formula>
    </cfRule>
    <cfRule type="expression" dxfId="2621" priority="478">
      <formula>AX$9&gt;=20/24</formula>
    </cfRule>
  </conditionalFormatting>
  <conditionalFormatting sqref="V3 AB3">
    <cfRule type="iconSet" priority="464">
      <iconSet iconSet="3TrafficLights2" reverse="1">
        <cfvo type="percent" val="0"/>
        <cfvo type="num" val="1"/>
        <cfvo type="num" val="1"/>
      </iconSet>
    </cfRule>
  </conditionalFormatting>
  <conditionalFormatting sqref="X55:AB55 AC55:AF60 Y56:AB58 AA59:AB60">
    <cfRule type="expression" dxfId="2620" priority="81">
      <formula>X$9&gt;=20/24</formula>
    </cfRule>
    <cfRule type="expression" dxfId="2619" priority="80">
      <formula>X55&gt;$AG55</formula>
    </cfRule>
    <cfRule type="expression" dxfId="2618" priority="82">
      <formula>AND(X$9&gt;=14/24,X$9&lt;20/24)</formula>
    </cfRule>
    <cfRule type="expression" dxfId="2617" priority="84">
      <formula>X$9&lt;8/24</formula>
    </cfRule>
    <cfRule type="expression" dxfId="2616" priority="83">
      <formula>AND(X$9&gt;=8/24,X$9&lt;14/24)</formula>
    </cfRule>
  </conditionalFormatting>
  <conditionalFormatting sqref="AB8">
    <cfRule type="expression" dxfId="2615" priority="435">
      <formula>AND(AD$9&gt;=14/24,AD$9&lt;20/24)</formula>
    </cfRule>
    <cfRule type="expression" dxfId="2614" priority="434">
      <formula>AD$9&gt;=20/24</formula>
    </cfRule>
    <cfRule type="expression" dxfId="2613" priority="436">
      <formula>AND(AD$9&gt;=8/24,AD$9&lt;14/24)</formula>
    </cfRule>
    <cfRule type="expression" dxfId="2612" priority="437">
      <formula>AD$9&lt;8/24</formula>
    </cfRule>
  </conditionalFormatting>
  <conditionalFormatting sqref="AG50">
    <cfRule type="expression" dxfId="2611" priority="391">
      <formula>AG50&gt;$AG50</formula>
    </cfRule>
  </conditionalFormatting>
  <conditionalFormatting sqref="AG89">
    <cfRule type="expression" dxfId="2610" priority="395">
      <formula>AG$9&lt;8/24</formula>
    </cfRule>
    <cfRule type="expression" dxfId="2609" priority="394">
      <formula>AND(AG$9&gt;=8/24,AG$9&lt;14/24)</formula>
    </cfRule>
    <cfRule type="expression" dxfId="2608" priority="393">
      <formula>AND(AG$9&gt;=14/24,AG$9&lt;20/24)</formula>
    </cfRule>
    <cfRule type="expression" dxfId="2607" priority="392">
      <formula>AG$9&gt;=20/24</formula>
    </cfRule>
  </conditionalFormatting>
  <conditionalFormatting sqref="AG248">
    <cfRule type="expression" dxfId="2606" priority="470">
      <formula>B$9&gt;=20/24</formula>
    </cfRule>
    <cfRule type="expression" dxfId="2605" priority="471">
      <formula>AND(B$9&gt;=14/24,B$9&lt;20/24)</formula>
    </cfRule>
    <cfRule type="expression" dxfId="2604" priority="472">
      <formula>AND(B$9&gt;=8/24,B$9&lt;14/24)</formula>
    </cfRule>
    <cfRule type="expression" dxfId="2603" priority="473">
      <formula>B$9&lt;8/24</formula>
    </cfRule>
  </conditionalFormatting>
  <conditionalFormatting sqref="AH248:AX248">
    <cfRule type="expression" dxfId="2602" priority="474">
      <formula>AG$9&gt;=20/24</formula>
    </cfRule>
    <cfRule type="expression" dxfId="2601" priority="475">
      <formula>AND(AG$9&gt;=14/24,AG$9&lt;20/24)</formula>
    </cfRule>
    <cfRule type="expression" dxfId="2600" priority="476">
      <formula>AND(AG$9&gt;=8/24,AG$9&lt;14/24)</formula>
    </cfRule>
    <cfRule type="expression" dxfId="2599" priority="477">
      <formula>AG$9&lt;8/24</formula>
    </cfRule>
  </conditionalFormatting>
  <conditionalFormatting sqref="AL4:AL6">
    <cfRule type="iconSet" priority="458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357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355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6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454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442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82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598" priority="486">
      <formula>AJ$9&lt;8/24</formula>
    </cfRule>
    <cfRule type="expression" dxfId="2597" priority="483">
      <formula>AJ$9&gt;=20/24</formula>
    </cfRule>
    <cfRule type="expression" dxfId="2596" priority="484">
      <formula>AND(AJ$9&gt;=14/24,AJ$9&lt;20/24)</formula>
    </cfRule>
    <cfRule type="expression" dxfId="2595" priority="485">
      <formula>AND(AJ$9&gt;=8/24,AJ$9&lt;14/24)</formula>
    </cfRule>
  </conditionalFormatting>
  <conditionalFormatting sqref="AL80:AN80 AL86:AN86">
    <cfRule type="expression" dxfId="2594" priority="283">
      <formula>AL$9&gt;=20/24</formula>
    </cfRule>
    <cfRule type="expression" dxfId="2593" priority="285">
      <formula>AND(AL$9&gt;=8/24,AL$9&lt;14/24)</formula>
    </cfRule>
    <cfRule type="expression" dxfId="2592" priority="284">
      <formula>AND(AL$9&gt;=14/24,AL$9&lt;20/24)</formula>
    </cfRule>
    <cfRule type="expression" dxfId="2591" priority="286">
      <formula>AL$9&lt;8/24</formula>
    </cfRule>
  </conditionalFormatting>
  <conditionalFormatting sqref="AN81:AN84">
    <cfRule type="expression" dxfId="2590" priority="282">
      <formula>AN$9&lt;8/24</formula>
    </cfRule>
    <cfRule type="expression" dxfId="2589" priority="281">
      <formula>AND(AN$9&gt;=8/24,AN$9&lt;14/24)</formula>
    </cfRule>
    <cfRule type="expression" dxfId="2588" priority="279">
      <formula>AN$9&gt;=20/24</formula>
    </cfRule>
    <cfRule type="expression" dxfId="2587" priority="280">
      <formula>AND(AN$9&gt;=14/24,AN$9&lt;20/24)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26FA-DA84-4824-8B5C-2DDE3BE72944}">
  <dimension ref="A1:CJ281"/>
  <sheetViews>
    <sheetView zoomScale="80" zoomScaleNormal="80"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O112" sqref="O11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2080/04/5</v>
      </c>
      <c r="C4" s="203"/>
      <c r="D4" s="203"/>
      <c r="E4" s="204" t="str">
        <f ca="1">"2079/"&amp;"12/"&amp;INT(MID(CELL("filename",G6),FIND("]",CELL("filename",G6))+1,200))</f>
        <v>2079/12/5</v>
      </c>
      <c r="F4" s="204"/>
      <c r="G4" s="204"/>
      <c r="H4" s="204" t="str">
        <f ca="1">TEXT(E4,"dddd")</f>
        <v>Tuesday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45</v>
      </c>
      <c r="C5" s="30">
        <f t="shared" si="0"/>
        <v>20.3</v>
      </c>
      <c r="D5" s="30">
        <f t="shared" si="0"/>
        <v>16.5</v>
      </c>
      <c r="E5" s="30">
        <f t="shared" si="0"/>
        <v>19.899999999999999</v>
      </c>
      <c r="F5" s="30">
        <f t="shared" si="0"/>
        <v>16.100000000000001</v>
      </c>
      <c r="G5" s="30">
        <f t="shared" si="0"/>
        <v>10.1</v>
      </c>
      <c r="H5" s="30">
        <f t="shared" si="0"/>
        <v>21</v>
      </c>
      <c r="I5" s="30">
        <f t="shared" si="0"/>
        <v>10.1</v>
      </c>
      <c r="J5" s="30">
        <f t="shared" si="0"/>
        <v>10.6</v>
      </c>
      <c r="K5" s="30">
        <f t="shared" si="0"/>
        <v>15.6</v>
      </c>
      <c r="L5" s="30">
        <f t="shared" si="0"/>
        <v>20.399999999999999</v>
      </c>
      <c r="M5" s="30">
        <f t="shared" si="0"/>
        <v>24.4</v>
      </c>
      <c r="N5" s="30">
        <f t="shared" si="0"/>
        <v>57.9</v>
      </c>
      <c r="O5" s="30">
        <f t="shared" si="0"/>
        <v>50</v>
      </c>
      <c r="P5" s="30">
        <f t="shared" si="0"/>
        <v>63.9</v>
      </c>
      <c r="Q5" s="30">
        <f t="shared" si="0"/>
        <v>35.6</v>
      </c>
      <c r="R5" s="30">
        <f t="shared" si="0"/>
        <v>53</v>
      </c>
      <c r="S5" s="30">
        <f t="shared" si="0"/>
        <v>70.400000000000006</v>
      </c>
      <c r="T5" s="30">
        <f t="shared" si="0"/>
        <v>43</v>
      </c>
      <c r="U5" s="30">
        <f t="shared" si="0"/>
        <v>29</v>
      </c>
      <c r="V5" s="30">
        <f t="shared" si="0"/>
        <v>17</v>
      </c>
      <c r="W5" s="30">
        <f t="shared" si="0"/>
        <v>9.4</v>
      </c>
      <c r="X5" s="30">
        <f t="shared" si="0"/>
        <v>9.4</v>
      </c>
      <c r="Y5" s="30">
        <f t="shared" si="0"/>
        <v>9.4</v>
      </c>
      <c r="Z5" s="30">
        <f t="shared" si="0"/>
        <v>47.2</v>
      </c>
      <c r="AA5" s="30">
        <f t="shared" si="0"/>
        <v>47.4</v>
      </c>
      <c r="AB5" s="30">
        <f t="shared" si="0"/>
        <v>48.8</v>
      </c>
      <c r="AC5" s="30">
        <f t="shared" si="0"/>
        <v>43.5</v>
      </c>
      <c r="AD5" s="30">
        <f t="shared" si="0"/>
        <v>38.200000000000003</v>
      </c>
      <c r="AE5" s="30">
        <f t="shared" si="0"/>
        <v>46.3</v>
      </c>
      <c r="AF5" s="30">
        <f>B84</f>
        <v>38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2006MW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Load=42</v>
      </c>
      <c r="B7" s="35">
        <f t="shared" ref="B7:AF7" si="1">B91</f>
        <v>41.54</v>
      </c>
      <c r="C7" s="35">
        <f t="shared" si="1"/>
        <v>1988.84</v>
      </c>
      <c r="D7" s="35">
        <f t="shared" si="1"/>
        <v>1964.1399999999999</v>
      </c>
      <c r="E7" s="35">
        <f t="shared" si="1"/>
        <v>1945.34</v>
      </c>
      <c r="F7" s="35">
        <f t="shared" si="1"/>
        <v>1935.64</v>
      </c>
      <c r="G7" s="35">
        <f t="shared" si="1"/>
        <v>1785.74</v>
      </c>
      <c r="H7" s="35">
        <f t="shared" si="1"/>
        <v>1871.54</v>
      </c>
      <c r="I7" s="35">
        <f t="shared" si="1"/>
        <v>1962.8400000000001</v>
      </c>
      <c r="J7" s="35">
        <f t="shared" si="1"/>
        <v>1979.14</v>
      </c>
      <c r="K7" s="35">
        <f t="shared" si="1"/>
        <v>2006.1399999999999</v>
      </c>
      <c r="L7" s="35">
        <f t="shared" si="1"/>
        <v>1972.74</v>
      </c>
      <c r="M7" s="35">
        <f t="shared" si="1"/>
        <v>1975.94</v>
      </c>
      <c r="N7" s="35">
        <f>N91</f>
        <v>1982.3400000000001</v>
      </c>
      <c r="O7" s="35">
        <f t="shared" si="1"/>
        <v>2078.84</v>
      </c>
      <c r="P7" s="35">
        <f t="shared" si="1"/>
        <v>2042.04</v>
      </c>
      <c r="Q7" s="35">
        <f t="shared" si="1"/>
        <v>2062.2400000000002</v>
      </c>
      <c r="R7" s="35">
        <f t="shared" si="1"/>
        <v>2033.94</v>
      </c>
      <c r="S7" s="35">
        <f t="shared" si="1"/>
        <v>2022.24</v>
      </c>
      <c r="T7" s="35">
        <f t="shared" si="1"/>
        <v>2036.04</v>
      </c>
      <c r="U7" s="35">
        <f t="shared" si="1"/>
        <v>2008.94</v>
      </c>
      <c r="V7" s="35">
        <f t="shared" si="1"/>
        <v>1974.74</v>
      </c>
      <c r="W7" s="35">
        <f t="shared" si="1"/>
        <v>1930.7400000000002</v>
      </c>
      <c r="X7" s="35">
        <f t="shared" si="1"/>
        <v>1943.44</v>
      </c>
      <c r="Y7" s="35">
        <f t="shared" si="1"/>
        <v>2000.44</v>
      </c>
      <c r="Z7" s="35">
        <f t="shared" si="1"/>
        <v>2020.44</v>
      </c>
      <c r="AA7" s="35">
        <f t="shared" si="1"/>
        <v>2042.04</v>
      </c>
      <c r="AB7" s="35">
        <f t="shared" si="1"/>
        <v>2088.1400000000003</v>
      </c>
      <c r="AC7" s="35">
        <f t="shared" si="1"/>
        <v>2086.5400000000004</v>
      </c>
      <c r="AD7" s="35">
        <f t="shared" si="1"/>
        <v>2082.04</v>
      </c>
      <c r="AE7" s="35">
        <f t="shared" si="1"/>
        <v>2004.14</v>
      </c>
      <c r="AF7" s="35">
        <f t="shared" si="1"/>
        <v>1966.24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/>
      <c r="C11" s="45">
        <v>90</v>
      </c>
      <c r="D11" s="45">
        <v>90</v>
      </c>
      <c r="E11" s="45">
        <v>90</v>
      </c>
      <c r="F11" s="45">
        <v>90</v>
      </c>
      <c r="G11" s="45">
        <v>90</v>
      </c>
      <c r="H11" s="45">
        <v>84.7</v>
      </c>
      <c r="I11" s="45">
        <v>84.7</v>
      </c>
      <c r="J11" s="45">
        <v>84.7</v>
      </c>
      <c r="K11" s="45">
        <v>84.7</v>
      </c>
      <c r="L11" s="45">
        <v>84.7</v>
      </c>
      <c r="M11" s="45">
        <v>84.7</v>
      </c>
      <c r="N11" s="45">
        <v>84.7</v>
      </c>
      <c r="O11" s="45">
        <v>84.7</v>
      </c>
      <c r="P11" s="45">
        <v>84.7</v>
      </c>
      <c r="Q11" s="45">
        <v>84.7</v>
      </c>
      <c r="R11" s="45">
        <v>84.7</v>
      </c>
      <c r="S11" s="45">
        <v>84.7</v>
      </c>
      <c r="T11" s="45">
        <v>84.7</v>
      </c>
      <c r="U11" s="45">
        <v>84.7</v>
      </c>
      <c r="V11" s="45">
        <v>84.7</v>
      </c>
      <c r="W11" s="45">
        <v>90</v>
      </c>
      <c r="X11" s="45">
        <v>90</v>
      </c>
      <c r="Y11" s="45">
        <v>90</v>
      </c>
      <c r="Z11" s="45">
        <v>90</v>
      </c>
      <c r="AA11" s="45">
        <v>90.3</v>
      </c>
      <c r="AB11" s="45">
        <v>90.3</v>
      </c>
      <c r="AC11" s="45">
        <v>90.3</v>
      </c>
      <c r="AD11" s="45">
        <v>90.3</v>
      </c>
      <c r="AE11" s="45">
        <v>90.3</v>
      </c>
      <c r="AF11" s="45">
        <v>90.3</v>
      </c>
      <c r="AG11" s="46">
        <v>86</v>
      </c>
      <c r="AH11" s="47">
        <f t="shared" ref="AH11:AH76" si="2">MAX(B11:AF11)</f>
        <v>90.3</v>
      </c>
      <c r="AI11" s="48">
        <f t="shared" ref="AI11:AI76" si="3">MIN(B11:AF11)</f>
        <v>84.7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/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18</v>
      </c>
      <c r="I12" s="45">
        <v>18</v>
      </c>
      <c r="J12" s="45">
        <v>18</v>
      </c>
      <c r="K12" s="45">
        <v>27</v>
      </c>
      <c r="L12" s="45">
        <v>27</v>
      </c>
      <c r="M12" s="45">
        <v>27</v>
      </c>
      <c r="N12" s="45">
        <v>27</v>
      </c>
      <c r="O12" s="45">
        <v>27</v>
      </c>
      <c r="P12" s="45">
        <v>13</v>
      </c>
      <c r="Q12" s="45">
        <v>13</v>
      </c>
      <c r="R12" s="45">
        <v>13</v>
      </c>
      <c r="S12" s="45">
        <v>13</v>
      </c>
      <c r="T12" s="45">
        <v>13</v>
      </c>
      <c r="U12" s="45">
        <v>13</v>
      </c>
      <c r="V12" s="45">
        <v>20</v>
      </c>
      <c r="W12" s="45">
        <v>20</v>
      </c>
      <c r="X12" s="45">
        <v>20</v>
      </c>
      <c r="Y12" s="45">
        <v>20</v>
      </c>
      <c r="Z12" s="45">
        <v>26</v>
      </c>
      <c r="AA12" s="45">
        <v>26</v>
      </c>
      <c r="AB12" s="45">
        <v>26</v>
      </c>
      <c r="AC12" s="45">
        <v>26</v>
      </c>
      <c r="AD12" s="45">
        <v>26</v>
      </c>
      <c r="AE12" s="45">
        <v>20</v>
      </c>
      <c r="AF12" s="45">
        <v>18</v>
      </c>
      <c r="AG12" s="49">
        <v>54</v>
      </c>
      <c r="AH12" s="47">
        <f t="shared" si="2"/>
        <v>27</v>
      </c>
      <c r="AI12" s="48">
        <f t="shared" si="3"/>
        <v>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/>
      <c r="C13" s="45">
        <v>54.9</v>
      </c>
      <c r="D13" s="45">
        <v>54.9</v>
      </c>
      <c r="E13" s="45">
        <v>54.9</v>
      </c>
      <c r="F13" s="45">
        <v>54.9</v>
      </c>
      <c r="G13" s="45">
        <v>54.9</v>
      </c>
      <c r="H13" s="45">
        <v>54.9</v>
      </c>
      <c r="I13" s="45">
        <v>54.9</v>
      </c>
      <c r="J13" s="45">
        <v>54.9</v>
      </c>
      <c r="K13" s="45">
        <v>54.9</v>
      </c>
      <c r="L13" s="45">
        <v>54.9</v>
      </c>
      <c r="M13" s="45">
        <v>54.9</v>
      </c>
      <c r="N13" s="45">
        <v>54.9</v>
      </c>
      <c r="O13" s="45">
        <v>54.9</v>
      </c>
      <c r="P13" s="45">
        <v>54.9</v>
      </c>
      <c r="Q13" s="45">
        <v>54.9</v>
      </c>
      <c r="R13" s="45">
        <v>54.9</v>
      </c>
      <c r="S13" s="45">
        <v>54.9</v>
      </c>
      <c r="T13" s="45">
        <v>54.9</v>
      </c>
      <c r="U13" s="45">
        <v>54.9</v>
      </c>
      <c r="V13" s="45">
        <v>54.9</v>
      </c>
      <c r="W13" s="45">
        <v>55</v>
      </c>
      <c r="X13" s="45">
        <v>55</v>
      </c>
      <c r="Y13" s="45">
        <v>55</v>
      </c>
      <c r="Z13" s="45">
        <v>55</v>
      </c>
      <c r="AA13" s="45">
        <v>54.9</v>
      </c>
      <c r="AB13" s="45">
        <v>55.1</v>
      </c>
      <c r="AC13" s="45">
        <v>55.1</v>
      </c>
      <c r="AD13" s="45">
        <v>55.1</v>
      </c>
      <c r="AE13" s="45">
        <v>55.1</v>
      </c>
      <c r="AF13" s="45">
        <v>55</v>
      </c>
      <c r="AG13" s="46">
        <v>52.4</v>
      </c>
      <c r="AH13" s="47">
        <f t="shared" si="2"/>
        <v>55.1</v>
      </c>
      <c r="AI13" s="48">
        <f t="shared" si="3"/>
        <v>54.9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/>
      <c r="C14" s="45">
        <v>50.5</v>
      </c>
      <c r="D14" s="45">
        <v>50.5</v>
      </c>
      <c r="E14" s="45">
        <v>50.5</v>
      </c>
      <c r="F14" s="45">
        <v>50.5</v>
      </c>
      <c r="G14" s="45">
        <v>50.5</v>
      </c>
      <c r="H14" s="45">
        <v>50.5</v>
      </c>
      <c r="I14" s="45">
        <v>50.5</v>
      </c>
      <c r="J14" s="45">
        <v>50.5</v>
      </c>
      <c r="K14" s="45">
        <v>50.5</v>
      </c>
      <c r="L14" s="45">
        <v>50.5</v>
      </c>
      <c r="M14" s="45">
        <v>50.5</v>
      </c>
      <c r="N14" s="45">
        <v>50.5</v>
      </c>
      <c r="O14" s="45">
        <v>50.5</v>
      </c>
      <c r="P14" s="45">
        <v>50.5</v>
      </c>
      <c r="Q14" s="45">
        <v>50.5</v>
      </c>
      <c r="R14" s="45">
        <v>50.5</v>
      </c>
      <c r="S14" s="45">
        <v>50.5</v>
      </c>
      <c r="T14" s="45">
        <v>50.5</v>
      </c>
      <c r="U14" s="45">
        <v>50.5</v>
      </c>
      <c r="V14" s="45">
        <v>50.5</v>
      </c>
      <c r="W14" s="45">
        <v>50.5</v>
      </c>
      <c r="X14" s="45">
        <v>50.5</v>
      </c>
      <c r="Y14" s="45">
        <v>50.5</v>
      </c>
      <c r="Z14" s="45">
        <v>50.5</v>
      </c>
      <c r="AA14" s="45">
        <v>50.5</v>
      </c>
      <c r="AB14" s="45">
        <v>50.3</v>
      </c>
      <c r="AC14" s="45">
        <v>50.3</v>
      </c>
      <c r="AD14" s="45">
        <v>50.3</v>
      </c>
      <c r="AE14" s="45">
        <v>50.3</v>
      </c>
      <c r="AF14" s="45">
        <v>50.5</v>
      </c>
      <c r="AG14" s="49">
        <v>50</v>
      </c>
      <c r="AH14" s="47">
        <f t="shared" si="2"/>
        <v>50.5</v>
      </c>
      <c r="AI14" s="48">
        <f t="shared" si="3"/>
        <v>50.3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/>
      <c r="C15" s="45">
        <v>46</v>
      </c>
      <c r="D15" s="45">
        <v>46</v>
      </c>
      <c r="E15" s="45">
        <v>46</v>
      </c>
      <c r="F15" s="45">
        <v>46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46.2</v>
      </c>
      <c r="Y15" s="45">
        <v>46.2</v>
      </c>
      <c r="Z15" s="45">
        <v>46.2</v>
      </c>
      <c r="AA15" s="45">
        <v>46.2</v>
      </c>
      <c r="AB15" s="45">
        <v>46.2</v>
      </c>
      <c r="AC15" s="45">
        <v>46.2</v>
      </c>
      <c r="AD15" s="45">
        <v>46.2</v>
      </c>
      <c r="AE15" s="45">
        <v>46.2</v>
      </c>
      <c r="AF15" s="45">
        <v>46.1</v>
      </c>
      <c r="AG15" s="49">
        <v>45</v>
      </c>
      <c r="AH15" s="47">
        <f t="shared" si="2"/>
        <v>46.2</v>
      </c>
      <c r="AI15" s="48">
        <f t="shared" si="3"/>
        <v>46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/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/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29</v>
      </c>
      <c r="K17" s="45">
        <v>29</v>
      </c>
      <c r="L17" s="45">
        <v>29</v>
      </c>
      <c r="M17" s="45">
        <v>29</v>
      </c>
      <c r="N17" s="45">
        <v>29</v>
      </c>
      <c r="O17" s="45">
        <v>29</v>
      </c>
      <c r="P17" s="45">
        <v>29</v>
      </c>
      <c r="Q17" s="45">
        <v>29</v>
      </c>
      <c r="R17" s="45">
        <v>29</v>
      </c>
      <c r="S17" s="45">
        <v>29</v>
      </c>
      <c r="T17" s="45">
        <v>29</v>
      </c>
      <c r="U17" s="45">
        <v>29</v>
      </c>
      <c r="V17" s="45">
        <v>29</v>
      </c>
      <c r="W17" s="45">
        <v>30</v>
      </c>
      <c r="X17" s="45">
        <v>30</v>
      </c>
      <c r="Y17" s="45">
        <v>30</v>
      </c>
      <c r="Z17" s="45">
        <v>30</v>
      </c>
      <c r="AA17" s="45">
        <v>36</v>
      </c>
      <c r="AB17" s="45">
        <v>36</v>
      </c>
      <c r="AC17" s="45">
        <v>36</v>
      </c>
      <c r="AD17" s="45">
        <v>36</v>
      </c>
      <c r="AE17" s="45">
        <v>32</v>
      </c>
      <c r="AF17" s="45">
        <v>28</v>
      </c>
      <c r="AG17" s="49">
        <v>42</v>
      </c>
      <c r="AH17" s="47">
        <f t="shared" si="2"/>
        <v>36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/>
      <c r="C18" s="45">
        <v>38.799999999999997</v>
      </c>
      <c r="D18" s="45">
        <v>38.799999999999997</v>
      </c>
      <c r="E18" s="45">
        <v>38.799999999999997</v>
      </c>
      <c r="F18" s="45">
        <v>38.799999999999997</v>
      </c>
      <c r="G18" s="45">
        <v>38.799999999999997</v>
      </c>
      <c r="H18" s="45">
        <v>38.799999999999997</v>
      </c>
      <c r="I18" s="45">
        <v>38.799999999999997</v>
      </c>
      <c r="J18" s="45">
        <v>38.799999999999997</v>
      </c>
      <c r="K18" s="45">
        <v>38.799999999999997</v>
      </c>
      <c r="L18" s="45">
        <v>38.799999999999997</v>
      </c>
      <c r="M18" s="45">
        <v>38.799999999999997</v>
      </c>
      <c r="N18" s="45">
        <v>38.799999999999997</v>
      </c>
      <c r="O18" s="45">
        <v>38.799999999999997</v>
      </c>
      <c r="P18" s="45">
        <v>38.799999999999997</v>
      </c>
      <c r="Q18" s="45">
        <v>38.799999999999997</v>
      </c>
      <c r="R18" s="45">
        <v>38.799999999999997</v>
      </c>
      <c r="S18" s="45">
        <v>38.799999999999997</v>
      </c>
      <c r="T18" s="45">
        <v>38.799999999999997</v>
      </c>
      <c r="U18" s="45">
        <v>38.799999999999997</v>
      </c>
      <c r="V18" s="45">
        <v>38.799999999999997</v>
      </c>
      <c r="W18" s="45">
        <v>38.799999999999997</v>
      </c>
      <c r="X18" s="45">
        <v>38.799999999999997</v>
      </c>
      <c r="Y18" s="45">
        <v>38.799999999999997</v>
      </c>
      <c r="Z18" s="45">
        <v>38.799999999999997</v>
      </c>
      <c r="AA18" s="45">
        <v>38.799999999999997</v>
      </c>
      <c r="AB18" s="45">
        <v>38.799999999999997</v>
      </c>
      <c r="AC18" s="45">
        <v>38.799999999999997</v>
      </c>
      <c r="AD18" s="45">
        <v>38.799999999999997</v>
      </c>
      <c r="AE18" s="45">
        <v>38.799999999999997</v>
      </c>
      <c r="AF18" s="45">
        <v>38.799999999999997</v>
      </c>
      <c r="AG18" s="49">
        <v>38.46</v>
      </c>
      <c r="AH18" s="47">
        <f t="shared" si="2"/>
        <v>38.799999999999997</v>
      </c>
      <c r="AI18" s="48">
        <f t="shared" si="3"/>
        <v>38.799999999999997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/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36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/>
      <c r="C20" s="45">
        <v>5.7</v>
      </c>
      <c r="D20" s="45">
        <v>5.7</v>
      </c>
      <c r="E20" s="45">
        <v>5.7</v>
      </c>
      <c r="F20" s="45">
        <v>5.7</v>
      </c>
      <c r="G20" s="45">
        <v>5.7</v>
      </c>
      <c r="H20" s="45">
        <v>10.3</v>
      </c>
      <c r="I20" s="45">
        <v>10.3</v>
      </c>
      <c r="J20" s="45">
        <v>10.3</v>
      </c>
      <c r="K20" s="45">
        <v>15.6</v>
      </c>
      <c r="L20" s="45">
        <v>29.9</v>
      </c>
      <c r="M20" s="45">
        <v>29.9</v>
      </c>
      <c r="N20" s="45">
        <v>29.9</v>
      </c>
      <c r="O20" s="45">
        <v>29.9</v>
      </c>
      <c r="P20" s="45">
        <v>10.9</v>
      </c>
      <c r="Q20" s="45">
        <v>10.9</v>
      </c>
      <c r="R20" s="45">
        <v>10.9</v>
      </c>
      <c r="S20" s="45">
        <v>5.5</v>
      </c>
      <c r="T20" s="45">
        <v>5.5</v>
      </c>
      <c r="U20" s="45">
        <v>5.5</v>
      </c>
      <c r="V20" s="45">
        <v>5.5</v>
      </c>
      <c r="W20" s="45">
        <v>5.5</v>
      </c>
      <c r="X20" s="45">
        <v>5.5</v>
      </c>
      <c r="Y20" s="45">
        <v>20</v>
      </c>
      <c r="Z20" s="45">
        <v>30</v>
      </c>
      <c r="AA20" s="45">
        <v>29.6</v>
      </c>
      <c r="AB20" s="45">
        <v>25.6</v>
      </c>
      <c r="AC20" s="45">
        <v>25.6</v>
      </c>
      <c r="AD20" s="45">
        <v>20.7</v>
      </c>
      <c r="AE20" s="45">
        <v>15</v>
      </c>
      <c r="AF20" s="45">
        <v>10.3</v>
      </c>
      <c r="AG20" s="51">
        <v>30</v>
      </c>
      <c r="AH20" s="47">
        <f t="shared" si="2"/>
        <v>30</v>
      </c>
      <c r="AI20" s="48">
        <f t="shared" si="3"/>
        <v>5.5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/>
      <c r="C21" s="45">
        <v>21</v>
      </c>
      <c r="D21" s="45">
        <v>21</v>
      </c>
      <c r="E21" s="45">
        <v>21</v>
      </c>
      <c r="F21" s="45">
        <v>21</v>
      </c>
      <c r="G21" s="45">
        <v>21</v>
      </c>
      <c r="H21" s="45">
        <v>21</v>
      </c>
      <c r="I21" s="45">
        <v>21</v>
      </c>
      <c r="J21" s="45">
        <v>21</v>
      </c>
      <c r="K21" s="45">
        <v>21</v>
      </c>
      <c r="L21" s="45">
        <v>21</v>
      </c>
      <c r="M21" s="45">
        <v>21</v>
      </c>
      <c r="N21" s="45">
        <v>21</v>
      </c>
      <c r="O21" s="45">
        <v>21</v>
      </c>
      <c r="P21" s="45">
        <v>21</v>
      </c>
      <c r="Q21" s="45">
        <v>21</v>
      </c>
      <c r="R21" s="45">
        <v>21</v>
      </c>
      <c r="S21" s="45">
        <v>21</v>
      </c>
      <c r="T21" s="45">
        <v>21</v>
      </c>
      <c r="U21" s="45">
        <v>21</v>
      </c>
      <c r="V21" s="45">
        <v>21</v>
      </c>
      <c r="W21" s="45">
        <v>21</v>
      </c>
      <c r="X21" s="45">
        <v>21</v>
      </c>
      <c r="Y21" s="45">
        <v>21</v>
      </c>
      <c r="Z21" s="45">
        <v>21</v>
      </c>
      <c r="AA21" s="45">
        <v>20.7</v>
      </c>
      <c r="AB21" s="45">
        <v>20.7</v>
      </c>
      <c r="AC21" s="45">
        <v>20.7</v>
      </c>
      <c r="AD21" s="45">
        <v>20.7</v>
      </c>
      <c r="AE21" s="45">
        <v>20.7</v>
      </c>
      <c r="AF21" s="45">
        <v>20.7</v>
      </c>
      <c r="AG21" s="49">
        <v>24.2</v>
      </c>
      <c r="AH21" s="47">
        <f t="shared" si="2"/>
        <v>21</v>
      </c>
      <c r="AI21" s="48">
        <f t="shared" si="3"/>
        <v>20.7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/>
      <c r="C22" s="45">
        <v>20.6</v>
      </c>
      <c r="D22" s="45">
        <v>20.6</v>
      </c>
      <c r="E22" s="45">
        <v>20.6</v>
      </c>
      <c r="F22" s="45">
        <v>20.6</v>
      </c>
      <c r="G22" s="45">
        <v>20.6</v>
      </c>
      <c r="H22" s="45">
        <v>20.6</v>
      </c>
      <c r="I22" s="45">
        <v>20.6</v>
      </c>
      <c r="J22" s="45">
        <v>20.6</v>
      </c>
      <c r="K22" s="45">
        <v>20.6</v>
      </c>
      <c r="L22" s="45">
        <v>20.6</v>
      </c>
      <c r="M22" s="45">
        <v>20.6</v>
      </c>
      <c r="N22" s="45">
        <v>20.6</v>
      </c>
      <c r="O22" s="45">
        <v>20.6</v>
      </c>
      <c r="P22" s="45">
        <v>20.6</v>
      </c>
      <c r="Q22" s="45">
        <v>20.6</v>
      </c>
      <c r="R22" s="45">
        <v>20.6</v>
      </c>
      <c r="S22" s="45">
        <v>20.6</v>
      </c>
      <c r="T22" s="45">
        <v>20.6</v>
      </c>
      <c r="U22" s="45">
        <v>20.6</v>
      </c>
      <c r="V22" s="45">
        <v>20.6</v>
      </c>
      <c r="W22" s="45">
        <v>20.6</v>
      </c>
      <c r="X22" s="45">
        <v>20.6</v>
      </c>
      <c r="Y22" s="45">
        <v>20.6</v>
      </c>
      <c r="Z22" s="45">
        <v>20.6</v>
      </c>
      <c r="AA22" s="45">
        <v>20.5</v>
      </c>
      <c r="AB22" s="45">
        <v>20.5</v>
      </c>
      <c r="AC22" s="45">
        <v>20.5</v>
      </c>
      <c r="AD22" s="45">
        <v>20.5</v>
      </c>
      <c r="AE22" s="45">
        <v>20.5</v>
      </c>
      <c r="AF22" s="45">
        <v>20.5</v>
      </c>
      <c r="AG22" s="49">
        <v>28</v>
      </c>
      <c r="AH22" s="47">
        <f t="shared" si="2"/>
        <v>20.6</v>
      </c>
      <c r="AI22" s="48">
        <f t="shared" si="3"/>
        <v>20.5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/>
      <c r="C23" s="45">
        <v>7</v>
      </c>
      <c r="D23" s="45">
        <v>7</v>
      </c>
      <c r="E23" s="45">
        <v>7</v>
      </c>
      <c r="F23" s="45">
        <v>7</v>
      </c>
      <c r="G23" s="45">
        <v>7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8</v>
      </c>
      <c r="Q23" s="45">
        <v>8</v>
      </c>
      <c r="R23" s="45">
        <v>8</v>
      </c>
      <c r="S23" s="45">
        <v>4</v>
      </c>
      <c r="T23" s="45">
        <v>4</v>
      </c>
      <c r="U23" s="45">
        <v>8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4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/>
      <c r="C24" s="45">
        <v>25.3</v>
      </c>
      <c r="D24" s="45">
        <v>25.3</v>
      </c>
      <c r="E24" s="45">
        <v>25.3</v>
      </c>
      <c r="F24" s="45">
        <v>25.3</v>
      </c>
      <c r="G24" s="45">
        <v>25.3</v>
      </c>
      <c r="H24" s="45">
        <v>25.3</v>
      </c>
      <c r="I24" s="45">
        <v>25.3</v>
      </c>
      <c r="J24" s="45">
        <v>25.3</v>
      </c>
      <c r="K24" s="45">
        <v>25.3</v>
      </c>
      <c r="L24" s="45">
        <v>25.3</v>
      </c>
      <c r="M24" s="45">
        <v>25.3</v>
      </c>
      <c r="N24" s="45">
        <v>25.3</v>
      </c>
      <c r="O24" s="45">
        <v>25.3</v>
      </c>
      <c r="P24" s="45">
        <v>25.3</v>
      </c>
      <c r="Q24" s="45">
        <v>25.3</v>
      </c>
      <c r="R24" s="45">
        <v>25.3</v>
      </c>
      <c r="S24" s="45">
        <v>25.3</v>
      </c>
      <c r="T24" s="45">
        <v>25.3</v>
      </c>
      <c r="U24" s="45">
        <v>25.3</v>
      </c>
      <c r="V24" s="45">
        <v>25.3</v>
      </c>
      <c r="W24" s="45">
        <v>25.3</v>
      </c>
      <c r="X24" s="45">
        <v>25.3</v>
      </c>
      <c r="Y24" s="45">
        <v>25.3</v>
      </c>
      <c r="Z24" s="45">
        <v>24.3</v>
      </c>
      <c r="AA24" s="45">
        <v>25.4</v>
      </c>
      <c r="AB24" s="45">
        <v>25.4</v>
      </c>
      <c r="AC24" s="45">
        <v>25.4</v>
      </c>
      <c r="AD24" s="45">
        <v>25.4</v>
      </c>
      <c r="AE24" s="45">
        <v>25.4</v>
      </c>
      <c r="AF24" s="45">
        <v>26.2</v>
      </c>
      <c r="AG24" s="49">
        <v>25</v>
      </c>
      <c r="AH24" s="47">
        <f t="shared" si="2"/>
        <v>26.2</v>
      </c>
      <c r="AI24" s="48">
        <f t="shared" si="3"/>
        <v>24.3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/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/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/>
      <c r="C27" s="45">
        <v>4</v>
      </c>
      <c r="D27" s="45">
        <v>4</v>
      </c>
      <c r="E27" s="45">
        <v>4</v>
      </c>
      <c r="F27" s="45">
        <v>4</v>
      </c>
      <c r="G27" s="45">
        <v>4</v>
      </c>
      <c r="H27" s="45">
        <v>8.5</v>
      </c>
      <c r="I27" s="45">
        <v>8.5</v>
      </c>
      <c r="J27" s="45">
        <v>8.5</v>
      </c>
      <c r="K27" s="45">
        <v>12.5</v>
      </c>
      <c r="L27" s="45">
        <v>17</v>
      </c>
      <c r="M27" s="45">
        <v>17</v>
      </c>
      <c r="N27" s="45">
        <v>17</v>
      </c>
      <c r="O27" s="45">
        <v>17</v>
      </c>
      <c r="P27" s="45">
        <v>6</v>
      </c>
      <c r="Q27" s="45">
        <v>6</v>
      </c>
      <c r="R27" s="45">
        <v>6</v>
      </c>
      <c r="S27" s="45">
        <v>6</v>
      </c>
      <c r="T27" s="45">
        <v>6</v>
      </c>
      <c r="U27" s="45">
        <v>10</v>
      </c>
      <c r="V27" s="45">
        <v>10</v>
      </c>
      <c r="W27" s="45">
        <v>10</v>
      </c>
      <c r="X27" s="45">
        <v>10</v>
      </c>
      <c r="Y27" s="45">
        <v>20</v>
      </c>
      <c r="Z27" s="45">
        <v>25</v>
      </c>
      <c r="AA27" s="45">
        <v>25</v>
      </c>
      <c r="AB27" s="45">
        <v>25</v>
      </c>
      <c r="AC27" s="45">
        <v>25</v>
      </c>
      <c r="AD27" s="45">
        <v>25</v>
      </c>
      <c r="AE27" s="45">
        <v>12</v>
      </c>
      <c r="AF27" s="45">
        <v>8</v>
      </c>
      <c r="AG27" s="49">
        <v>25</v>
      </c>
      <c r="AH27" s="47">
        <f t="shared" si="2"/>
        <v>25</v>
      </c>
      <c r="AI27" s="48">
        <f t="shared" si="3"/>
        <v>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/>
      <c r="C28" s="45">
        <v>24.7</v>
      </c>
      <c r="D28" s="45">
        <v>24.7</v>
      </c>
      <c r="E28" s="45">
        <v>24.7</v>
      </c>
      <c r="F28" s="45">
        <v>24.7</v>
      </c>
      <c r="G28" s="45">
        <v>24.7</v>
      </c>
      <c r="H28" s="45">
        <v>24.7</v>
      </c>
      <c r="I28" s="45">
        <v>24.7</v>
      </c>
      <c r="J28" s="45">
        <v>24.7</v>
      </c>
      <c r="K28" s="45">
        <v>24.7</v>
      </c>
      <c r="L28" s="45">
        <v>24.7</v>
      </c>
      <c r="M28" s="45">
        <v>24.7</v>
      </c>
      <c r="N28" s="45">
        <v>24.7</v>
      </c>
      <c r="O28" s="45">
        <v>24.7</v>
      </c>
      <c r="P28" s="45">
        <v>24.7</v>
      </c>
      <c r="Q28" s="45">
        <v>24.7</v>
      </c>
      <c r="R28" s="45">
        <v>24.7</v>
      </c>
      <c r="S28" s="45">
        <v>24.7</v>
      </c>
      <c r="T28" s="45">
        <v>24.7</v>
      </c>
      <c r="U28" s="45">
        <v>24.7</v>
      </c>
      <c r="V28" s="45">
        <v>24.7</v>
      </c>
      <c r="W28" s="45">
        <v>24.7</v>
      </c>
      <c r="X28" s="45">
        <v>24.7</v>
      </c>
      <c r="Y28" s="45">
        <v>24.7</v>
      </c>
      <c r="Z28" s="45">
        <v>24.7</v>
      </c>
      <c r="AA28" s="45">
        <v>25.3</v>
      </c>
      <c r="AB28" s="45">
        <v>25.3</v>
      </c>
      <c r="AC28" s="45">
        <v>25.3</v>
      </c>
      <c r="AD28" s="45">
        <v>25.3</v>
      </c>
      <c r="AE28" s="45">
        <v>25.3</v>
      </c>
      <c r="AF28" s="45">
        <v>24.8</v>
      </c>
      <c r="AG28" s="49">
        <v>23.5</v>
      </c>
      <c r="AH28" s="47">
        <f t="shared" si="2"/>
        <v>25.3</v>
      </c>
      <c r="AI28" s="48">
        <f t="shared" si="3"/>
        <v>24.7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/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/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/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/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/>
      <c r="C33" s="45">
        <v>20</v>
      </c>
      <c r="D33" s="45">
        <v>20</v>
      </c>
      <c r="E33" s="45">
        <v>12</v>
      </c>
      <c r="F33" s="45">
        <v>12</v>
      </c>
      <c r="G33" s="45">
        <v>12</v>
      </c>
      <c r="H33" s="45">
        <v>10</v>
      </c>
      <c r="I33" s="45">
        <v>10</v>
      </c>
      <c r="J33" s="45">
        <v>10</v>
      </c>
      <c r="K33" s="45">
        <v>10</v>
      </c>
      <c r="L33" s="45">
        <v>10</v>
      </c>
      <c r="M33" s="45">
        <v>10</v>
      </c>
      <c r="N33" s="45">
        <v>10</v>
      </c>
      <c r="O33" s="45">
        <v>15</v>
      </c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10</v>
      </c>
      <c r="AF33" s="45">
        <v>10</v>
      </c>
      <c r="AG33" s="49">
        <v>20</v>
      </c>
      <c r="AH33" s="47">
        <f t="shared" si="2"/>
        <v>20</v>
      </c>
      <c r="AI33" s="48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/>
      <c r="C34" s="45">
        <v>12</v>
      </c>
      <c r="D34" s="45">
        <v>12</v>
      </c>
      <c r="E34" s="45">
        <v>5</v>
      </c>
      <c r="F34" s="45">
        <v>5</v>
      </c>
      <c r="G34" s="45">
        <v>5</v>
      </c>
      <c r="H34" s="45">
        <v>5</v>
      </c>
      <c r="I34" s="45">
        <v>5</v>
      </c>
      <c r="J34" s="45">
        <v>5</v>
      </c>
      <c r="K34" s="45">
        <v>5</v>
      </c>
      <c r="L34" s="45">
        <v>5</v>
      </c>
      <c r="M34" s="45">
        <v>5</v>
      </c>
      <c r="N34" s="45">
        <v>5</v>
      </c>
      <c r="O34" s="45">
        <v>10</v>
      </c>
      <c r="P34" s="45">
        <v>5</v>
      </c>
      <c r="Q34" s="45">
        <v>5</v>
      </c>
      <c r="R34" s="45">
        <v>5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5</v>
      </c>
      <c r="Y34" s="45">
        <v>5</v>
      </c>
      <c r="Z34" s="45">
        <v>5</v>
      </c>
      <c r="AA34" s="45">
        <v>10</v>
      </c>
      <c r="AB34" s="45">
        <v>10</v>
      </c>
      <c r="AC34" s="45">
        <v>10</v>
      </c>
      <c r="AD34" s="45">
        <v>10</v>
      </c>
      <c r="AE34" s="45">
        <v>5</v>
      </c>
      <c r="AF34" s="45">
        <v>5</v>
      </c>
      <c r="AG34" s="49">
        <v>18</v>
      </c>
      <c r="AH34" s="47">
        <f t="shared" si="2"/>
        <v>12</v>
      </c>
      <c r="AI34" s="48">
        <f t="shared" si="3"/>
        <v>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/>
      <c r="C35" s="45">
        <v>14</v>
      </c>
      <c r="D35" s="45">
        <v>14</v>
      </c>
      <c r="E35" s="45">
        <v>14</v>
      </c>
      <c r="F35" s="45">
        <v>14</v>
      </c>
      <c r="G35" s="45">
        <v>14</v>
      </c>
      <c r="H35" s="45">
        <v>14</v>
      </c>
      <c r="I35" s="45">
        <v>14</v>
      </c>
      <c r="J35" s="45">
        <v>14</v>
      </c>
      <c r="K35" s="45">
        <v>14</v>
      </c>
      <c r="L35" s="45">
        <v>14</v>
      </c>
      <c r="M35" s="45">
        <v>14</v>
      </c>
      <c r="N35" s="45">
        <v>14</v>
      </c>
      <c r="O35" s="45">
        <v>14</v>
      </c>
      <c r="P35" s="45">
        <v>14</v>
      </c>
      <c r="Q35" s="45">
        <v>14</v>
      </c>
      <c r="R35" s="45">
        <v>14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>
        <v>14</v>
      </c>
      <c r="Z35" s="45">
        <v>14</v>
      </c>
      <c r="AA35" s="45">
        <v>14</v>
      </c>
      <c r="AB35" s="45">
        <v>14</v>
      </c>
      <c r="AC35" s="45">
        <v>14</v>
      </c>
      <c r="AD35" s="45">
        <v>14</v>
      </c>
      <c r="AE35" s="45">
        <v>14</v>
      </c>
      <c r="AF35" s="45">
        <v>14</v>
      </c>
      <c r="AG35" s="49">
        <v>14.9</v>
      </c>
      <c r="AH35" s="47">
        <f t="shared" si="2"/>
        <v>14</v>
      </c>
      <c r="AI35" s="48">
        <f t="shared" si="3"/>
        <v>14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/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/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9">
        <v>13.6</v>
      </c>
      <c r="AH37" s="47">
        <f t="shared" si="2"/>
        <v>0</v>
      </c>
      <c r="AI37" s="48">
        <f t="shared" si="3"/>
        <v>0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/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/>
      <c r="C39" s="45">
        <v>4</v>
      </c>
      <c r="D39" s="45">
        <v>4</v>
      </c>
      <c r="E39" s="45">
        <v>4</v>
      </c>
      <c r="F39" s="45">
        <v>2</v>
      </c>
      <c r="G39" s="45">
        <v>2</v>
      </c>
      <c r="H39" s="45">
        <v>4</v>
      </c>
      <c r="I39" s="45">
        <v>4</v>
      </c>
      <c r="J39" s="45">
        <v>4</v>
      </c>
      <c r="K39" s="45">
        <v>6</v>
      </c>
      <c r="L39" s="45">
        <v>8</v>
      </c>
      <c r="M39" s="45">
        <v>8</v>
      </c>
      <c r="N39" s="45">
        <v>8</v>
      </c>
      <c r="O39" s="45">
        <v>8</v>
      </c>
      <c r="P39" s="45">
        <v>3</v>
      </c>
      <c r="Q39" s="45">
        <v>3</v>
      </c>
      <c r="R39" s="45">
        <v>3</v>
      </c>
      <c r="S39" s="45">
        <v>3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6</v>
      </c>
      <c r="AF39" s="45">
        <v>4</v>
      </c>
      <c r="AG39" s="49">
        <v>12</v>
      </c>
      <c r="AH39" s="47">
        <f t="shared" si="2"/>
        <v>12</v>
      </c>
      <c r="AI39" s="48">
        <f t="shared" si="3"/>
        <v>2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/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9">
        <v>12</v>
      </c>
      <c r="AH40" s="47">
        <f t="shared" si="2"/>
        <v>12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/>
      <c r="C41" s="45">
        <v>10</v>
      </c>
      <c r="D41" s="45">
        <v>10</v>
      </c>
      <c r="E41" s="45">
        <v>10</v>
      </c>
      <c r="F41" s="45">
        <v>0</v>
      </c>
      <c r="G41" s="45">
        <v>6</v>
      </c>
      <c r="H41" s="45">
        <v>6</v>
      </c>
      <c r="I41" s="45">
        <v>6</v>
      </c>
      <c r="J41" s="45">
        <v>6</v>
      </c>
      <c r="K41" s="45">
        <v>12</v>
      </c>
      <c r="L41" s="45">
        <v>12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10</v>
      </c>
      <c r="AB41" s="45">
        <v>10</v>
      </c>
      <c r="AC41" s="45">
        <v>10</v>
      </c>
      <c r="AD41" s="45">
        <v>10</v>
      </c>
      <c r="AE41" s="45">
        <v>6</v>
      </c>
      <c r="AF41" s="45">
        <v>6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/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/>
      <c r="C43" s="45">
        <v>11.8</v>
      </c>
      <c r="D43" s="45">
        <v>11.8</v>
      </c>
      <c r="E43" s="45">
        <v>11.8</v>
      </c>
      <c r="F43" s="45">
        <v>11.8</v>
      </c>
      <c r="G43" s="45">
        <v>11.8</v>
      </c>
      <c r="H43" s="45">
        <v>11.8</v>
      </c>
      <c r="I43" s="45">
        <v>11.8</v>
      </c>
      <c r="J43" s="45">
        <v>11.8</v>
      </c>
      <c r="K43" s="45">
        <v>11.8</v>
      </c>
      <c r="L43" s="45">
        <v>11.8</v>
      </c>
      <c r="M43" s="45">
        <v>11.8</v>
      </c>
      <c r="N43" s="45">
        <v>11.8</v>
      </c>
      <c r="O43" s="45">
        <v>11.8</v>
      </c>
      <c r="P43" s="45">
        <v>11.8</v>
      </c>
      <c r="Q43" s="45">
        <v>11.8</v>
      </c>
      <c r="R43" s="45">
        <v>11.8</v>
      </c>
      <c r="S43" s="45">
        <v>11.8</v>
      </c>
      <c r="T43" s="45">
        <v>11.8</v>
      </c>
      <c r="U43" s="45">
        <v>11.8</v>
      </c>
      <c r="V43" s="45">
        <v>11.8</v>
      </c>
      <c r="W43" s="45">
        <v>11.8</v>
      </c>
      <c r="X43" s="45">
        <v>11.8</v>
      </c>
      <c r="Y43" s="45">
        <v>11.8</v>
      </c>
      <c r="Z43" s="45">
        <v>11.8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51">
        <v>11.88</v>
      </c>
      <c r="AH43" s="47">
        <f t="shared" si="2"/>
        <v>11.8</v>
      </c>
      <c r="AI43" s="48">
        <f t="shared" si="3"/>
        <v>0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/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/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5</v>
      </c>
      <c r="W45" s="45">
        <v>5</v>
      </c>
      <c r="X45" s="45">
        <v>5</v>
      </c>
      <c r="Y45" s="45">
        <v>5</v>
      </c>
      <c r="Z45" s="45">
        <v>5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10</v>
      </c>
      <c r="AI45" s="48">
        <f t="shared" si="3"/>
        <v>5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/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/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/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/>
      <c r="C49" s="56"/>
      <c r="D49" s="56">
        <f>84+25</f>
        <v>109</v>
      </c>
      <c r="E49" s="56">
        <f>84+25</f>
        <v>109</v>
      </c>
      <c r="F49" s="56">
        <f>84+25</f>
        <v>109</v>
      </c>
      <c r="G49" s="56">
        <f>82.8+24.6</f>
        <v>107.4</v>
      </c>
      <c r="H49" s="56">
        <f>82.8+24.6</f>
        <v>107.4</v>
      </c>
      <c r="I49" s="56">
        <f>82.8+24.6</f>
        <v>107.4</v>
      </c>
      <c r="J49" s="56">
        <f>82.8+24.6</f>
        <v>107.4</v>
      </c>
      <c r="K49" s="58">
        <f>81.6+24.1</f>
        <v>105.69999999999999</v>
      </c>
      <c r="L49" s="58">
        <f>23.9+81.4</f>
        <v>105.30000000000001</v>
      </c>
      <c r="M49" s="58">
        <f t="shared" ref="M49:O49" si="4">23.9+81.4</f>
        <v>105.30000000000001</v>
      </c>
      <c r="N49" s="58">
        <f t="shared" si="4"/>
        <v>105.30000000000001</v>
      </c>
      <c r="O49" s="58">
        <f t="shared" si="4"/>
        <v>105.30000000000001</v>
      </c>
      <c r="P49" s="58">
        <f>24.4+83.2</f>
        <v>107.6</v>
      </c>
      <c r="Q49" s="58">
        <f>24.4+83.2</f>
        <v>107.6</v>
      </c>
      <c r="R49" s="58">
        <f>24.4+83.2</f>
        <v>107.6</v>
      </c>
      <c r="S49" s="58">
        <f>24.4+83.2</f>
        <v>107.6</v>
      </c>
      <c r="T49" s="58">
        <f>24.4+83.2</f>
        <v>107.6</v>
      </c>
      <c r="U49" s="58">
        <f t="shared" ref="U49:Z49" si="5">24.4+83.2</f>
        <v>107.6</v>
      </c>
      <c r="V49" s="58">
        <f t="shared" si="5"/>
        <v>107.6</v>
      </c>
      <c r="W49" s="58">
        <f t="shared" si="5"/>
        <v>107.6</v>
      </c>
      <c r="X49" s="58">
        <f t="shared" si="5"/>
        <v>107.6</v>
      </c>
      <c r="Y49" s="58">
        <f t="shared" si="5"/>
        <v>107.6</v>
      </c>
      <c r="Z49" s="58">
        <f t="shared" si="5"/>
        <v>107.6</v>
      </c>
      <c r="AA49" s="56">
        <v>104.6</v>
      </c>
      <c r="AB49" s="56">
        <v>104.6</v>
      </c>
      <c r="AC49" s="56">
        <f>23.1+81.3</f>
        <v>104.4</v>
      </c>
      <c r="AD49" s="56">
        <f>23.1+81.3</f>
        <v>104.4</v>
      </c>
      <c r="AE49" s="56">
        <f>23.1+81.3</f>
        <v>104.4</v>
      </c>
      <c r="AF49" s="56">
        <f>23.1+81.3</f>
        <v>104.4</v>
      </c>
      <c r="AG49" s="54">
        <v>240</v>
      </c>
      <c r="AH49" s="47">
        <f t="shared" si="2"/>
        <v>109</v>
      </c>
      <c r="AI49" s="48">
        <f t="shared" si="3"/>
        <v>104.4</v>
      </c>
      <c r="AK49" s="50"/>
    </row>
    <row r="50" spans="1:41" ht="15.75" thickBot="1" x14ac:dyDescent="0.3">
      <c r="A50" s="59" t="s">
        <v>58</v>
      </c>
      <c r="B50" s="60">
        <f t="shared" ref="B50:AF50" si="6">SUM(B11:B48)</f>
        <v>0</v>
      </c>
      <c r="C50" s="60">
        <f t="shared" si="6"/>
        <v>987.5</v>
      </c>
      <c r="D50" s="60">
        <f t="shared" si="6"/>
        <v>987.5</v>
      </c>
      <c r="E50" s="60">
        <f t="shared" si="6"/>
        <v>972.5</v>
      </c>
      <c r="F50" s="60">
        <f t="shared" si="6"/>
        <v>960.5</v>
      </c>
      <c r="G50" s="60">
        <f t="shared" si="6"/>
        <v>966.5</v>
      </c>
      <c r="H50" s="60">
        <f t="shared" si="6"/>
        <v>982.30000000000007</v>
      </c>
      <c r="I50" s="60">
        <f t="shared" si="6"/>
        <v>982.30000000000007</v>
      </c>
      <c r="J50" s="60">
        <f t="shared" si="6"/>
        <v>1011.3000000000002</v>
      </c>
      <c r="K50" s="60">
        <f t="shared" si="6"/>
        <v>1037.6000000000001</v>
      </c>
      <c r="L50" s="60">
        <f t="shared" si="6"/>
        <v>1058.4000000000001</v>
      </c>
      <c r="M50" s="60">
        <f t="shared" si="6"/>
        <v>1058.4000000000001</v>
      </c>
      <c r="N50" s="60">
        <f t="shared" si="6"/>
        <v>1058.4000000000001</v>
      </c>
      <c r="O50" s="60">
        <f t="shared" si="6"/>
        <v>1068.4000000000001</v>
      </c>
      <c r="P50" s="60">
        <f t="shared" si="6"/>
        <v>1008.4000000000001</v>
      </c>
      <c r="Q50" s="60">
        <f t="shared" si="6"/>
        <v>1008.4000000000001</v>
      </c>
      <c r="R50" s="60">
        <f t="shared" si="6"/>
        <v>1008.4000000000001</v>
      </c>
      <c r="S50" s="60">
        <f t="shared" si="6"/>
        <v>999.00000000000011</v>
      </c>
      <c r="T50" s="60">
        <f t="shared" si="6"/>
        <v>999.00000000000011</v>
      </c>
      <c r="U50" s="60">
        <f t="shared" ref="U50:V50" si="7">SUM(U11:U48)</f>
        <v>1007.0000000000001</v>
      </c>
      <c r="V50" s="60">
        <f t="shared" si="7"/>
        <v>1005.0000000000001</v>
      </c>
      <c r="W50" s="60">
        <f t="shared" si="6"/>
        <v>1011.4000000000001</v>
      </c>
      <c r="X50" s="60">
        <f t="shared" ref="X50" si="8">SUM(X11:X48)</f>
        <v>1011.6000000000001</v>
      </c>
      <c r="Y50" s="60">
        <f t="shared" si="6"/>
        <v>1045.1000000000001</v>
      </c>
      <c r="Z50" s="60">
        <f t="shared" si="6"/>
        <v>1065.0999999999999</v>
      </c>
      <c r="AA50" s="60">
        <v>1035.5</v>
      </c>
      <c r="AB50" s="60">
        <f t="shared" si="6"/>
        <v>1051.4000000000001</v>
      </c>
      <c r="AC50" s="60">
        <f t="shared" si="6"/>
        <v>1051.4000000000001</v>
      </c>
      <c r="AD50" s="60">
        <f t="shared" si="6"/>
        <v>1046.5</v>
      </c>
      <c r="AE50" s="60">
        <f t="shared" si="6"/>
        <v>1007.8</v>
      </c>
      <c r="AF50" s="60">
        <f t="shared" si="6"/>
        <v>991.40000000000009</v>
      </c>
      <c r="AG50" s="61">
        <f>SUM(AG13:AG48)</f>
        <v>922.14</v>
      </c>
      <c r="AH50" s="47">
        <f t="shared" si="2"/>
        <v>1068.4000000000001</v>
      </c>
      <c r="AI50" s="48">
        <f t="shared" si="3"/>
        <v>0</v>
      </c>
      <c r="AK50" s="50"/>
    </row>
    <row r="51" spans="1:41" x14ac:dyDescent="0.25">
      <c r="A51" s="62" t="s">
        <v>59</v>
      </c>
      <c r="B51" s="45"/>
      <c r="C51" s="45">
        <v>456</v>
      </c>
      <c r="D51" s="45">
        <v>456</v>
      </c>
      <c r="E51" s="45">
        <v>456</v>
      </c>
      <c r="F51" s="45">
        <v>456</v>
      </c>
      <c r="G51" s="45">
        <v>304</v>
      </c>
      <c r="H51" s="45">
        <v>380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456.5</v>
      </c>
      <c r="Y51" s="45">
        <v>456.5</v>
      </c>
      <c r="Z51" s="45">
        <v>456.5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456.5</v>
      </c>
      <c r="AI51" s="48">
        <f t="shared" si="3"/>
        <v>304</v>
      </c>
      <c r="AK51" s="50"/>
    </row>
    <row r="52" spans="1:41" x14ac:dyDescent="0.25">
      <c r="A52" s="63" t="s">
        <v>60</v>
      </c>
      <c r="B52" s="64"/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/>
      <c r="C53" s="66">
        <v>22.5</v>
      </c>
      <c r="D53" s="66">
        <v>22.5</v>
      </c>
      <c r="E53" s="66">
        <v>22.5</v>
      </c>
      <c r="F53" s="66">
        <v>22.5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22.4</v>
      </c>
      <c r="Y53" s="66">
        <v>22.4</v>
      </c>
      <c r="Z53" s="66">
        <v>22.4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22.4</v>
      </c>
      <c r="AK53" s="50"/>
    </row>
    <row r="54" spans="1:41" ht="15.75" thickBot="1" x14ac:dyDescent="0.3">
      <c r="A54" s="68" t="s">
        <v>62</v>
      </c>
      <c r="B54" s="60">
        <f t="shared" ref="B54:AG54" si="9">SUM(B51:B53)</f>
        <v>0</v>
      </c>
      <c r="C54" s="60">
        <f t="shared" si="9"/>
        <v>533.5</v>
      </c>
      <c r="D54" s="60">
        <f t="shared" si="9"/>
        <v>533.5</v>
      </c>
      <c r="E54" s="60">
        <f t="shared" si="9"/>
        <v>533.5</v>
      </c>
      <c r="F54" s="60">
        <f t="shared" si="9"/>
        <v>533.5</v>
      </c>
      <c r="G54" s="60">
        <f t="shared" si="9"/>
        <v>381.4</v>
      </c>
      <c r="H54" s="60">
        <f t="shared" si="9"/>
        <v>457.4</v>
      </c>
      <c r="I54" s="60">
        <f t="shared" si="9"/>
        <v>533.4</v>
      </c>
      <c r="J54" s="60">
        <f t="shared" si="9"/>
        <v>533.4</v>
      </c>
      <c r="K54" s="60">
        <f t="shared" si="9"/>
        <v>533.4</v>
      </c>
      <c r="L54" s="60">
        <f t="shared" si="9"/>
        <v>533.5</v>
      </c>
      <c r="M54" s="60">
        <f t="shared" si="9"/>
        <v>533.5</v>
      </c>
      <c r="N54" s="60">
        <f t="shared" si="9"/>
        <v>533.5</v>
      </c>
      <c r="O54" s="60">
        <f t="shared" si="9"/>
        <v>533.5</v>
      </c>
      <c r="P54" s="60">
        <f t="shared" si="9"/>
        <v>533.5</v>
      </c>
      <c r="Q54" s="60">
        <f t="shared" si="9"/>
        <v>533.5</v>
      </c>
      <c r="R54" s="60">
        <f t="shared" si="9"/>
        <v>533.5</v>
      </c>
      <c r="S54" s="60">
        <f t="shared" si="9"/>
        <v>533.5</v>
      </c>
      <c r="T54" s="60">
        <f t="shared" si="9"/>
        <v>533.5</v>
      </c>
      <c r="U54" s="60">
        <f t="shared" ref="U54:V54" si="10">SUM(U51:U53)</f>
        <v>533.5</v>
      </c>
      <c r="V54" s="60">
        <f t="shared" si="10"/>
        <v>533.5</v>
      </c>
      <c r="W54" s="60">
        <f t="shared" si="9"/>
        <v>533.5</v>
      </c>
      <c r="X54" s="60">
        <f t="shared" si="9"/>
        <v>533.9</v>
      </c>
      <c r="Y54" s="60">
        <f t="shared" si="9"/>
        <v>533.9</v>
      </c>
      <c r="Z54" s="60">
        <f t="shared" si="9"/>
        <v>533.9</v>
      </c>
      <c r="AA54" s="60">
        <v>533.5</v>
      </c>
      <c r="AB54" s="60">
        <f t="shared" si="9"/>
        <v>533.5</v>
      </c>
      <c r="AC54" s="60">
        <f t="shared" si="9"/>
        <v>533.5</v>
      </c>
      <c r="AD54" s="60">
        <f t="shared" si="9"/>
        <v>533.5</v>
      </c>
      <c r="AE54" s="60">
        <f t="shared" si="9"/>
        <v>533.5</v>
      </c>
      <c r="AF54" s="60">
        <f t="shared" si="9"/>
        <v>533.5</v>
      </c>
      <c r="AG54" s="61">
        <f t="shared" si="9"/>
        <v>538.1</v>
      </c>
      <c r="AH54" s="47">
        <f t="shared" si="2"/>
        <v>533.9</v>
      </c>
      <c r="AI54" s="48">
        <f t="shared" si="3"/>
        <v>0</v>
      </c>
      <c r="AK54" s="50"/>
    </row>
    <row r="55" spans="1:41" x14ac:dyDescent="0.25">
      <c r="A55" s="44" t="s">
        <v>63</v>
      </c>
      <c r="B55" s="45"/>
      <c r="C55" s="45">
        <v>139.19999999999999</v>
      </c>
      <c r="D55" s="45">
        <v>139.19999999999999</v>
      </c>
      <c r="E55" s="45">
        <v>139.19999999999999</v>
      </c>
      <c r="F55" s="45">
        <v>138.1</v>
      </c>
      <c r="G55" s="45">
        <v>138.1</v>
      </c>
      <c r="H55" s="45">
        <v>138.1</v>
      </c>
      <c r="I55" s="45">
        <v>138.5</v>
      </c>
      <c r="J55" s="45">
        <v>139.19999999999999</v>
      </c>
      <c r="K55" s="45">
        <v>139</v>
      </c>
      <c r="L55" s="45">
        <v>138.9</v>
      </c>
      <c r="M55" s="45">
        <v>137.80000000000001</v>
      </c>
      <c r="N55" s="45">
        <v>136.1</v>
      </c>
      <c r="O55" s="45">
        <v>136.1</v>
      </c>
      <c r="P55" s="45">
        <v>136.1</v>
      </c>
      <c r="Q55" s="45">
        <v>136.1</v>
      </c>
      <c r="R55" s="45">
        <v>136.1</v>
      </c>
      <c r="S55" s="45">
        <v>137.19999999999999</v>
      </c>
      <c r="T55" s="45">
        <v>137.19999999999999</v>
      </c>
      <c r="U55" s="45">
        <v>137.19999999999999</v>
      </c>
      <c r="V55" s="45">
        <v>137.19999999999999</v>
      </c>
      <c r="W55" s="45">
        <v>137.9</v>
      </c>
      <c r="X55" s="45">
        <v>138.6</v>
      </c>
      <c r="Y55" s="45">
        <v>138.6</v>
      </c>
      <c r="Z55" s="45">
        <v>138.6</v>
      </c>
      <c r="AA55" s="45">
        <v>139.5</v>
      </c>
      <c r="AB55" s="45">
        <v>139.9</v>
      </c>
      <c r="AC55" s="45">
        <v>140</v>
      </c>
      <c r="AD55" s="45">
        <v>140</v>
      </c>
      <c r="AE55" s="45">
        <v>140</v>
      </c>
      <c r="AF55" s="45">
        <v>139.6</v>
      </c>
      <c r="AG55" s="51">
        <v>144</v>
      </c>
      <c r="AH55" s="47">
        <f t="shared" si="2"/>
        <v>140</v>
      </c>
      <c r="AI55" s="48">
        <f t="shared" si="3"/>
        <v>136.1</v>
      </c>
      <c r="AK55" s="50"/>
    </row>
    <row r="56" spans="1:41" x14ac:dyDescent="0.25">
      <c r="A56" s="53" t="s">
        <v>64</v>
      </c>
      <c r="B56" s="64"/>
      <c r="C56" s="64">
        <v>69.8</v>
      </c>
      <c r="D56" s="64">
        <v>69.8</v>
      </c>
      <c r="E56" s="64">
        <v>69.8</v>
      </c>
      <c r="F56" s="64">
        <v>69.8</v>
      </c>
      <c r="G56" s="64">
        <v>69.8</v>
      </c>
      <c r="H56" s="64">
        <v>69.8</v>
      </c>
      <c r="I56" s="64">
        <v>71.099999999999994</v>
      </c>
      <c r="J56" s="64">
        <v>70.599999999999994</v>
      </c>
      <c r="K56" s="64">
        <v>70.7</v>
      </c>
      <c r="L56" s="64">
        <v>71.5</v>
      </c>
      <c r="M56" s="64">
        <v>70.900000000000006</v>
      </c>
      <c r="N56" s="64">
        <v>70.900000000000006</v>
      </c>
      <c r="O56" s="64">
        <v>70.900000000000006</v>
      </c>
      <c r="P56" s="64">
        <v>70.900000000000006</v>
      </c>
      <c r="Q56" s="64">
        <v>70.900000000000006</v>
      </c>
      <c r="R56" s="64">
        <v>70.900000000000006</v>
      </c>
      <c r="S56" s="45">
        <v>69.900000000000006</v>
      </c>
      <c r="T56" s="45">
        <v>69.900000000000006</v>
      </c>
      <c r="U56" s="45">
        <v>69.900000000000006</v>
      </c>
      <c r="V56" s="45">
        <v>69.900000000000006</v>
      </c>
      <c r="W56" s="45">
        <v>59.2</v>
      </c>
      <c r="X56" s="45">
        <v>60.5</v>
      </c>
      <c r="Y56" s="45">
        <v>60.5</v>
      </c>
      <c r="Z56" s="45">
        <v>60.5</v>
      </c>
      <c r="AA56" s="45">
        <v>70.5</v>
      </c>
      <c r="AB56" s="45">
        <v>69</v>
      </c>
      <c r="AC56" s="45">
        <v>69.5</v>
      </c>
      <c r="AD56" s="45">
        <v>69.5</v>
      </c>
      <c r="AE56" s="45">
        <v>69.5</v>
      </c>
      <c r="AF56" s="45">
        <v>69.2</v>
      </c>
      <c r="AG56" s="54">
        <v>70</v>
      </c>
      <c r="AH56" s="47">
        <f t="shared" si="2"/>
        <v>71.5</v>
      </c>
      <c r="AI56" s="48">
        <f t="shared" si="3"/>
        <v>59.2</v>
      </c>
      <c r="AK56" s="50"/>
    </row>
    <row r="57" spans="1:41" x14ac:dyDescent="0.25">
      <c r="A57" s="53" t="s">
        <v>65</v>
      </c>
      <c r="B57" s="64"/>
      <c r="C57" s="64">
        <v>64</v>
      </c>
      <c r="D57" s="64">
        <v>64</v>
      </c>
      <c r="E57" s="64">
        <v>64</v>
      </c>
      <c r="F57" s="64">
        <v>64</v>
      </c>
      <c r="G57" s="64">
        <v>64</v>
      </c>
      <c r="H57" s="64">
        <v>64</v>
      </c>
      <c r="I57" s="64">
        <v>64.8</v>
      </c>
      <c r="J57" s="64">
        <v>65</v>
      </c>
      <c r="K57" s="64">
        <v>65</v>
      </c>
      <c r="L57" s="64">
        <v>65</v>
      </c>
      <c r="M57" s="64">
        <v>65.099999999999994</v>
      </c>
      <c r="N57" s="64">
        <v>65.099999999999994</v>
      </c>
      <c r="O57" s="64">
        <v>65.099999999999994</v>
      </c>
      <c r="P57" s="64">
        <v>65.099999999999994</v>
      </c>
      <c r="Q57" s="64">
        <v>65.099999999999994</v>
      </c>
      <c r="R57" s="64">
        <v>65.099999999999994</v>
      </c>
      <c r="S57" s="45">
        <v>62</v>
      </c>
      <c r="T57" s="45">
        <v>62</v>
      </c>
      <c r="U57" s="45">
        <v>62</v>
      </c>
      <c r="V57" s="45">
        <v>62</v>
      </c>
      <c r="W57" s="45">
        <v>52</v>
      </c>
      <c r="X57" s="45">
        <v>51.9</v>
      </c>
      <c r="Y57" s="45">
        <v>65</v>
      </c>
      <c r="Z57" s="45">
        <v>65</v>
      </c>
      <c r="AA57" s="45">
        <v>64.900000000000006</v>
      </c>
      <c r="AB57" s="45">
        <v>64.8</v>
      </c>
      <c r="AC57" s="45">
        <v>64.7</v>
      </c>
      <c r="AD57" s="45">
        <v>64.7</v>
      </c>
      <c r="AE57" s="45">
        <v>64.7</v>
      </c>
      <c r="AF57" s="45">
        <v>52.3</v>
      </c>
      <c r="AG57" s="54">
        <v>69</v>
      </c>
      <c r="AH57" s="47">
        <f t="shared" si="2"/>
        <v>65.099999999999994</v>
      </c>
      <c r="AI57" s="48">
        <f t="shared" si="3"/>
        <v>51.9</v>
      </c>
      <c r="AK57" s="50"/>
    </row>
    <row r="58" spans="1:41" x14ac:dyDescent="0.25">
      <c r="A58" s="53" t="s">
        <v>66</v>
      </c>
      <c r="B58" s="64"/>
      <c r="C58" s="64">
        <v>60.9</v>
      </c>
      <c r="D58" s="64">
        <v>60.9</v>
      </c>
      <c r="E58" s="64">
        <v>60.9</v>
      </c>
      <c r="F58" s="64">
        <v>60.9</v>
      </c>
      <c r="G58" s="64">
        <v>60.9</v>
      </c>
      <c r="H58" s="64">
        <v>60.9</v>
      </c>
      <c r="I58" s="56">
        <v>62.5</v>
      </c>
      <c r="J58" s="56">
        <v>60.2</v>
      </c>
      <c r="K58" s="56">
        <v>60</v>
      </c>
      <c r="L58" s="56">
        <v>0</v>
      </c>
      <c r="M58" s="56">
        <v>0</v>
      </c>
      <c r="N58" s="56">
        <v>0</v>
      </c>
      <c r="O58" s="56">
        <v>50</v>
      </c>
      <c r="P58" s="56">
        <v>58</v>
      </c>
      <c r="Q58" s="56">
        <v>60</v>
      </c>
      <c r="R58" s="56">
        <v>60</v>
      </c>
      <c r="S58" s="45">
        <v>51.1</v>
      </c>
      <c r="T58" s="45">
        <v>51.1</v>
      </c>
      <c r="U58" s="45">
        <v>51.1</v>
      </c>
      <c r="V58" s="45">
        <v>50</v>
      </c>
      <c r="W58" s="45">
        <v>32.799999999999997</v>
      </c>
      <c r="X58" s="45">
        <v>50.6</v>
      </c>
      <c r="Y58" s="45">
        <v>61</v>
      </c>
      <c r="Z58" s="45">
        <v>61</v>
      </c>
      <c r="AA58" s="45">
        <v>63</v>
      </c>
      <c r="AB58" s="45">
        <v>60</v>
      </c>
      <c r="AC58" s="45">
        <v>60</v>
      </c>
      <c r="AD58" s="45">
        <v>60</v>
      </c>
      <c r="AE58" s="45">
        <v>60</v>
      </c>
      <c r="AF58" s="45">
        <v>41.3</v>
      </c>
      <c r="AG58" s="54">
        <v>60</v>
      </c>
      <c r="AH58" s="47">
        <f t="shared" si="2"/>
        <v>63</v>
      </c>
      <c r="AI58" s="48">
        <f t="shared" si="3"/>
        <v>0</v>
      </c>
      <c r="AK58" s="50"/>
    </row>
    <row r="59" spans="1:41" x14ac:dyDescent="0.25">
      <c r="A59" s="53" t="s">
        <v>67</v>
      </c>
      <c r="B59" s="64"/>
      <c r="C59" s="64">
        <v>30</v>
      </c>
      <c r="D59" s="64">
        <v>30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45">
        <v>30</v>
      </c>
      <c r="T59" s="45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30</v>
      </c>
      <c r="AK59" s="50"/>
    </row>
    <row r="60" spans="1:41" x14ac:dyDescent="0.25">
      <c r="A60" s="53" t="s">
        <v>68</v>
      </c>
      <c r="B60" s="64"/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0.3</v>
      </c>
      <c r="J60" s="64">
        <v>0.4</v>
      </c>
      <c r="K60" s="64">
        <v>0.9</v>
      </c>
      <c r="L60" s="64">
        <v>0.9</v>
      </c>
      <c r="M60" s="64">
        <v>0.9</v>
      </c>
      <c r="N60" s="64">
        <v>5</v>
      </c>
      <c r="O60" s="64">
        <v>10</v>
      </c>
      <c r="P60" s="64">
        <v>14</v>
      </c>
      <c r="Q60" s="64">
        <v>18.3</v>
      </c>
      <c r="R60" s="64">
        <v>18.3</v>
      </c>
      <c r="S60" s="64">
        <v>12.5</v>
      </c>
      <c r="T60" s="64">
        <v>8.9</v>
      </c>
      <c r="U60" s="64">
        <v>1.2</v>
      </c>
      <c r="V60" s="64">
        <v>1.2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18.3</v>
      </c>
      <c r="AI60" s="48">
        <f t="shared" si="3"/>
        <v>0</v>
      </c>
      <c r="AK60" s="50"/>
    </row>
    <row r="61" spans="1:41" x14ac:dyDescent="0.25">
      <c r="A61" s="53" t="s">
        <v>69</v>
      </c>
      <c r="B61" s="64"/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13</v>
      </c>
      <c r="P61" s="64">
        <v>13</v>
      </c>
      <c r="Q61" s="64">
        <v>13</v>
      </c>
      <c r="R61" s="64">
        <v>13</v>
      </c>
      <c r="S61" s="64">
        <v>13</v>
      </c>
      <c r="T61" s="64">
        <v>13</v>
      </c>
      <c r="U61" s="64">
        <v>13</v>
      </c>
      <c r="V61" s="64">
        <v>13</v>
      </c>
      <c r="W61" s="64">
        <v>13</v>
      </c>
      <c r="X61" s="64">
        <v>13</v>
      </c>
      <c r="Y61" s="64">
        <v>13</v>
      </c>
      <c r="Z61" s="64">
        <v>13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13</v>
      </c>
      <c r="AK61" s="50"/>
    </row>
    <row r="62" spans="1:41" x14ac:dyDescent="0.25">
      <c r="A62" s="53" t="s">
        <v>70</v>
      </c>
      <c r="B62" s="64"/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4</v>
      </c>
      <c r="AK62" s="50"/>
      <c r="AL62" s="69"/>
      <c r="AO62" s="69"/>
    </row>
    <row r="63" spans="1:41" s="69" customFormat="1" x14ac:dyDescent="0.25">
      <c r="A63" s="53" t="s">
        <v>71</v>
      </c>
      <c r="B63" s="64"/>
      <c r="C63" s="64">
        <v>9.8000000000000007</v>
      </c>
      <c r="D63" s="64">
        <v>9.8000000000000007</v>
      </c>
      <c r="E63" s="64">
        <v>9.8000000000000007</v>
      </c>
      <c r="F63" s="64">
        <v>9.8000000000000007</v>
      </c>
      <c r="G63" s="64">
        <v>9.8000000000000007</v>
      </c>
      <c r="H63" s="64">
        <v>9.8000000000000007</v>
      </c>
      <c r="I63" s="64">
        <v>9.8000000000000007</v>
      </c>
      <c r="J63" s="64">
        <v>9.8000000000000007</v>
      </c>
      <c r="K63" s="64">
        <v>9.8000000000000007</v>
      </c>
      <c r="L63" s="64">
        <v>9.8000000000000007</v>
      </c>
      <c r="M63" s="64">
        <v>9.8000000000000007</v>
      </c>
      <c r="N63" s="64">
        <v>9.8000000000000007</v>
      </c>
      <c r="O63" s="64">
        <v>9.8000000000000007</v>
      </c>
      <c r="P63" s="64">
        <v>9.8000000000000007</v>
      </c>
      <c r="Q63" s="64">
        <v>9.8000000000000007</v>
      </c>
      <c r="R63" s="64">
        <v>9.8000000000000007</v>
      </c>
      <c r="S63" s="64">
        <v>9.8000000000000007</v>
      </c>
      <c r="T63" s="64">
        <v>9.8000000000000007</v>
      </c>
      <c r="U63" s="64">
        <v>9.8000000000000007</v>
      </c>
      <c r="V63" s="64">
        <v>9.8000000000000007</v>
      </c>
      <c r="W63" s="64">
        <v>9.8000000000000007</v>
      </c>
      <c r="X63" s="64">
        <v>9.8000000000000007</v>
      </c>
      <c r="Y63" s="64">
        <v>9.8000000000000007</v>
      </c>
      <c r="Z63" s="64">
        <v>9.8000000000000007</v>
      </c>
      <c r="AA63" s="64">
        <v>8.8000000000000007</v>
      </c>
      <c r="AB63" s="64">
        <v>8.8000000000000007</v>
      </c>
      <c r="AC63" s="64">
        <v>8.8000000000000007</v>
      </c>
      <c r="AD63" s="64">
        <v>8.8000000000000007</v>
      </c>
      <c r="AE63" s="64">
        <v>8.8000000000000007</v>
      </c>
      <c r="AF63" s="64">
        <v>11.2</v>
      </c>
      <c r="AG63" s="54">
        <v>14.1</v>
      </c>
      <c r="AH63" s="47">
        <f t="shared" si="2"/>
        <v>11.2</v>
      </c>
      <c r="AI63" s="48">
        <f t="shared" si="3"/>
        <v>8.8000000000000007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/>
      <c r="C64" s="64">
        <v>13.9</v>
      </c>
      <c r="D64" s="64">
        <v>13.9</v>
      </c>
      <c r="E64" s="64">
        <v>13.9</v>
      </c>
      <c r="F64" s="64">
        <v>13.9</v>
      </c>
      <c r="G64" s="64">
        <v>13.9</v>
      </c>
      <c r="H64" s="64">
        <v>13.9</v>
      </c>
      <c r="I64" s="64">
        <v>13.9</v>
      </c>
      <c r="J64" s="64">
        <v>13.9</v>
      </c>
      <c r="K64" s="64">
        <v>13.9</v>
      </c>
      <c r="L64" s="64">
        <v>13.9</v>
      </c>
      <c r="M64" s="64">
        <v>13.9</v>
      </c>
      <c r="N64" s="64">
        <v>13.9</v>
      </c>
      <c r="O64" s="64">
        <v>13.9</v>
      </c>
      <c r="P64" s="64">
        <v>13.9</v>
      </c>
      <c r="Q64" s="64">
        <v>13.9</v>
      </c>
      <c r="R64" s="64">
        <v>13.9</v>
      </c>
      <c r="S64" s="64">
        <v>13.9</v>
      </c>
      <c r="T64" s="64">
        <v>13.9</v>
      </c>
      <c r="U64" s="64">
        <v>13.9</v>
      </c>
      <c r="V64" s="64">
        <v>13.9</v>
      </c>
      <c r="W64" s="64">
        <v>13.9</v>
      </c>
      <c r="X64" s="64">
        <v>13.9</v>
      </c>
      <c r="Y64" s="64">
        <v>13.9</v>
      </c>
      <c r="Z64" s="64">
        <v>13.9</v>
      </c>
      <c r="AA64" s="64">
        <v>13.9</v>
      </c>
      <c r="AB64" s="64">
        <v>13.9</v>
      </c>
      <c r="AC64" s="64">
        <v>13.9</v>
      </c>
      <c r="AD64" s="64">
        <v>13.9</v>
      </c>
      <c r="AE64" s="64">
        <v>13.9</v>
      </c>
      <c r="AF64" s="64">
        <v>13.7</v>
      </c>
      <c r="AG64" s="54">
        <v>14</v>
      </c>
      <c r="AH64" s="47">
        <f t="shared" si="2"/>
        <v>13.9</v>
      </c>
      <c r="AI64" s="48">
        <f t="shared" si="3"/>
        <v>13.7</v>
      </c>
      <c r="AK64" s="50"/>
    </row>
    <row r="65" spans="1:40" x14ac:dyDescent="0.25">
      <c r="A65" s="53" t="s">
        <v>73</v>
      </c>
      <c r="B65" s="64"/>
      <c r="C65" s="64">
        <v>6.5</v>
      </c>
      <c r="D65" s="64">
        <v>6.5</v>
      </c>
      <c r="E65" s="64">
        <v>6.5</v>
      </c>
      <c r="F65" s="64">
        <v>6.5</v>
      </c>
      <c r="G65" s="64">
        <v>6.5</v>
      </c>
      <c r="H65" s="64">
        <v>6.5</v>
      </c>
      <c r="I65" s="64">
        <v>6.5</v>
      </c>
      <c r="J65" s="64">
        <v>6.5</v>
      </c>
      <c r="K65" s="64">
        <v>6.5</v>
      </c>
      <c r="L65" s="64">
        <v>6.5</v>
      </c>
      <c r="M65" s="64">
        <v>6.5</v>
      </c>
      <c r="N65" s="64">
        <v>6.5</v>
      </c>
      <c r="O65" s="64">
        <v>6.5</v>
      </c>
      <c r="P65" s="64">
        <v>6.5</v>
      </c>
      <c r="Q65" s="64">
        <v>6.5</v>
      </c>
      <c r="R65" s="64">
        <v>6.5</v>
      </c>
      <c r="S65" s="64">
        <v>6.5</v>
      </c>
      <c r="T65" s="64">
        <v>6.5</v>
      </c>
      <c r="U65" s="64">
        <v>6.5</v>
      </c>
      <c r="V65" s="64">
        <v>6.5</v>
      </c>
      <c r="W65" s="64">
        <v>6.5</v>
      </c>
      <c r="X65" s="64">
        <v>6.5</v>
      </c>
      <c r="Y65" s="64">
        <v>6.5</v>
      </c>
      <c r="Z65" s="64">
        <v>6.5</v>
      </c>
      <c r="AA65" s="64">
        <v>6.5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6.5</v>
      </c>
      <c r="AK65" s="50"/>
    </row>
    <row r="66" spans="1:40" x14ac:dyDescent="0.25">
      <c r="A66" s="53" t="s">
        <v>74</v>
      </c>
      <c r="B66" s="64"/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1">SUM(B55:B67)</f>
        <v>3.54</v>
      </c>
      <c r="C68" s="60">
        <f t="shared" si="11"/>
        <v>422.84</v>
      </c>
      <c r="D68" s="60">
        <f t="shared" si="11"/>
        <v>422.84</v>
      </c>
      <c r="E68" s="60">
        <f t="shared" si="11"/>
        <v>422.84</v>
      </c>
      <c r="F68" s="60">
        <f t="shared" si="11"/>
        <v>421.73999999999995</v>
      </c>
      <c r="G68" s="60">
        <f t="shared" si="11"/>
        <v>421.73999999999995</v>
      </c>
      <c r="H68" s="60">
        <f t="shared" si="11"/>
        <v>421.73999999999995</v>
      </c>
      <c r="I68" s="60">
        <f t="shared" si="11"/>
        <v>426.14</v>
      </c>
      <c r="J68" s="60">
        <f t="shared" si="11"/>
        <v>424.33999999999992</v>
      </c>
      <c r="K68" s="60">
        <f t="shared" si="11"/>
        <v>424.53999999999996</v>
      </c>
      <c r="L68" s="60">
        <f t="shared" si="11"/>
        <v>365.23999999999995</v>
      </c>
      <c r="M68" s="60">
        <f t="shared" si="11"/>
        <v>363.64</v>
      </c>
      <c r="N68" s="60">
        <f t="shared" si="11"/>
        <v>366.04</v>
      </c>
      <c r="O68" s="60">
        <f t="shared" si="11"/>
        <v>419.04</v>
      </c>
      <c r="P68" s="60">
        <f t="shared" si="11"/>
        <v>431.04</v>
      </c>
      <c r="Q68" s="60">
        <f t="shared" si="11"/>
        <v>437.34000000000003</v>
      </c>
      <c r="R68" s="60">
        <f t="shared" si="11"/>
        <v>437.34000000000003</v>
      </c>
      <c r="S68" s="60">
        <f t="shared" si="11"/>
        <v>419.64000000000004</v>
      </c>
      <c r="T68" s="60">
        <f t="shared" si="11"/>
        <v>416.04</v>
      </c>
      <c r="U68" s="60">
        <f t="shared" ref="U68:V68" si="12">SUM(U55:U67)</f>
        <v>408.34000000000003</v>
      </c>
      <c r="V68" s="60">
        <f t="shared" si="12"/>
        <v>407.24</v>
      </c>
      <c r="W68" s="60">
        <f t="shared" si="11"/>
        <v>368.84000000000003</v>
      </c>
      <c r="X68" s="60">
        <f t="shared" si="11"/>
        <v>388.54</v>
      </c>
      <c r="Y68" s="60">
        <f t="shared" si="11"/>
        <v>412.04</v>
      </c>
      <c r="Z68" s="60">
        <f t="shared" si="11"/>
        <v>412.04</v>
      </c>
      <c r="AA68" s="60">
        <v>425.84</v>
      </c>
      <c r="AB68" s="60">
        <f t="shared" si="11"/>
        <v>424.14</v>
      </c>
      <c r="AC68" s="60">
        <f t="shared" si="11"/>
        <v>424.64</v>
      </c>
      <c r="AD68" s="60">
        <f t="shared" si="11"/>
        <v>424.64</v>
      </c>
      <c r="AE68" s="60">
        <f t="shared" si="11"/>
        <v>424.64</v>
      </c>
      <c r="AF68" s="60">
        <f t="shared" si="11"/>
        <v>395.04</v>
      </c>
      <c r="AG68" s="61">
        <f t="shared" si="11"/>
        <v>489.91</v>
      </c>
      <c r="AH68" s="47">
        <f t="shared" si="2"/>
        <v>437.34000000000003</v>
      </c>
      <c r="AI68" s="48">
        <f t="shared" si="3"/>
        <v>3.54</v>
      </c>
      <c r="AK68" s="50"/>
    </row>
    <row r="69" spans="1:40" x14ac:dyDescent="0.25">
      <c r="A69" s="44" t="s">
        <v>77</v>
      </c>
      <c r="B69" s="45"/>
      <c r="C69" s="45"/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11.6</v>
      </c>
      <c r="Q69" s="45">
        <v>11.6</v>
      </c>
      <c r="R69" s="45">
        <v>11.6</v>
      </c>
      <c r="S69" s="45">
        <v>10.7</v>
      </c>
      <c r="T69" s="45">
        <v>10.7</v>
      </c>
      <c r="U69" s="45">
        <v>10.7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13.6</v>
      </c>
      <c r="AC69" s="45">
        <v>20.100000000000001</v>
      </c>
      <c r="AD69" s="45">
        <v>13</v>
      </c>
      <c r="AE69" s="45">
        <v>0</v>
      </c>
      <c r="AF69" s="45">
        <v>0</v>
      </c>
      <c r="AG69" s="51">
        <v>60</v>
      </c>
      <c r="AH69" s="47">
        <f t="shared" si="2"/>
        <v>20.100000000000001</v>
      </c>
      <c r="AI69" s="48">
        <f t="shared" si="3"/>
        <v>0</v>
      </c>
      <c r="AK69" s="50"/>
    </row>
    <row r="70" spans="1:40" x14ac:dyDescent="0.25">
      <c r="A70" s="53" t="s">
        <v>78</v>
      </c>
      <c r="B70" s="45"/>
      <c r="C70" s="45"/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5.5</v>
      </c>
      <c r="Q70" s="64">
        <v>5.5</v>
      </c>
      <c r="R70" s="64">
        <v>5.5</v>
      </c>
      <c r="S70" s="64">
        <v>4.7</v>
      </c>
      <c r="T70" s="64">
        <v>4.7</v>
      </c>
      <c r="U70" s="64">
        <v>4.7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13.3</v>
      </c>
      <c r="AC70" s="64">
        <v>5.9</v>
      </c>
      <c r="AD70" s="64">
        <v>15.3</v>
      </c>
      <c r="AE70" s="64">
        <v>0</v>
      </c>
      <c r="AF70" s="64">
        <v>0</v>
      </c>
      <c r="AG70" s="54">
        <v>32</v>
      </c>
      <c r="AH70" s="47">
        <f t="shared" si="2"/>
        <v>15.3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/>
      <c r="C71" s="45"/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2</v>
      </c>
      <c r="Q71" s="66">
        <v>2</v>
      </c>
      <c r="R71" s="66">
        <v>2</v>
      </c>
      <c r="S71" s="66">
        <v>1.7</v>
      </c>
      <c r="T71" s="66">
        <v>1.7</v>
      </c>
      <c r="U71" s="66">
        <v>1.7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4.8</v>
      </c>
      <c r="AC71" s="66">
        <v>2.2000000000000002</v>
      </c>
      <c r="AD71" s="66">
        <v>5.6</v>
      </c>
      <c r="AE71" s="66">
        <v>0</v>
      </c>
      <c r="AF71" s="66">
        <v>0</v>
      </c>
      <c r="AG71" s="67">
        <v>14</v>
      </c>
      <c r="AH71" s="47">
        <f t="shared" si="2"/>
        <v>5.6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 t="shared" ref="B72:L72" si="13">B69+B70+B71</f>
        <v>0</v>
      </c>
      <c r="C72" s="60">
        <f t="shared" si="13"/>
        <v>0</v>
      </c>
      <c r="D72" s="60">
        <f t="shared" si="13"/>
        <v>0</v>
      </c>
      <c r="E72" s="60">
        <f t="shared" si="13"/>
        <v>0</v>
      </c>
      <c r="F72" s="60">
        <f t="shared" si="13"/>
        <v>0</v>
      </c>
      <c r="G72" s="60">
        <f t="shared" si="13"/>
        <v>0</v>
      </c>
      <c r="H72" s="60">
        <f t="shared" si="13"/>
        <v>0</v>
      </c>
      <c r="I72" s="60">
        <f t="shared" si="13"/>
        <v>0</v>
      </c>
      <c r="J72" s="60">
        <f t="shared" si="13"/>
        <v>0</v>
      </c>
      <c r="K72" s="60">
        <f t="shared" si="13"/>
        <v>0</v>
      </c>
      <c r="L72" s="60">
        <f t="shared" si="13"/>
        <v>0</v>
      </c>
      <c r="M72" s="60">
        <f t="shared" ref="M72:AF72" si="14">M69+M70+M71</f>
        <v>0</v>
      </c>
      <c r="N72" s="60">
        <f t="shared" si="14"/>
        <v>0</v>
      </c>
      <c r="O72" s="60">
        <f t="shared" si="14"/>
        <v>0</v>
      </c>
      <c r="P72" s="60">
        <f t="shared" si="14"/>
        <v>19.100000000000001</v>
      </c>
      <c r="Q72" s="60">
        <f t="shared" si="14"/>
        <v>19.100000000000001</v>
      </c>
      <c r="R72" s="60">
        <f t="shared" si="14"/>
        <v>19.100000000000001</v>
      </c>
      <c r="S72" s="60">
        <f t="shared" si="14"/>
        <v>17.099999999999998</v>
      </c>
      <c r="T72" s="60">
        <f t="shared" si="14"/>
        <v>17.099999999999998</v>
      </c>
      <c r="U72" s="60">
        <f t="shared" ref="U72:V72" si="15">U69+U70+U71</f>
        <v>17.099999999999998</v>
      </c>
      <c r="V72" s="60">
        <f t="shared" si="15"/>
        <v>0</v>
      </c>
      <c r="W72" s="60">
        <f t="shared" si="14"/>
        <v>0</v>
      </c>
      <c r="X72" s="60">
        <f t="shared" si="14"/>
        <v>0</v>
      </c>
      <c r="Y72" s="60">
        <f t="shared" si="14"/>
        <v>0</v>
      </c>
      <c r="Z72" s="60">
        <f t="shared" si="14"/>
        <v>0</v>
      </c>
      <c r="AA72" s="60">
        <v>0</v>
      </c>
      <c r="AB72" s="60">
        <f t="shared" si="14"/>
        <v>31.7</v>
      </c>
      <c r="AC72" s="60">
        <f t="shared" si="14"/>
        <v>28.2</v>
      </c>
      <c r="AD72" s="60">
        <f t="shared" si="14"/>
        <v>33.9</v>
      </c>
      <c r="AE72" s="60">
        <f t="shared" si="14"/>
        <v>0</v>
      </c>
      <c r="AF72" s="60">
        <f t="shared" si="14"/>
        <v>0</v>
      </c>
      <c r="AG72" s="61">
        <f>SUM(AG69:AG71)</f>
        <v>106</v>
      </c>
      <c r="AH72" s="47">
        <f t="shared" si="2"/>
        <v>33.9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38</v>
      </c>
      <c r="C73" s="45">
        <v>40</v>
      </c>
      <c r="D73" s="45">
        <v>15.3</v>
      </c>
      <c r="E73" s="45">
        <v>16.5</v>
      </c>
      <c r="F73" s="45">
        <v>19.899999999999999</v>
      </c>
      <c r="G73" s="45">
        <v>16.100000000000001</v>
      </c>
      <c r="H73" s="45">
        <v>10.1</v>
      </c>
      <c r="I73" s="45">
        <v>21</v>
      </c>
      <c r="J73" s="45">
        <v>10.1</v>
      </c>
      <c r="K73" s="45">
        <v>10.6</v>
      </c>
      <c r="L73" s="45">
        <v>15.6</v>
      </c>
      <c r="M73" s="45">
        <v>15.4</v>
      </c>
      <c r="N73" s="45">
        <v>19.399999999999999</v>
      </c>
      <c r="O73" s="45">
        <v>52.9</v>
      </c>
      <c r="P73" s="45">
        <v>45</v>
      </c>
      <c r="Q73" s="45">
        <v>58.9</v>
      </c>
      <c r="R73" s="45">
        <v>30.6</v>
      </c>
      <c r="S73" s="45">
        <v>48</v>
      </c>
      <c r="T73" s="45">
        <v>65.400000000000006</v>
      </c>
      <c r="U73" s="45">
        <v>38</v>
      </c>
      <c r="V73" s="45">
        <v>24</v>
      </c>
      <c r="W73" s="45">
        <v>12</v>
      </c>
      <c r="X73" s="45">
        <v>4.4000000000000004</v>
      </c>
      <c r="Y73" s="45">
        <v>4.4000000000000004</v>
      </c>
      <c r="Z73" s="45">
        <v>4.4000000000000004</v>
      </c>
      <c r="AA73" s="45">
        <v>23.1</v>
      </c>
      <c r="AB73" s="45">
        <v>42.4</v>
      </c>
      <c r="AC73" s="45">
        <v>43.8</v>
      </c>
      <c r="AD73" s="45">
        <v>38.5</v>
      </c>
      <c r="AE73" s="45">
        <v>33.200000000000003</v>
      </c>
      <c r="AF73" s="45">
        <v>41.3</v>
      </c>
      <c r="AG73" s="51"/>
      <c r="AH73" s="47">
        <f t="shared" si="2"/>
        <v>65.400000000000006</v>
      </c>
      <c r="AI73" s="48">
        <f t="shared" si="3"/>
        <v>4.4000000000000004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/>
      <c r="C75" s="64">
        <v>-220</v>
      </c>
      <c r="D75" s="64">
        <v>-286</v>
      </c>
      <c r="E75" s="64">
        <v>-279.60000000000002</v>
      </c>
      <c r="F75" s="64">
        <v>-306</v>
      </c>
      <c r="G75" s="64">
        <v>-157</v>
      </c>
      <c r="H75" s="64">
        <v>-270</v>
      </c>
      <c r="I75" s="64">
        <v>-342</v>
      </c>
      <c r="J75" s="64">
        <v>-325</v>
      </c>
      <c r="K75" s="64">
        <v>-303.39999999999998</v>
      </c>
      <c r="L75" s="64">
        <v>-274.5</v>
      </c>
      <c r="M75" s="64">
        <v>-251</v>
      </c>
      <c r="N75" s="64">
        <v>-244</v>
      </c>
      <c r="O75" s="64">
        <v>-288</v>
      </c>
      <c r="P75" s="64">
        <v>-255</v>
      </c>
      <c r="Q75" s="64">
        <v>-268.5</v>
      </c>
      <c r="R75" s="64">
        <v>-343</v>
      </c>
      <c r="S75" s="64">
        <v>-300</v>
      </c>
      <c r="T75" s="64">
        <v>-251.6</v>
      </c>
      <c r="U75" s="64">
        <v>-251.6</v>
      </c>
      <c r="V75" s="64">
        <v>-251.6</v>
      </c>
      <c r="W75" s="64">
        <v>-429.2</v>
      </c>
      <c r="X75" s="64">
        <v>-385</v>
      </c>
      <c r="Y75" s="64">
        <v>-380</v>
      </c>
      <c r="Z75" s="64">
        <v>-330</v>
      </c>
      <c r="AA75" s="64">
        <v>-297</v>
      </c>
      <c r="AB75" s="64">
        <v>-280</v>
      </c>
      <c r="AC75" s="64">
        <v>-278.2</v>
      </c>
      <c r="AD75" s="64">
        <v>-296</v>
      </c>
      <c r="AE75" s="64">
        <v>-309</v>
      </c>
      <c r="AF75" s="64">
        <v>-298</v>
      </c>
      <c r="AG75" s="74"/>
      <c r="AH75" s="47">
        <f t="shared" si="2"/>
        <v>-157</v>
      </c>
      <c r="AI75" s="48">
        <f t="shared" si="3"/>
        <v>-429.2</v>
      </c>
      <c r="AK75" s="50"/>
    </row>
    <row r="76" spans="1:40" x14ac:dyDescent="0.25">
      <c r="A76" s="53" t="s">
        <v>84</v>
      </c>
      <c r="B76" s="64"/>
      <c r="C76" s="64">
        <v>0</v>
      </c>
      <c r="D76" s="64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64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16">MAX(B77:AF77)</f>
        <v>0</v>
      </c>
      <c r="AI77" s="48">
        <f t="shared" ref="AI77:AI120" si="17">MIN(B77:AF77)</f>
        <v>0</v>
      </c>
      <c r="AK77" s="50"/>
    </row>
    <row r="78" spans="1:40" x14ac:dyDescent="0.25">
      <c r="A78" s="53" t="s">
        <v>86</v>
      </c>
      <c r="B78" s="45"/>
      <c r="C78" s="64">
        <v>5</v>
      </c>
      <c r="D78" s="64">
        <v>5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5</v>
      </c>
      <c r="N78" s="64">
        <v>5</v>
      </c>
      <c r="O78" s="64">
        <v>5</v>
      </c>
      <c r="P78" s="64">
        <v>5</v>
      </c>
      <c r="Q78" s="76">
        <v>5</v>
      </c>
      <c r="R78" s="76">
        <v>5</v>
      </c>
      <c r="S78" s="76">
        <v>5</v>
      </c>
      <c r="T78" s="76">
        <v>5</v>
      </c>
      <c r="U78" s="76">
        <v>5</v>
      </c>
      <c r="V78" s="76">
        <v>5</v>
      </c>
      <c r="W78" s="76">
        <v>5</v>
      </c>
      <c r="X78" s="76">
        <v>5</v>
      </c>
      <c r="Y78" s="76">
        <v>5</v>
      </c>
      <c r="Z78" s="76">
        <v>5</v>
      </c>
      <c r="AA78" s="76">
        <v>5</v>
      </c>
      <c r="AB78" s="76">
        <v>5</v>
      </c>
      <c r="AC78" s="76">
        <v>5</v>
      </c>
      <c r="AD78" s="76">
        <v>5</v>
      </c>
      <c r="AE78" s="76">
        <v>5</v>
      </c>
      <c r="AF78" s="76">
        <v>5</v>
      </c>
      <c r="AG78" s="74"/>
      <c r="AH78" s="47">
        <f t="shared" si="16"/>
        <v>5</v>
      </c>
      <c r="AI78" s="48">
        <f t="shared" si="17"/>
        <v>0</v>
      </c>
      <c r="AK78" s="50"/>
    </row>
    <row r="79" spans="1:40" ht="15.75" thickBot="1" x14ac:dyDescent="0.3">
      <c r="A79" s="53" t="s">
        <v>87</v>
      </c>
      <c r="B79" s="45"/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16"/>
        <v>0</v>
      </c>
      <c r="AI79" s="48">
        <f t="shared" si="17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/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16"/>
        <v>0</v>
      </c>
      <c r="AI80" s="48">
        <f t="shared" si="17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/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16"/>
        <v>0</v>
      </c>
      <c r="AI81" s="48">
        <f t="shared" si="17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/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16"/>
        <v>0</v>
      </c>
      <c r="AI82" s="48">
        <f t="shared" si="17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/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16"/>
        <v>0</v>
      </c>
      <c r="AI83" s="48">
        <f t="shared" si="17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18">SUMIF(B73:B83,"&gt;0")</f>
        <v>38</v>
      </c>
      <c r="C84" s="60">
        <f t="shared" si="18"/>
        <v>45</v>
      </c>
      <c r="D84" s="60">
        <f t="shared" si="18"/>
        <v>20.3</v>
      </c>
      <c r="E84" s="60">
        <f t="shared" si="18"/>
        <v>16.5</v>
      </c>
      <c r="F84" s="60">
        <f t="shared" si="18"/>
        <v>19.899999999999999</v>
      </c>
      <c r="G84" s="60">
        <f t="shared" si="18"/>
        <v>16.100000000000001</v>
      </c>
      <c r="H84" s="60">
        <f t="shared" si="18"/>
        <v>10.1</v>
      </c>
      <c r="I84" s="60">
        <f t="shared" si="18"/>
        <v>21</v>
      </c>
      <c r="J84" s="60">
        <f t="shared" si="18"/>
        <v>10.1</v>
      </c>
      <c r="K84" s="60">
        <f t="shared" si="18"/>
        <v>10.6</v>
      </c>
      <c r="L84" s="60">
        <f t="shared" si="18"/>
        <v>15.6</v>
      </c>
      <c r="M84" s="60">
        <f t="shared" si="18"/>
        <v>20.399999999999999</v>
      </c>
      <c r="N84" s="60">
        <f t="shared" si="18"/>
        <v>24.4</v>
      </c>
      <c r="O84" s="60">
        <f t="shared" si="18"/>
        <v>57.9</v>
      </c>
      <c r="P84" s="60">
        <f t="shared" si="18"/>
        <v>50</v>
      </c>
      <c r="Q84" s="60">
        <f t="shared" si="18"/>
        <v>63.9</v>
      </c>
      <c r="R84" s="60">
        <f t="shared" si="18"/>
        <v>35.6</v>
      </c>
      <c r="S84" s="60">
        <f t="shared" si="18"/>
        <v>53</v>
      </c>
      <c r="T84" s="60">
        <f t="shared" si="18"/>
        <v>70.400000000000006</v>
      </c>
      <c r="U84" s="60">
        <f t="shared" ref="U84:V84" si="19">SUMIF(U73:U83,"&gt;0")</f>
        <v>43</v>
      </c>
      <c r="V84" s="60">
        <f t="shared" si="19"/>
        <v>29</v>
      </c>
      <c r="W84" s="60">
        <f t="shared" si="18"/>
        <v>17</v>
      </c>
      <c r="X84" s="60">
        <f t="shared" si="18"/>
        <v>9.4</v>
      </c>
      <c r="Y84" s="60">
        <f t="shared" si="18"/>
        <v>9.4</v>
      </c>
      <c r="Z84" s="60">
        <f t="shared" si="18"/>
        <v>9.4</v>
      </c>
      <c r="AA84" s="60">
        <v>47.2</v>
      </c>
      <c r="AB84" s="60">
        <f t="shared" si="18"/>
        <v>47.4</v>
      </c>
      <c r="AC84" s="60">
        <f t="shared" si="18"/>
        <v>48.8</v>
      </c>
      <c r="AD84" s="60">
        <f t="shared" si="18"/>
        <v>43.5</v>
      </c>
      <c r="AE84" s="60">
        <f t="shared" si="18"/>
        <v>38.200000000000003</v>
      </c>
      <c r="AF84" s="60">
        <f t="shared" si="18"/>
        <v>46.3</v>
      </c>
      <c r="AG84" s="87">
        <f>SUM(AG73:AG83)</f>
        <v>0</v>
      </c>
      <c r="AH84" s="47">
        <f t="shared" si="16"/>
        <v>70.400000000000006</v>
      </c>
      <c r="AI84" s="48">
        <f t="shared" si="17"/>
        <v>9.4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6"/>
        <v>0</v>
      </c>
      <c r="AI85" s="48">
        <f t="shared" si="17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6"/>
        <v>0</v>
      </c>
      <c r="AI86" s="48">
        <f t="shared" si="17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6"/>
        <v>0</v>
      </c>
      <c r="AI87" s="48">
        <f t="shared" si="17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6"/>
        <v>0</v>
      </c>
      <c r="AI88" s="48">
        <f t="shared" si="17"/>
        <v>0</v>
      </c>
    </row>
    <row r="89" spans="1:40" ht="15.75" thickBot="1" x14ac:dyDescent="0.3">
      <c r="A89" s="73" t="s">
        <v>100</v>
      </c>
      <c r="B89" s="94">
        <f t="shared" ref="B89:AG89" si="20">B50+B54+B72+B68+B84+B88</f>
        <v>41.54</v>
      </c>
      <c r="C89" s="94">
        <f t="shared" si="20"/>
        <v>1988.84</v>
      </c>
      <c r="D89" s="94">
        <f t="shared" si="20"/>
        <v>1964.1399999999999</v>
      </c>
      <c r="E89" s="94">
        <f t="shared" si="20"/>
        <v>1945.34</v>
      </c>
      <c r="F89" s="94">
        <f t="shared" si="20"/>
        <v>1935.64</v>
      </c>
      <c r="G89" s="94">
        <f t="shared" si="20"/>
        <v>1785.74</v>
      </c>
      <c r="H89" s="94">
        <f t="shared" si="20"/>
        <v>1871.54</v>
      </c>
      <c r="I89" s="94">
        <f t="shared" si="20"/>
        <v>1962.8400000000001</v>
      </c>
      <c r="J89" s="94">
        <f t="shared" si="20"/>
        <v>1979.14</v>
      </c>
      <c r="K89" s="94">
        <f t="shared" si="20"/>
        <v>2006.1399999999999</v>
      </c>
      <c r="L89" s="94">
        <f t="shared" si="20"/>
        <v>1972.74</v>
      </c>
      <c r="M89" s="94">
        <f t="shared" si="20"/>
        <v>1975.94</v>
      </c>
      <c r="N89" s="94">
        <f t="shared" si="20"/>
        <v>1982.3400000000001</v>
      </c>
      <c r="O89" s="94">
        <f t="shared" si="20"/>
        <v>2078.84</v>
      </c>
      <c r="P89" s="94">
        <f t="shared" si="20"/>
        <v>2042.04</v>
      </c>
      <c r="Q89" s="94">
        <f t="shared" si="20"/>
        <v>2062.2400000000002</v>
      </c>
      <c r="R89" s="94">
        <f t="shared" si="20"/>
        <v>2033.94</v>
      </c>
      <c r="S89" s="94">
        <f t="shared" si="20"/>
        <v>2022.24</v>
      </c>
      <c r="T89" s="94">
        <f t="shared" si="20"/>
        <v>2036.04</v>
      </c>
      <c r="U89" s="94">
        <f t="shared" ref="U89:V89" si="21">U50+U54+U72+U68+U84+U88</f>
        <v>2008.94</v>
      </c>
      <c r="V89" s="94">
        <f t="shared" si="21"/>
        <v>1974.74</v>
      </c>
      <c r="W89" s="94">
        <f t="shared" si="20"/>
        <v>1930.7400000000002</v>
      </c>
      <c r="X89" s="94">
        <f t="shared" si="20"/>
        <v>1943.44</v>
      </c>
      <c r="Y89" s="94">
        <f t="shared" si="20"/>
        <v>2000.44</v>
      </c>
      <c r="Z89" s="94">
        <f t="shared" si="20"/>
        <v>2020.44</v>
      </c>
      <c r="AA89" s="94">
        <v>2042.04</v>
      </c>
      <c r="AB89" s="94">
        <f t="shared" si="20"/>
        <v>2088.1400000000003</v>
      </c>
      <c r="AC89" s="94">
        <f t="shared" si="20"/>
        <v>2086.5400000000004</v>
      </c>
      <c r="AD89" s="94">
        <f t="shared" si="20"/>
        <v>2082.04</v>
      </c>
      <c r="AE89" s="94">
        <f t="shared" si="20"/>
        <v>2004.14</v>
      </c>
      <c r="AF89" s="94">
        <f t="shared" si="20"/>
        <v>1966.24</v>
      </c>
      <c r="AG89" s="61">
        <f t="shared" si="20"/>
        <v>2111.5500000000002</v>
      </c>
      <c r="AH89" s="47">
        <f t="shared" si="16"/>
        <v>2088.1400000000003</v>
      </c>
      <c r="AI89" s="48">
        <f t="shared" si="17"/>
        <v>41.54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6"/>
        <v>0</v>
      </c>
      <c r="AI90" s="48">
        <f t="shared" si="17"/>
        <v>0</v>
      </c>
    </row>
    <row r="91" spans="1:40" ht="15.75" thickBot="1" x14ac:dyDescent="0.3">
      <c r="A91" s="73" t="s">
        <v>102</v>
      </c>
      <c r="B91" s="94">
        <f t="shared" ref="B91:AF91" si="22">B89+B90</f>
        <v>41.54</v>
      </c>
      <c r="C91" s="94">
        <f t="shared" si="22"/>
        <v>1988.84</v>
      </c>
      <c r="D91" s="94">
        <f t="shared" si="22"/>
        <v>1964.1399999999999</v>
      </c>
      <c r="E91" s="94">
        <f t="shared" si="22"/>
        <v>1945.34</v>
      </c>
      <c r="F91" s="94">
        <f t="shared" si="22"/>
        <v>1935.64</v>
      </c>
      <c r="G91" s="94">
        <f t="shared" si="22"/>
        <v>1785.74</v>
      </c>
      <c r="H91" s="94">
        <f t="shared" si="22"/>
        <v>1871.54</v>
      </c>
      <c r="I91" s="94">
        <f t="shared" si="22"/>
        <v>1962.8400000000001</v>
      </c>
      <c r="J91" s="94">
        <f t="shared" si="22"/>
        <v>1979.14</v>
      </c>
      <c r="K91" s="94">
        <f t="shared" si="22"/>
        <v>2006.1399999999999</v>
      </c>
      <c r="L91" s="94">
        <f t="shared" si="22"/>
        <v>1972.74</v>
      </c>
      <c r="M91" s="94">
        <f t="shared" si="22"/>
        <v>1975.94</v>
      </c>
      <c r="N91" s="94">
        <f t="shared" si="22"/>
        <v>1982.3400000000001</v>
      </c>
      <c r="O91" s="94">
        <f t="shared" si="22"/>
        <v>2078.84</v>
      </c>
      <c r="P91" s="94">
        <f t="shared" si="22"/>
        <v>2042.04</v>
      </c>
      <c r="Q91" s="94">
        <f t="shared" si="22"/>
        <v>2062.2400000000002</v>
      </c>
      <c r="R91" s="94">
        <f t="shared" si="22"/>
        <v>2033.94</v>
      </c>
      <c r="S91" s="94">
        <f t="shared" si="22"/>
        <v>2022.24</v>
      </c>
      <c r="T91" s="94">
        <f t="shared" si="22"/>
        <v>2036.04</v>
      </c>
      <c r="U91" s="94">
        <f t="shared" ref="U91:V91" si="23">U89+U90</f>
        <v>2008.94</v>
      </c>
      <c r="V91" s="94">
        <f t="shared" si="23"/>
        <v>1974.74</v>
      </c>
      <c r="W91" s="94">
        <f t="shared" si="22"/>
        <v>1930.7400000000002</v>
      </c>
      <c r="X91" s="94">
        <f t="shared" si="22"/>
        <v>1943.44</v>
      </c>
      <c r="Y91" s="94">
        <f t="shared" si="22"/>
        <v>2000.44</v>
      </c>
      <c r="Z91" s="94">
        <f t="shared" si="22"/>
        <v>2020.44</v>
      </c>
      <c r="AA91" s="94">
        <v>2042.04</v>
      </c>
      <c r="AB91" s="94">
        <f t="shared" si="22"/>
        <v>2088.1400000000003</v>
      </c>
      <c r="AC91" s="94">
        <f t="shared" si="22"/>
        <v>2086.5400000000004</v>
      </c>
      <c r="AD91" s="94">
        <f t="shared" si="22"/>
        <v>2082.04</v>
      </c>
      <c r="AE91" s="94">
        <f t="shared" si="22"/>
        <v>2004.14</v>
      </c>
      <c r="AF91" s="94">
        <f t="shared" si="22"/>
        <v>1966.24</v>
      </c>
      <c r="AG91" s="87">
        <f>AG88+AG84+AG72+AG68+AG50+AG90</f>
        <v>1573.45</v>
      </c>
      <c r="AH91" s="47">
        <f t="shared" si="16"/>
        <v>2088.1400000000003</v>
      </c>
      <c r="AI91" s="48">
        <f t="shared" si="17"/>
        <v>41.54</v>
      </c>
    </row>
    <row r="92" spans="1:40" ht="15.75" thickBot="1" x14ac:dyDescent="0.3">
      <c r="A92" s="73" t="s">
        <v>103</v>
      </c>
      <c r="B92" s="94">
        <f t="shared" ref="B92:AF92" si="24">B91-B99</f>
        <v>41.54</v>
      </c>
      <c r="C92" s="94">
        <f t="shared" si="24"/>
        <v>1988.84</v>
      </c>
      <c r="D92" s="94">
        <f t="shared" si="24"/>
        <v>1964.1399999999999</v>
      </c>
      <c r="E92" s="94">
        <f t="shared" si="24"/>
        <v>1945.34</v>
      </c>
      <c r="F92" s="94">
        <f t="shared" si="24"/>
        <v>1935.64</v>
      </c>
      <c r="G92" s="94">
        <f t="shared" si="24"/>
        <v>1785.74</v>
      </c>
      <c r="H92" s="94">
        <f t="shared" si="24"/>
        <v>1871.54</v>
      </c>
      <c r="I92" s="94">
        <f t="shared" si="24"/>
        <v>1962.8400000000001</v>
      </c>
      <c r="J92" s="94">
        <f t="shared" si="24"/>
        <v>1979.14</v>
      </c>
      <c r="K92" s="94">
        <f t="shared" si="24"/>
        <v>2006.1399999999999</v>
      </c>
      <c r="L92" s="94">
        <f t="shared" si="24"/>
        <v>1972.74</v>
      </c>
      <c r="M92" s="94">
        <f t="shared" si="24"/>
        <v>1975.94</v>
      </c>
      <c r="N92" s="94">
        <f t="shared" si="24"/>
        <v>1982.3400000000001</v>
      </c>
      <c r="O92" s="94">
        <f t="shared" si="24"/>
        <v>2078.84</v>
      </c>
      <c r="P92" s="94">
        <f t="shared" si="24"/>
        <v>2042.04</v>
      </c>
      <c r="Q92" s="94">
        <f t="shared" si="24"/>
        <v>2062.2400000000002</v>
      </c>
      <c r="R92" s="94">
        <f t="shared" si="24"/>
        <v>2033.94</v>
      </c>
      <c r="S92" s="94">
        <f t="shared" si="24"/>
        <v>2022.24</v>
      </c>
      <c r="T92" s="94">
        <f t="shared" si="24"/>
        <v>2036.04</v>
      </c>
      <c r="U92" s="94">
        <f t="shared" ref="U92:V92" si="25">U91-U99</f>
        <v>2008.94</v>
      </c>
      <c r="V92" s="94">
        <f t="shared" si="25"/>
        <v>1974.74</v>
      </c>
      <c r="W92" s="94">
        <f t="shared" si="24"/>
        <v>1930.7400000000002</v>
      </c>
      <c r="X92" s="94">
        <f t="shared" si="24"/>
        <v>1943.44</v>
      </c>
      <c r="Y92" s="94">
        <f t="shared" si="24"/>
        <v>2000.44</v>
      </c>
      <c r="Z92" s="94">
        <f t="shared" si="24"/>
        <v>2020.44</v>
      </c>
      <c r="AA92" s="94">
        <v>2042.04</v>
      </c>
      <c r="AB92" s="94">
        <f t="shared" si="24"/>
        <v>2088.1400000000003</v>
      </c>
      <c r="AC92" s="94">
        <f t="shared" si="24"/>
        <v>2086.5400000000004</v>
      </c>
      <c r="AD92" s="94">
        <f t="shared" si="24"/>
        <v>2082.04</v>
      </c>
      <c r="AE92" s="94">
        <f t="shared" si="24"/>
        <v>2004.14</v>
      </c>
      <c r="AF92" s="94">
        <f t="shared" si="24"/>
        <v>1966.24</v>
      </c>
      <c r="AG92" s="87"/>
      <c r="AH92" s="47">
        <f t="shared" si="16"/>
        <v>2088.1400000000003</v>
      </c>
      <c r="AI92" s="48">
        <f t="shared" si="17"/>
        <v>41.54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6"/>
        <v>0</v>
      </c>
      <c r="AI93" s="48">
        <f t="shared" si="17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6"/>
        <v>0</v>
      </c>
      <c r="AI94" s="48">
        <f t="shared" si="17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6"/>
        <v>0</v>
      </c>
      <c r="AI95" s="48">
        <f t="shared" si="17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6"/>
        <v>0</v>
      </c>
      <c r="AI96" s="48">
        <f t="shared" si="17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6"/>
        <v>0</v>
      </c>
      <c r="AI97" s="48">
        <f t="shared" si="17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6"/>
        <v>0</v>
      </c>
      <c r="AI98" s="48">
        <f t="shared" si="17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16"/>
        <v>0</v>
      </c>
      <c r="AI99" s="48">
        <f t="shared" si="17"/>
        <v>0</v>
      </c>
      <c r="AK99" s="50"/>
    </row>
    <row r="100" spans="1:37" ht="15.75" thickBot="1" x14ac:dyDescent="0.3">
      <c r="A100" s="73" t="s">
        <v>108</v>
      </c>
      <c r="B100" s="60">
        <f t="shared" ref="B100:AF100" si="26">B84-B99</f>
        <v>38</v>
      </c>
      <c r="C100" s="60">
        <f t="shared" si="26"/>
        <v>45</v>
      </c>
      <c r="D100" s="60">
        <f t="shared" si="26"/>
        <v>20.3</v>
      </c>
      <c r="E100" s="60">
        <f t="shared" si="26"/>
        <v>16.5</v>
      </c>
      <c r="F100" s="60">
        <f t="shared" si="26"/>
        <v>19.899999999999999</v>
      </c>
      <c r="G100" s="60">
        <f t="shared" si="26"/>
        <v>16.100000000000001</v>
      </c>
      <c r="H100" s="60">
        <f t="shared" si="26"/>
        <v>10.1</v>
      </c>
      <c r="I100" s="60">
        <f t="shared" si="26"/>
        <v>21</v>
      </c>
      <c r="J100" s="60">
        <f t="shared" si="26"/>
        <v>10.1</v>
      </c>
      <c r="K100" s="60">
        <f t="shared" si="26"/>
        <v>10.6</v>
      </c>
      <c r="L100" s="60">
        <f t="shared" si="26"/>
        <v>15.6</v>
      </c>
      <c r="M100" s="60">
        <f t="shared" si="26"/>
        <v>20.399999999999999</v>
      </c>
      <c r="N100" s="60">
        <f t="shared" si="26"/>
        <v>24.4</v>
      </c>
      <c r="O100" s="60">
        <f t="shared" si="26"/>
        <v>57.9</v>
      </c>
      <c r="P100" s="60">
        <f t="shared" si="26"/>
        <v>50</v>
      </c>
      <c r="Q100" s="60">
        <f t="shared" si="26"/>
        <v>63.9</v>
      </c>
      <c r="R100" s="60">
        <f t="shared" si="26"/>
        <v>35.6</v>
      </c>
      <c r="S100" s="60">
        <f t="shared" si="26"/>
        <v>53</v>
      </c>
      <c r="T100" s="60">
        <f t="shared" si="26"/>
        <v>70.400000000000006</v>
      </c>
      <c r="U100" s="60">
        <f t="shared" ref="U100:V100" si="27">U84-U99</f>
        <v>43</v>
      </c>
      <c r="V100" s="60">
        <f t="shared" si="27"/>
        <v>29</v>
      </c>
      <c r="W100" s="60">
        <f t="shared" si="26"/>
        <v>17</v>
      </c>
      <c r="X100" s="60">
        <f t="shared" si="26"/>
        <v>9.4</v>
      </c>
      <c r="Y100" s="60">
        <f t="shared" si="26"/>
        <v>9.4</v>
      </c>
      <c r="Z100" s="60">
        <f t="shared" si="26"/>
        <v>9.4</v>
      </c>
      <c r="AA100" s="60">
        <v>47.2</v>
      </c>
      <c r="AB100" s="60">
        <f t="shared" si="26"/>
        <v>47.4</v>
      </c>
      <c r="AC100" s="60">
        <f t="shared" si="26"/>
        <v>48.8</v>
      </c>
      <c r="AD100" s="60">
        <f t="shared" si="26"/>
        <v>43.5</v>
      </c>
      <c r="AE100" s="60">
        <f t="shared" si="26"/>
        <v>38.200000000000003</v>
      </c>
      <c r="AF100" s="60">
        <f t="shared" si="26"/>
        <v>46.3</v>
      </c>
      <c r="AG100" s="87"/>
      <c r="AH100" s="47">
        <f t="shared" si="16"/>
        <v>70.400000000000006</v>
      </c>
      <c r="AI100" s="48">
        <f t="shared" si="17"/>
        <v>9.4</v>
      </c>
    </row>
    <row r="101" spans="1:37" x14ac:dyDescent="0.25">
      <c r="A101" s="99" t="s">
        <v>109</v>
      </c>
      <c r="B101" s="100"/>
      <c r="C101" s="100">
        <v>49.942</v>
      </c>
      <c r="D101" s="100">
        <v>49.942</v>
      </c>
      <c r="E101" s="100">
        <v>49.962000000000003</v>
      </c>
      <c r="F101" s="100">
        <v>49.904000000000003</v>
      </c>
      <c r="G101" s="100">
        <v>49.99</v>
      </c>
      <c r="H101" s="100">
        <v>49.973999999999997</v>
      </c>
      <c r="I101" s="100">
        <v>49.963000000000001</v>
      </c>
      <c r="J101" s="100">
        <v>50.003999999999998</v>
      </c>
      <c r="K101" s="100">
        <v>49.994999999999997</v>
      </c>
      <c r="L101" s="100">
        <v>49.914999999999999</v>
      </c>
      <c r="M101" s="100">
        <v>50.014000000000003</v>
      </c>
      <c r="N101" s="100">
        <v>50.036999999999999</v>
      </c>
      <c r="O101" s="100">
        <v>50.051000000000002</v>
      </c>
      <c r="P101" s="100">
        <v>50.005000000000003</v>
      </c>
      <c r="Q101" s="100">
        <v>49.991</v>
      </c>
      <c r="R101" s="100">
        <v>50.006999999999998</v>
      </c>
      <c r="S101" s="100">
        <v>50.02</v>
      </c>
      <c r="T101" s="100">
        <v>49.95</v>
      </c>
      <c r="U101" s="100">
        <v>49.98</v>
      </c>
      <c r="V101" s="100">
        <v>49.88</v>
      </c>
      <c r="W101" s="100">
        <v>50.03</v>
      </c>
      <c r="X101" s="100">
        <v>49.92</v>
      </c>
      <c r="Y101" s="100">
        <v>49.92</v>
      </c>
      <c r="Z101" s="100">
        <v>49.97</v>
      </c>
      <c r="AA101" s="100">
        <v>50.01</v>
      </c>
      <c r="AB101" s="100">
        <v>49.994</v>
      </c>
      <c r="AC101" s="100">
        <v>50.015999999999998</v>
      </c>
      <c r="AD101" s="100">
        <v>49.984999999999999</v>
      </c>
      <c r="AE101" s="100">
        <v>50.066000000000003</v>
      </c>
      <c r="AF101" s="100">
        <v>50.030999999999999</v>
      </c>
      <c r="AG101" s="101"/>
      <c r="AH101" s="47">
        <f t="shared" si="16"/>
        <v>50.066000000000003</v>
      </c>
      <c r="AI101" s="48">
        <f t="shared" si="17"/>
        <v>49.88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6"/>
        <v>0</v>
      </c>
      <c r="AI102" s="48">
        <f t="shared" si="17"/>
        <v>0</v>
      </c>
    </row>
    <row r="103" spans="1:37" x14ac:dyDescent="0.25">
      <c r="A103" s="102" t="s">
        <v>111</v>
      </c>
      <c r="B103" s="64"/>
      <c r="C103" s="64">
        <v>129</v>
      </c>
      <c r="D103" s="64">
        <v>129</v>
      </c>
      <c r="E103" s="64">
        <v>129.5</v>
      </c>
      <c r="F103" s="64"/>
      <c r="G103" s="64">
        <v>128.4</v>
      </c>
      <c r="H103" s="64">
        <v>128</v>
      </c>
      <c r="I103" s="64">
        <v>126.5</v>
      </c>
      <c r="J103" s="64">
        <v>125.1</v>
      </c>
      <c r="K103" s="64">
        <v>125.5</v>
      </c>
      <c r="L103" s="64" t="s">
        <v>271</v>
      </c>
      <c r="M103" s="64">
        <v>122.5</v>
      </c>
      <c r="N103" s="64">
        <v>122.8</v>
      </c>
      <c r="O103" s="64">
        <v>123.4</v>
      </c>
      <c r="P103" s="64">
        <v>123.4</v>
      </c>
      <c r="Q103" s="64">
        <v>124.9</v>
      </c>
      <c r="R103" s="64">
        <v>126.3</v>
      </c>
      <c r="S103" s="64">
        <v>127.7</v>
      </c>
      <c r="T103" s="64">
        <v>127.7</v>
      </c>
      <c r="U103" s="64">
        <v>127.7</v>
      </c>
      <c r="V103" s="64">
        <v>127.5</v>
      </c>
      <c r="W103" s="64">
        <v>127.8</v>
      </c>
      <c r="X103" s="64">
        <v>128.4</v>
      </c>
      <c r="Y103" s="64">
        <v>128.4</v>
      </c>
      <c r="Z103" s="64">
        <v>126.6</v>
      </c>
      <c r="AA103" s="64">
        <v>128.19999999999999</v>
      </c>
      <c r="AB103" s="64">
        <v>127.5</v>
      </c>
      <c r="AC103" s="64">
        <v>128</v>
      </c>
      <c r="AD103" s="64">
        <v>128.30000000000001</v>
      </c>
      <c r="AE103" s="64">
        <v>127.8</v>
      </c>
      <c r="AF103" s="64">
        <v>128</v>
      </c>
      <c r="AG103" s="103"/>
      <c r="AH103" s="47">
        <f t="shared" si="16"/>
        <v>129.5</v>
      </c>
      <c r="AI103" s="48">
        <f t="shared" si="17"/>
        <v>122.5</v>
      </c>
    </row>
    <row r="104" spans="1:37" x14ac:dyDescent="0.25">
      <c r="A104" s="102" t="s">
        <v>112</v>
      </c>
      <c r="B104" s="64"/>
      <c r="C104" s="64">
        <v>128.19999999999999</v>
      </c>
      <c r="D104" s="64">
        <v>128.19999999999999</v>
      </c>
      <c r="E104" s="64">
        <v>128.19999999999999</v>
      </c>
      <c r="F104" s="64">
        <v>129.4</v>
      </c>
      <c r="G104" s="64">
        <v>129.5</v>
      </c>
      <c r="H104" s="64">
        <v>130</v>
      </c>
      <c r="I104" s="64">
        <v>130.19999999999999</v>
      </c>
      <c r="J104" s="64">
        <v>125.7</v>
      </c>
      <c r="K104" s="64">
        <v>127.3</v>
      </c>
      <c r="L104" s="64">
        <v>123.1</v>
      </c>
      <c r="M104" s="64">
        <v>124.5</v>
      </c>
      <c r="N104" s="64">
        <v>125.9</v>
      </c>
      <c r="O104" s="64">
        <v>124.9</v>
      </c>
      <c r="P104" s="64">
        <v>124.9</v>
      </c>
      <c r="Q104" s="64">
        <v>128.30000000000001</v>
      </c>
      <c r="R104" s="64">
        <v>128.69999999999999</v>
      </c>
      <c r="S104" s="64">
        <v>125.9</v>
      </c>
      <c r="T104" s="64">
        <v>129.4</v>
      </c>
      <c r="U104" s="64">
        <v>129.4</v>
      </c>
      <c r="V104" s="64">
        <v>130.80000000000001</v>
      </c>
      <c r="W104" s="64">
        <v>128.69999999999999</v>
      </c>
      <c r="X104" s="64">
        <v>127.5</v>
      </c>
      <c r="Y104" s="64">
        <v>127.5</v>
      </c>
      <c r="Z104" s="64">
        <v>127.7</v>
      </c>
      <c r="AA104" s="64">
        <v>126</v>
      </c>
      <c r="AB104" s="64">
        <v>126.3</v>
      </c>
      <c r="AC104" s="64">
        <v>124.3</v>
      </c>
      <c r="AD104" s="64">
        <v>126.1</v>
      </c>
      <c r="AE104" s="64">
        <v>126.7</v>
      </c>
      <c r="AF104" s="64">
        <v>128.4</v>
      </c>
      <c r="AG104" s="103"/>
      <c r="AH104" s="47">
        <f t="shared" si="16"/>
        <v>130.80000000000001</v>
      </c>
      <c r="AI104" s="48">
        <f t="shared" si="17"/>
        <v>123.1</v>
      </c>
    </row>
    <row r="105" spans="1:37" x14ac:dyDescent="0.25">
      <c r="A105" s="104" t="s">
        <v>113</v>
      </c>
      <c r="B105" s="64"/>
      <c r="C105" s="64">
        <v>129.9</v>
      </c>
      <c r="D105" s="64">
        <v>129.9</v>
      </c>
      <c r="E105" s="64">
        <v>129.9</v>
      </c>
      <c r="F105" s="64">
        <v>130.19999999999999</v>
      </c>
      <c r="G105" s="64">
        <v>130.80000000000001</v>
      </c>
      <c r="H105" s="64">
        <v>131.19999999999999</v>
      </c>
      <c r="I105" s="64">
        <v>130.1</v>
      </c>
      <c r="J105" s="64">
        <v>125.8</v>
      </c>
      <c r="K105" s="64">
        <v>126.3</v>
      </c>
      <c r="L105" s="64">
        <v>122.1</v>
      </c>
      <c r="M105" s="64">
        <v>123.2</v>
      </c>
      <c r="N105" s="64">
        <v>126</v>
      </c>
      <c r="O105" s="64">
        <v>124.1</v>
      </c>
      <c r="P105" s="64">
        <v>124.1</v>
      </c>
      <c r="Q105" s="64">
        <v>128.80000000000001</v>
      </c>
      <c r="R105" s="64">
        <v>129.69999999999999</v>
      </c>
      <c r="S105" s="64">
        <v>127</v>
      </c>
      <c r="T105" s="64">
        <v>129.80000000000001</v>
      </c>
      <c r="U105" s="64">
        <v>129.80000000000001</v>
      </c>
      <c r="V105" s="64">
        <v>129.9</v>
      </c>
      <c r="W105" s="64">
        <v>132</v>
      </c>
      <c r="X105" s="64">
        <v>127.5</v>
      </c>
      <c r="Y105" s="64">
        <v>127.5</v>
      </c>
      <c r="Z105" s="64">
        <v>127.8</v>
      </c>
      <c r="AA105" s="64">
        <v>127</v>
      </c>
      <c r="AB105" s="64">
        <v>127.6</v>
      </c>
      <c r="AC105" s="64">
        <v>125.6</v>
      </c>
      <c r="AD105" s="64">
        <v>129</v>
      </c>
      <c r="AE105" s="64">
        <v>128.5</v>
      </c>
      <c r="AF105" s="64">
        <v>130.9</v>
      </c>
      <c r="AG105" s="103"/>
      <c r="AH105" s="47">
        <f t="shared" si="16"/>
        <v>132</v>
      </c>
      <c r="AI105" s="48">
        <f t="shared" si="17"/>
        <v>122.1</v>
      </c>
    </row>
    <row r="106" spans="1:37" x14ac:dyDescent="0.25">
      <c r="A106" s="104" t="s">
        <v>114</v>
      </c>
      <c r="B106" s="105"/>
      <c r="C106" s="105">
        <v>132.9</v>
      </c>
      <c r="D106" s="105">
        <v>132.9</v>
      </c>
      <c r="E106" s="105">
        <v>134.5</v>
      </c>
      <c r="F106" s="105">
        <v>135.6</v>
      </c>
      <c r="G106" s="105">
        <v>134.5</v>
      </c>
      <c r="H106" s="105">
        <v>133.9</v>
      </c>
      <c r="I106" s="105">
        <v>134</v>
      </c>
      <c r="J106" s="105">
        <v>132.69999999999999</v>
      </c>
      <c r="K106" s="105">
        <v>132.4</v>
      </c>
      <c r="L106" s="105">
        <v>131.19999999999999</v>
      </c>
      <c r="M106" s="105">
        <v>129.69999999999999</v>
      </c>
      <c r="N106" s="105">
        <v>128.5</v>
      </c>
      <c r="O106" s="105">
        <v>129.19999999999999</v>
      </c>
      <c r="P106" s="105">
        <v>129.19999999999999</v>
      </c>
      <c r="Q106" s="105">
        <v>130.1</v>
      </c>
      <c r="R106" s="105">
        <v>131.30000000000001</v>
      </c>
      <c r="S106" s="105">
        <v>131.30000000000001</v>
      </c>
      <c r="T106" s="105">
        <v>132.9</v>
      </c>
      <c r="U106" s="105">
        <v>132.9</v>
      </c>
      <c r="V106" s="105">
        <v>135</v>
      </c>
      <c r="W106" s="105">
        <v>131.69999999999999</v>
      </c>
      <c r="X106" s="105">
        <v>132.19999999999999</v>
      </c>
      <c r="Y106" s="105">
        <v>132.19999999999999</v>
      </c>
      <c r="Z106" s="105">
        <v>132.30000000000001</v>
      </c>
      <c r="AA106" s="105">
        <v>128.9</v>
      </c>
      <c r="AB106" s="105">
        <v>127.5</v>
      </c>
      <c r="AC106" s="105">
        <v>130.5</v>
      </c>
      <c r="AD106" s="105">
        <v>131.80000000000001</v>
      </c>
      <c r="AE106" s="105">
        <v>131.1</v>
      </c>
      <c r="AF106" s="105">
        <v>132.30000000000001</v>
      </c>
      <c r="AG106" s="106"/>
      <c r="AH106" s="47">
        <f t="shared" si="16"/>
        <v>135.6</v>
      </c>
      <c r="AI106" s="48">
        <f t="shared" si="17"/>
        <v>127.5</v>
      </c>
    </row>
    <row r="107" spans="1:37" x14ac:dyDescent="0.25">
      <c r="A107" s="102" t="s">
        <v>115</v>
      </c>
      <c r="B107" s="64"/>
      <c r="C107" s="64">
        <v>128</v>
      </c>
      <c r="D107" s="64">
        <v>128</v>
      </c>
      <c r="E107" s="64">
        <v>127.3</v>
      </c>
      <c r="F107" s="64">
        <v>135.30000000000001</v>
      </c>
      <c r="G107" s="64">
        <v>133.6</v>
      </c>
      <c r="H107" s="64">
        <v>132.9</v>
      </c>
      <c r="I107" s="64">
        <v>133.80000000000001</v>
      </c>
      <c r="J107" s="64">
        <v>133.6</v>
      </c>
      <c r="K107" s="64">
        <v>137.6</v>
      </c>
      <c r="L107" s="64">
        <v>128</v>
      </c>
      <c r="M107" s="64">
        <v>123</v>
      </c>
      <c r="N107" s="64">
        <v>125</v>
      </c>
      <c r="O107" s="64">
        <v>128.80000000000001</v>
      </c>
      <c r="P107" s="64">
        <v>128.80000000000001</v>
      </c>
      <c r="Q107" s="64">
        <v>123.6</v>
      </c>
      <c r="R107" s="64">
        <v>127.9</v>
      </c>
      <c r="S107" s="64">
        <v>127.7</v>
      </c>
      <c r="T107" s="64">
        <v>128</v>
      </c>
      <c r="U107" s="64">
        <v>128</v>
      </c>
      <c r="V107" s="64">
        <v>128</v>
      </c>
      <c r="W107" s="64">
        <v>133.6</v>
      </c>
      <c r="X107" s="64">
        <v>132.19999999999999</v>
      </c>
      <c r="Y107" s="64">
        <v>132.19999999999999</v>
      </c>
      <c r="Z107" s="64">
        <v>125.6</v>
      </c>
      <c r="AA107" s="64">
        <v>128.30000000000001</v>
      </c>
      <c r="AB107" s="64">
        <v>126.6</v>
      </c>
      <c r="AC107" s="64">
        <v>123.7</v>
      </c>
      <c r="AD107" s="64">
        <v>125.1</v>
      </c>
      <c r="AE107" s="64">
        <v>129</v>
      </c>
      <c r="AF107" s="64">
        <v>127.3</v>
      </c>
      <c r="AG107" s="103"/>
      <c r="AH107" s="47">
        <f t="shared" si="16"/>
        <v>137.6</v>
      </c>
      <c r="AI107" s="48">
        <f t="shared" si="17"/>
        <v>123</v>
      </c>
    </row>
    <row r="108" spans="1:37" ht="15.75" thickBot="1" x14ac:dyDescent="0.3">
      <c r="A108" s="102" t="s">
        <v>116</v>
      </c>
      <c r="B108" s="91"/>
      <c r="C108" s="91">
        <v>64.599999999999994</v>
      </c>
      <c r="D108" s="91">
        <v>64.599999999999994</v>
      </c>
      <c r="E108" s="91">
        <v>65</v>
      </c>
      <c r="F108" s="91">
        <v>65</v>
      </c>
      <c r="G108" s="91">
        <v>64.400000000000006</v>
      </c>
      <c r="H108" s="91">
        <v>64.3</v>
      </c>
      <c r="I108" s="91">
        <v>63.3</v>
      </c>
      <c r="J108" s="91">
        <v>62.9</v>
      </c>
      <c r="K108" s="91">
        <v>63.2</v>
      </c>
      <c r="L108" s="91">
        <v>62.5</v>
      </c>
      <c r="M108" s="91">
        <v>62.2</v>
      </c>
      <c r="N108" s="91">
        <v>61.5</v>
      </c>
      <c r="O108" s="91">
        <v>61.9</v>
      </c>
      <c r="P108" s="91">
        <v>61.9</v>
      </c>
      <c r="Q108" s="91">
        <v>62.4</v>
      </c>
      <c r="R108" s="91">
        <v>63</v>
      </c>
      <c r="S108" s="91">
        <v>63.8</v>
      </c>
      <c r="T108" s="91">
        <v>63.7</v>
      </c>
      <c r="U108" s="91">
        <v>63.7</v>
      </c>
      <c r="V108" s="91">
        <v>63.7</v>
      </c>
      <c r="W108" s="91">
        <v>63.8</v>
      </c>
      <c r="X108" s="91">
        <v>64.3</v>
      </c>
      <c r="Y108" s="91">
        <v>64.3</v>
      </c>
      <c r="Z108" s="91">
        <v>63.5</v>
      </c>
      <c r="AA108" s="91">
        <v>63.7</v>
      </c>
      <c r="AB108" s="91">
        <v>64</v>
      </c>
      <c r="AC108" s="91">
        <v>64.2</v>
      </c>
      <c r="AD108" s="91">
        <v>64.3</v>
      </c>
      <c r="AE108" s="91">
        <v>64.3</v>
      </c>
      <c r="AF108" s="91">
        <v>64.3</v>
      </c>
      <c r="AG108" s="107"/>
      <c r="AH108" s="47">
        <f t="shared" si="16"/>
        <v>65</v>
      </c>
      <c r="AI108" s="48">
        <f t="shared" si="17"/>
        <v>61.5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 t="s">
        <v>272</v>
      </c>
      <c r="AB109" s="91"/>
      <c r="AC109" s="91"/>
      <c r="AD109" s="91"/>
      <c r="AE109" s="91"/>
      <c r="AF109" s="91"/>
      <c r="AG109" s="107"/>
      <c r="AH109" s="47">
        <f t="shared" si="16"/>
        <v>0</v>
      </c>
      <c r="AI109" s="48">
        <f t="shared" si="17"/>
        <v>0</v>
      </c>
    </row>
    <row r="110" spans="1:37" ht="15.75" thickBot="1" x14ac:dyDescent="0.3">
      <c r="A110" s="109" t="s">
        <v>118</v>
      </c>
      <c r="B110" s="110">
        <f t="shared" ref="B110:O110" si="28">SUM(B20,B26,B29:B30,B58,B60:B61,B63,B65,B111:B115,B138,B144,B150,B159,B161,B173,B180,B183:B184,B191,B193,B195,B199:B201,B203:B205,B210,B216:B217,B219:B221,B229,B234)</f>
        <v>0</v>
      </c>
      <c r="C110" s="110">
        <f t="shared" si="28"/>
        <v>16.740000000000013</v>
      </c>
      <c r="D110" s="110">
        <f t="shared" si="28"/>
        <v>16.740000000000013</v>
      </c>
      <c r="E110" s="110">
        <f t="shared" si="28"/>
        <v>20.840000000000007</v>
      </c>
      <c r="F110" s="110">
        <f t="shared" si="28"/>
        <v>17.540000000000017</v>
      </c>
      <c r="G110" s="110">
        <f t="shared" si="28"/>
        <v>25.640000000000011</v>
      </c>
      <c r="H110" s="110">
        <f t="shared" si="28"/>
        <v>50.139999999999993</v>
      </c>
      <c r="I110" s="110">
        <f t="shared" si="28"/>
        <v>82.640000000000029</v>
      </c>
      <c r="J110" s="110">
        <f t="shared" si="28"/>
        <v>125.74000000000002</v>
      </c>
      <c r="K110" s="110">
        <f t="shared" si="28"/>
        <v>149.23999999999998</v>
      </c>
      <c r="L110" s="110">
        <f t="shared" si="28"/>
        <v>173.04000000000002</v>
      </c>
      <c r="M110" s="110">
        <f t="shared" si="28"/>
        <v>171.14000000000001</v>
      </c>
      <c r="N110" s="110">
        <f t="shared" si="28"/>
        <v>170.04000000000002</v>
      </c>
      <c r="O110" s="110">
        <f t="shared" si="28"/>
        <v>207.84</v>
      </c>
      <c r="P110" s="110">
        <v>42</v>
      </c>
      <c r="Q110" s="110">
        <f t="shared" ref="Q110:AF110" si="29">SUM(Q20,Q26,Q29:Q30,Q58,Q60:Q61,Q63,Q65,Q111:Q115,Q138,Q144,Q150,Q159,Q161,Q173,Q180,Q183:Q184,Q191,Q193,Q195,Q199:Q201,Q203:Q205,Q210,Q216:Q217,Q219:Q221,Q229,Q234)</f>
        <v>197.00000000000003</v>
      </c>
      <c r="R110" s="110">
        <f t="shared" si="29"/>
        <v>207.8</v>
      </c>
      <c r="S110" s="110">
        <f t="shared" si="29"/>
        <v>175.4</v>
      </c>
      <c r="T110" s="110">
        <f t="shared" si="29"/>
        <v>151.70000000000002</v>
      </c>
      <c r="U110" s="110">
        <f t="shared" ref="U110:V110" si="30">SUM(U20,U26,U29:U30,U58,U60:U61,U63,U65,U111:U115,U138,U144,U150,U159,U161,U173,U180,U183:U184,U191,U193,U195,U199:U201,U203:U205,U210,U216:U217,U219:U221,U229,U234)</f>
        <v>144</v>
      </c>
      <c r="V110" s="110">
        <f t="shared" si="30"/>
        <v>175.70000000000002</v>
      </c>
      <c r="W110" s="110">
        <f t="shared" si="29"/>
        <v>147.49999999999997</v>
      </c>
      <c r="X110" s="110">
        <f t="shared" si="29"/>
        <v>180.79999999999998</v>
      </c>
      <c r="Y110" s="110">
        <f t="shared" si="29"/>
        <v>217.20000000000002</v>
      </c>
      <c r="Z110" s="110">
        <f t="shared" si="29"/>
        <v>239.70000000000002</v>
      </c>
      <c r="AA110" s="110">
        <v>253.96750000000003</v>
      </c>
      <c r="AB110" s="110">
        <f t="shared" si="29"/>
        <v>204.7</v>
      </c>
      <c r="AC110" s="110">
        <f t="shared" si="29"/>
        <v>170.79999999999995</v>
      </c>
      <c r="AD110" s="110"/>
      <c r="AE110" s="110">
        <f t="shared" si="29"/>
        <v>103.4</v>
      </c>
      <c r="AF110" s="110">
        <f t="shared" si="29"/>
        <v>62.90000000000002</v>
      </c>
      <c r="AG110" s="111"/>
      <c r="AH110" s="47">
        <f t="shared" si="16"/>
        <v>253.96750000000003</v>
      </c>
      <c r="AI110" s="48">
        <f t="shared" si="17"/>
        <v>0</v>
      </c>
    </row>
    <row r="111" spans="1:37" x14ac:dyDescent="0.25">
      <c r="A111" s="99" t="s">
        <v>119</v>
      </c>
      <c r="B111" s="112"/>
      <c r="C111" s="112">
        <v>25.9</v>
      </c>
      <c r="D111" s="112">
        <v>25.9</v>
      </c>
      <c r="E111" s="112">
        <v>26.9</v>
      </c>
      <c r="F111" s="112">
        <v>27.3</v>
      </c>
      <c r="G111" s="112">
        <v>27.6</v>
      </c>
      <c r="H111" s="112">
        <v>35</v>
      </c>
      <c r="I111" s="112">
        <v>43.4</v>
      </c>
      <c r="J111" s="112">
        <v>54</v>
      </c>
      <c r="K111" s="112">
        <v>62.7</v>
      </c>
      <c r="L111" s="112">
        <v>59.5</v>
      </c>
      <c r="M111" s="112">
        <v>65</v>
      </c>
      <c r="N111" s="112">
        <v>64.7</v>
      </c>
      <c r="O111" s="112">
        <v>74.599999999999994</v>
      </c>
      <c r="P111" s="112">
        <v>42.8</v>
      </c>
      <c r="Q111" s="112">
        <v>45.8</v>
      </c>
      <c r="R111" s="112">
        <v>50</v>
      </c>
      <c r="S111" s="112">
        <v>32.1</v>
      </c>
      <c r="T111" s="112">
        <v>32</v>
      </c>
      <c r="U111" s="112">
        <v>32</v>
      </c>
      <c r="V111" s="112">
        <v>49.8</v>
      </c>
      <c r="W111" s="112">
        <v>55.8</v>
      </c>
      <c r="X111" s="112">
        <v>51.6</v>
      </c>
      <c r="Y111" s="112">
        <v>60</v>
      </c>
      <c r="Z111" s="112">
        <v>64.5</v>
      </c>
      <c r="AA111" s="112">
        <v>52.5</v>
      </c>
      <c r="AB111" s="112">
        <v>49.6</v>
      </c>
      <c r="AC111" s="112">
        <v>49.8</v>
      </c>
      <c r="AD111" s="112">
        <v>41.7</v>
      </c>
      <c r="AE111" s="112">
        <v>53.9</v>
      </c>
      <c r="AF111" s="112">
        <v>45.9</v>
      </c>
      <c r="AG111" s="113">
        <v>75</v>
      </c>
      <c r="AH111" s="47">
        <f t="shared" si="16"/>
        <v>74.599999999999994</v>
      </c>
      <c r="AI111" s="48">
        <f t="shared" si="17"/>
        <v>25.9</v>
      </c>
    </row>
    <row r="112" spans="1:37" x14ac:dyDescent="0.25">
      <c r="A112" s="102" t="s">
        <v>120</v>
      </c>
      <c r="B112" s="114"/>
      <c r="C112" s="114">
        <v>38.799999999999997</v>
      </c>
      <c r="D112" s="114">
        <v>38.799999999999997</v>
      </c>
      <c r="E112" s="114">
        <v>40.200000000000003</v>
      </c>
      <c r="F112" s="114">
        <v>39.4</v>
      </c>
      <c r="G112" s="114">
        <v>41.3</v>
      </c>
      <c r="H112" s="114">
        <v>50.9</v>
      </c>
      <c r="I112" s="114">
        <v>63.1</v>
      </c>
      <c r="J112" s="114">
        <v>75.900000000000006</v>
      </c>
      <c r="K112" s="114">
        <v>90.9</v>
      </c>
      <c r="L112" s="114">
        <v>101.2</v>
      </c>
      <c r="M112" s="114">
        <v>95.5</v>
      </c>
      <c r="N112" s="114">
        <v>97.4</v>
      </c>
      <c r="O112" s="114">
        <v>111.5</v>
      </c>
      <c r="P112" s="114">
        <v>59.3</v>
      </c>
      <c r="Q112" s="114">
        <v>64.3</v>
      </c>
      <c r="R112" s="114">
        <v>75.3</v>
      </c>
      <c r="S112" s="114">
        <v>47</v>
      </c>
      <c r="T112" s="114">
        <v>47.1</v>
      </c>
      <c r="U112" s="114">
        <v>47.1</v>
      </c>
      <c r="V112" s="114">
        <v>72.900000000000006</v>
      </c>
      <c r="W112" s="114">
        <v>80.400000000000006</v>
      </c>
      <c r="X112" s="114">
        <v>72.2</v>
      </c>
      <c r="Y112" s="114">
        <v>85</v>
      </c>
      <c r="Z112" s="114">
        <v>93.8</v>
      </c>
      <c r="AA112" s="114">
        <v>77.400000000000006</v>
      </c>
      <c r="AB112" s="114">
        <v>76.400000000000006</v>
      </c>
      <c r="AC112" s="114">
        <v>75.7</v>
      </c>
      <c r="AD112" s="114">
        <v>63.3</v>
      </c>
      <c r="AE112" s="114">
        <v>81.099999999999994</v>
      </c>
      <c r="AF112" s="114">
        <v>66.400000000000006</v>
      </c>
      <c r="AG112" s="113">
        <v>240</v>
      </c>
      <c r="AH112" s="47">
        <f t="shared" si="16"/>
        <v>111.5</v>
      </c>
      <c r="AI112" s="48">
        <f t="shared" si="17"/>
        <v>38.799999999999997</v>
      </c>
    </row>
    <row r="113" spans="1:37" x14ac:dyDescent="0.25">
      <c r="A113" s="102" t="s">
        <v>121</v>
      </c>
      <c r="B113" s="114"/>
      <c r="C113" s="114">
        <f>-84.8-89.5</f>
        <v>-174.3</v>
      </c>
      <c r="D113" s="114">
        <f>-84.8-89.5</f>
        <v>-174.3</v>
      </c>
      <c r="E113" s="114">
        <f>-84.5-90.6</f>
        <v>-175.1</v>
      </c>
      <c r="F113" s="114">
        <f>-86.4-92</f>
        <v>-178.4</v>
      </c>
      <c r="G113" s="114">
        <f>-88.3-94.2</f>
        <v>-182.5</v>
      </c>
      <c r="H113" s="114">
        <f>-87.6-92.2</f>
        <v>-179.8</v>
      </c>
      <c r="I113" s="114">
        <f>-83.1-89.4</f>
        <v>-172.5</v>
      </c>
      <c r="J113" s="114">
        <f>-78.3-84.2</f>
        <v>-162.5</v>
      </c>
      <c r="K113" s="114">
        <f>-82.6-89.9</f>
        <v>-172.5</v>
      </c>
      <c r="L113" s="114">
        <f>-54.3-58.4</f>
        <v>-112.69999999999999</v>
      </c>
      <c r="M113" s="114">
        <v>-115</v>
      </c>
      <c r="N113" s="114">
        <v>-120</v>
      </c>
      <c r="O113" s="114">
        <v>-150</v>
      </c>
      <c r="P113" s="114">
        <v>-108</v>
      </c>
      <c r="Q113" s="114">
        <v>-105</v>
      </c>
      <c r="R113" s="114">
        <v>-114</v>
      </c>
      <c r="S113" s="114">
        <f>-42-40.2</f>
        <v>-82.2</v>
      </c>
      <c r="T113" s="114">
        <f>-50.1-46.6</f>
        <v>-96.7</v>
      </c>
      <c r="U113" s="114">
        <f t="shared" ref="U113" si="31">-50.1-46.6</f>
        <v>-96.7</v>
      </c>
      <c r="V113" s="114">
        <f>-41-44.5</f>
        <v>-85.5</v>
      </c>
      <c r="W113" s="114">
        <f>-58.7-64.6</f>
        <v>-123.3</v>
      </c>
      <c r="X113" s="114">
        <f>-48.1-52.2</f>
        <v>-100.30000000000001</v>
      </c>
      <c r="Y113" s="114">
        <v>-110</v>
      </c>
      <c r="Z113" s="114">
        <f>-54.7-58.8</f>
        <v>-113.5</v>
      </c>
      <c r="AA113" s="114">
        <v>-122.69999999999999</v>
      </c>
      <c r="AB113" s="114">
        <f>-56.2-62</f>
        <v>-118.2</v>
      </c>
      <c r="AC113" s="114">
        <v>-150.30000000000001</v>
      </c>
      <c r="AD113" s="114">
        <v>-161</v>
      </c>
      <c r="AE113" s="114">
        <v>-182</v>
      </c>
      <c r="AF113" s="114">
        <v>-180</v>
      </c>
      <c r="AG113" s="113">
        <v>240</v>
      </c>
      <c r="AH113" s="47">
        <f t="shared" si="16"/>
        <v>-82.2</v>
      </c>
      <c r="AI113" s="48">
        <f t="shared" si="17"/>
        <v>-182.5</v>
      </c>
    </row>
    <row r="114" spans="1:37" x14ac:dyDescent="0.25">
      <c r="A114" s="102" t="s">
        <v>122</v>
      </c>
      <c r="B114" s="114"/>
      <c r="C114" s="114">
        <v>-19.5</v>
      </c>
      <c r="D114" s="114">
        <v>-19.5</v>
      </c>
      <c r="E114" s="114">
        <v>-17</v>
      </c>
      <c r="F114" s="114">
        <v>-16.600000000000001</v>
      </c>
      <c r="G114" s="114">
        <v>-17.7</v>
      </c>
      <c r="H114" s="114">
        <v>-17</v>
      </c>
      <c r="I114" s="114">
        <v>-14.2</v>
      </c>
      <c r="J114" s="114">
        <v>-11.8</v>
      </c>
      <c r="K114" s="114">
        <v>-8.3000000000000007</v>
      </c>
      <c r="L114" s="114">
        <v>-2.6</v>
      </c>
      <c r="M114" s="114">
        <v>-0.5</v>
      </c>
      <c r="N114" s="114">
        <v>-1.5</v>
      </c>
      <c r="O114" s="114">
        <v>-2.1</v>
      </c>
      <c r="P114" s="114">
        <v>9.1</v>
      </c>
      <c r="Q114" s="114">
        <v>7.6</v>
      </c>
      <c r="R114" s="114">
        <v>10.1</v>
      </c>
      <c r="S114" s="114">
        <v>12.4</v>
      </c>
      <c r="T114" s="114">
        <v>6.7</v>
      </c>
      <c r="U114" s="114">
        <v>6.7</v>
      </c>
      <c r="V114" s="114">
        <v>5.5</v>
      </c>
      <c r="W114" s="114">
        <v>-2.2000000000000002</v>
      </c>
      <c r="X114" s="114">
        <v>3.1</v>
      </c>
      <c r="Y114" s="114">
        <v>3.1</v>
      </c>
      <c r="Z114" s="114">
        <v>6.4</v>
      </c>
      <c r="AA114" s="114">
        <v>23.7</v>
      </c>
      <c r="AB114" s="114">
        <v>12</v>
      </c>
      <c r="AC114" s="114">
        <v>10.6</v>
      </c>
      <c r="AD114" s="114">
        <v>-3.9</v>
      </c>
      <c r="AE114" s="114">
        <v>-14.4</v>
      </c>
      <c r="AF114" s="114">
        <v>-14</v>
      </c>
      <c r="AG114" s="113">
        <v>60</v>
      </c>
      <c r="AH114" s="47">
        <f t="shared" si="16"/>
        <v>23.7</v>
      </c>
      <c r="AI114" s="48">
        <f t="shared" si="17"/>
        <v>-19.5</v>
      </c>
    </row>
    <row r="115" spans="1:37" x14ac:dyDescent="0.25">
      <c r="A115" s="115" t="s">
        <v>123</v>
      </c>
      <c r="B115" s="116"/>
      <c r="C115" s="116">
        <v>0</v>
      </c>
      <c r="D115" s="116">
        <v>0</v>
      </c>
      <c r="E115" s="116">
        <v>0</v>
      </c>
      <c r="F115" s="116">
        <v>0</v>
      </c>
      <c r="G115" s="116">
        <v>11.1</v>
      </c>
      <c r="H115" s="116">
        <v>10.6</v>
      </c>
      <c r="I115" s="116">
        <v>10.5</v>
      </c>
      <c r="J115" s="116">
        <v>20</v>
      </c>
      <c r="K115" s="116">
        <v>20.7</v>
      </c>
      <c r="L115" s="116">
        <v>17.600000000000001</v>
      </c>
      <c r="M115" s="116">
        <v>16.100000000000001</v>
      </c>
      <c r="N115" s="116">
        <v>15.3</v>
      </c>
      <c r="O115" s="116">
        <v>6.7</v>
      </c>
      <c r="P115" s="116">
        <v>20.399999999999999</v>
      </c>
      <c r="Q115" s="116">
        <v>18.8</v>
      </c>
      <c r="R115" s="116">
        <v>20.9</v>
      </c>
      <c r="S115" s="116">
        <v>20.7</v>
      </c>
      <c r="T115" s="116">
        <v>20.8</v>
      </c>
      <c r="U115" s="116">
        <v>20.8</v>
      </c>
      <c r="V115" s="116">
        <v>0</v>
      </c>
      <c r="W115" s="116">
        <v>22.2</v>
      </c>
      <c r="X115" s="116">
        <v>21.8</v>
      </c>
      <c r="Y115" s="116">
        <v>21.8</v>
      </c>
      <c r="Z115" s="116">
        <v>21.2</v>
      </c>
      <c r="AA115" s="116">
        <v>19.600000000000001</v>
      </c>
      <c r="AB115" s="116">
        <v>19.5</v>
      </c>
      <c r="AC115" s="116">
        <v>19.600000000000001</v>
      </c>
      <c r="AD115" s="116">
        <v>19.899999999999999</v>
      </c>
      <c r="AE115" s="116">
        <v>10</v>
      </c>
      <c r="AF115" s="116">
        <v>10.8</v>
      </c>
      <c r="AG115" s="117">
        <v>120</v>
      </c>
      <c r="AH115" s="47">
        <f t="shared" si="16"/>
        <v>22.2</v>
      </c>
      <c r="AI115" s="48">
        <f t="shared" si="17"/>
        <v>0</v>
      </c>
    </row>
    <row r="116" spans="1:37" x14ac:dyDescent="0.25">
      <c r="A116" s="115" t="s">
        <v>124</v>
      </c>
      <c r="B116" s="116"/>
      <c r="C116" s="116">
        <v>50.6</v>
      </c>
      <c r="D116" s="116">
        <v>50.6</v>
      </c>
      <c r="E116" s="116">
        <v>57.1</v>
      </c>
      <c r="F116" s="116">
        <v>46.4</v>
      </c>
      <c r="G116" s="116">
        <v>52</v>
      </c>
      <c r="H116" s="116">
        <v>46.1</v>
      </c>
      <c r="I116" s="116">
        <v>49.6</v>
      </c>
      <c r="J116" s="116">
        <v>60.3</v>
      </c>
      <c r="K116" s="116">
        <v>57.8</v>
      </c>
      <c r="L116" s="116">
        <v>76.900000000000006</v>
      </c>
      <c r="M116" s="116">
        <v>77.2</v>
      </c>
      <c r="N116" s="116">
        <v>78.8</v>
      </c>
      <c r="O116" s="116">
        <v>50.4</v>
      </c>
      <c r="P116" s="116">
        <v>82.4</v>
      </c>
      <c r="Q116" s="116">
        <v>83.5</v>
      </c>
      <c r="R116" s="116">
        <v>40.6</v>
      </c>
      <c r="S116" s="116">
        <v>74.2</v>
      </c>
      <c r="T116" s="116">
        <v>65.2</v>
      </c>
      <c r="U116" s="116">
        <v>65.2</v>
      </c>
      <c r="V116" s="116">
        <v>55.5</v>
      </c>
      <c r="W116" s="116">
        <v>34.4</v>
      </c>
      <c r="X116" s="116">
        <v>47.3</v>
      </c>
      <c r="Y116" s="116">
        <v>60</v>
      </c>
      <c r="Z116" s="116">
        <v>56.4</v>
      </c>
      <c r="AA116" s="116">
        <v>53.3</v>
      </c>
      <c r="AB116" s="116">
        <v>56.8</v>
      </c>
      <c r="AC116" s="116">
        <v>55.7</v>
      </c>
      <c r="AD116" s="116">
        <v>50.3</v>
      </c>
      <c r="AE116" s="116">
        <v>33</v>
      </c>
      <c r="AF116" s="116">
        <v>59.2</v>
      </c>
      <c r="AG116" s="117"/>
      <c r="AH116" s="47">
        <f t="shared" si="16"/>
        <v>83.5</v>
      </c>
      <c r="AI116" s="48">
        <f t="shared" si="17"/>
        <v>33</v>
      </c>
    </row>
    <row r="117" spans="1:37" x14ac:dyDescent="0.25">
      <c r="A117" s="115" t="s">
        <v>125</v>
      </c>
      <c r="B117" s="116"/>
      <c r="C117" s="116">
        <v>-7.9</v>
      </c>
      <c r="D117" s="116">
        <v>-7.9</v>
      </c>
      <c r="E117" s="116">
        <v>-13.8</v>
      </c>
      <c r="F117" s="116">
        <v>-13.2</v>
      </c>
      <c r="G117" s="116">
        <v>-11.9</v>
      </c>
      <c r="H117" s="116">
        <v>-10.5</v>
      </c>
      <c r="I117" s="116">
        <v>-4.7</v>
      </c>
      <c r="J117" s="116">
        <v>3.8</v>
      </c>
      <c r="K117" s="116">
        <v>10.199999999999999</v>
      </c>
      <c r="L117" s="116">
        <v>8.6999999999999993</v>
      </c>
      <c r="M117" s="116">
        <v>3.4</v>
      </c>
      <c r="N117" s="116">
        <v>1.6</v>
      </c>
      <c r="O117" s="116">
        <v>15.8</v>
      </c>
      <c r="P117" s="116">
        <v>11.2</v>
      </c>
      <c r="Q117" s="116">
        <v>9.3000000000000007</v>
      </c>
      <c r="R117" s="116">
        <v>12.3</v>
      </c>
      <c r="S117" s="116">
        <v>4.5</v>
      </c>
      <c r="T117" s="116">
        <v>4.9000000000000004</v>
      </c>
      <c r="U117" s="116">
        <v>4.9000000000000004</v>
      </c>
      <c r="V117" s="116">
        <v>6</v>
      </c>
      <c r="W117" s="116">
        <v>13.8</v>
      </c>
      <c r="X117" s="116">
        <v>6.5</v>
      </c>
      <c r="Y117" s="116">
        <v>4.5</v>
      </c>
      <c r="Z117" s="116">
        <v>0.8</v>
      </c>
      <c r="AA117" s="116">
        <v>-3.9</v>
      </c>
      <c r="AB117" s="116">
        <v>-9.5</v>
      </c>
      <c r="AC117" s="116">
        <v>-10.4</v>
      </c>
      <c r="AD117" s="116">
        <v>-13.5</v>
      </c>
      <c r="AE117" s="116">
        <v>-3.5</v>
      </c>
      <c r="AF117" s="116">
        <v>1.9</v>
      </c>
      <c r="AG117" s="118"/>
      <c r="AH117" s="47">
        <f t="shared" si="16"/>
        <v>15.8</v>
      </c>
      <c r="AI117" s="48">
        <f t="shared" si="17"/>
        <v>-13.8</v>
      </c>
    </row>
    <row r="118" spans="1:37" x14ac:dyDescent="0.25">
      <c r="A118" s="119" t="s">
        <v>126</v>
      </c>
      <c r="B118" s="105"/>
      <c r="C118" s="105">
        <v>24.2</v>
      </c>
      <c r="D118" s="105">
        <v>24.2</v>
      </c>
      <c r="E118" s="105">
        <v>25.1</v>
      </c>
      <c r="F118" s="105">
        <v>24.5</v>
      </c>
      <c r="G118" s="105">
        <v>25.3</v>
      </c>
      <c r="H118" s="105">
        <v>25.9</v>
      </c>
      <c r="I118" s="105">
        <v>21.3</v>
      </c>
      <c r="J118" s="105">
        <v>17.2</v>
      </c>
      <c r="K118" s="105">
        <v>14.7</v>
      </c>
      <c r="L118" s="105">
        <v>12.9</v>
      </c>
      <c r="M118" s="105">
        <v>6.5</v>
      </c>
      <c r="N118" s="105">
        <v>5.4</v>
      </c>
      <c r="O118" s="105">
        <v>10.9</v>
      </c>
      <c r="P118" s="105">
        <v>22.7</v>
      </c>
      <c r="Q118" s="105">
        <v>29.6</v>
      </c>
      <c r="R118" s="105">
        <v>21.2</v>
      </c>
      <c r="S118" s="105">
        <v>27</v>
      </c>
      <c r="T118" s="105">
        <v>25.2</v>
      </c>
      <c r="U118" s="105">
        <v>25.2</v>
      </c>
      <c r="V118" s="105">
        <v>26.5</v>
      </c>
      <c r="W118" s="105"/>
      <c r="X118" s="105"/>
      <c r="Y118" s="105"/>
      <c r="Z118" s="105">
        <v>21</v>
      </c>
      <c r="AA118" s="105">
        <v>-4.5</v>
      </c>
      <c r="AB118" s="105">
        <v>17.5</v>
      </c>
      <c r="AC118" s="105">
        <v>18.8</v>
      </c>
      <c r="AD118" s="105">
        <v>22.7</v>
      </c>
      <c r="AE118" s="105">
        <v>22.6</v>
      </c>
      <c r="AF118" s="105">
        <v>29.2</v>
      </c>
      <c r="AG118" s="118"/>
      <c r="AH118" s="47">
        <f t="shared" si="16"/>
        <v>29.6</v>
      </c>
      <c r="AI118" s="48">
        <f t="shared" si="17"/>
        <v>-4.5</v>
      </c>
    </row>
    <row r="119" spans="1:37" x14ac:dyDescent="0.25">
      <c r="A119" s="120" t="s">
        <v>127</v>
      </c>
      <c r="B119" s="105"/>
      <c r="C119" s="105">
        <v>94</v>
      </c>
      <c r="D119" s="105">
        <v>94</v>
      </c>
      <c r="E119" s="105">
        <v>89.6</v>
      </c>
      <c r="F119" s="105">
        <v>90</v>
      </c>
      <c r="G119" s="105">
        <v>95.3</v>
      </c>
      <c r="H119" s="105">
        <v>91.9</v>
      </c>
      <c r="I119" s="105">
        <v>89</v>
      </c>
      <c r="J119" s="105">
        <v>80</v>
      </c>
      <c r="K119" s="105">
        <v>86.3</v>
      </c>
      <c r="L119" s="105">
        <v>55.1</v>
      </c>
      <c r="M119" s="105">
        <v>57</v>
      </c>
      <c r="N119" s="105">
        <v>52.8</v>
      </c>
      <c r="O119" s="105">
        <v>76.3</v>
      </c>
      <c r="P119" s="105">
        <v>75.3</v>
      </c>
      <c r="Q119" s="105">
        <v>85.9</v>
      </c>
      <c r="R119" s="105">
        <v>95.6</v>
      </c>
      <c r="S119" s="105">
        <v>0</v>
      </c>
      <c r="T119" s="105">
        <v>0</v>
      </c>
      <c r="U119" s="105">
        <v>0</v>
      </c>
      <c r="V119" s="105">
        <v>0</v>
      </c>
      <c r="W119" s="105">
        <v>0</v>
      </c>
      <c r="X119" s="105">
        <v>43.3</v>
      </c>
      <c r="Y119" s="105">
        <v>44</v>
      </c>
      <c r="Z119" s="105">
        <v>48.7</v>
      </c>
      <c r="AA119" s="105">
        <v>63.4</v>
      </c>
      <c r="AB119" s="105">
        <v>65.900000000000006</v>
      </c>
      <c r="AC119" s="105">
        <v>75.5</v>
      </c>
      <c r="AD119" s="105">
        <v>79.8</v>
      </c>
      <c r="AE119" s="105">
        <v>89.5</v>
      </c>
      <c r="AF119" s="105">
        <v>93.6</v>
      </c>
      <c r="AG119" s="118"/>
      <c r="AH119" s="47">
        <f t="shared" si="16"/>
        <v>95.6</v>
      </c>
      <c r="AI119" s="48">
        <f t="shared" si="17"/>
        <v>0</v>
      </c>
    </row>
    <row r="120" spans="1:37" ht="15.75" thickBot="1" x14ac:dyDescent="0.3">
      <c r="A120" s="119" t="s">
        <v>128</v>
      </c>
      <c r="B120" s="105"/>
      <c r="C120" s="105">
        <v>49.7</v>
      </c>
      <c r="D120" s="105">
        <v>49.7</v>
      </c>
      <c r="E120" s="105">
        <v>50</v>
      </c>
      <c r="F120" s="105">
        <v>46.6</v>
      </c>
      <c r="G120" s="105">
        <v>45.9</v>
      </c>
      <c r="H120" s="105">
        <v>37.4</v>
      </c>
      <c r="I120" s="105">
        <v>30.7</v>
      </c>
      <c r="J120" s="105">
        <v>35.9</v>
      </c>
      <c r="K120" s="105">
        <v>41.5</v>
      </c>
      <c r="L120" s="105">
        <v>55.8</v>
      </c>
      <c r="M120" s="105">
        <v>51.8</v>
      </c>
      <c r="N120" s="105">
        <v>52.8</v>
      </c>
      <c r="O120" s="105">
        <v>54.1</v>
      </c>
      <c r="P120" s="105">
        <v>43.2</v>
      </c>
      <c r="Q120" s="105">
        <v>35.799999999999997</v>
      </c>
      <c r="R120" s="105">
        <v>41.2</v>
      </c>
      <c r="S120" s="105">
        <v>36.9</v>
      </c>
      <c r="T120" s="105">
        <v>36.1</v>
      </c>
      <c r="U120" s="105">
        <v>36.1</v>
      </c>
      <c r="V120" s="105">
        <v>24.8</v>
      </c>
      <c r="W120" s="105">
        <v>8.1</v>
      </c>
      <c r="X120" s="105">
        <v>22.7</v>
      </c>
      <c r="Y120" s="105">
        <v>30</v>
      </c>
      <c r="Z120" s="105">
        <v>38</v>
      </c>
      <c r="AA120" s="105">
        <v>62.2</v>
      </c>
      <c r="AB120" s="105">
        <v>59</v>
      </c>
      <c r="AC120" s="105">
        <v>58.1</v>
      </c>
      <c r="AD120" s="105">
        <v>58.3</v>
      </c>
      <c r="AE120" s="105">
        <v>56.6</v>
      </c>
      <c r="AF120" s="105">
        <v>48.2</v>
      </c>
      <c r="AG120" s="118"/>
      <c r="AH120" s="47">
        <f t="shared" si="16"/>
        <v>62.2</v>
      </c>
      <c r="AI120" s="48">
        <f t="shared" si="17"/>
        <v>8.1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32">SUM(B122:B226)</f>
        <v>0</v>
      </c>
      <c r="C227" s="136">
        <f t="shared" si="32"/>
        <v>0</v>
      </c>
      <c r="D227" s="136">
        <f t="shared" si="32"/>
        <v>0</v>
      </c>
      <c r="E227" s="136">
        <f t="shared" si="32"/>
        <v>0</v>
      </c>
      <c r="F227" s="136">
        <f t="shared" si="32"/>
        <v>0</v>
      </c>
      <c r="G227" s="136">
        <f t="shared" si="32"/>
        <v>0</v>
      </c>
      <c r="H227" s="136">
        <f t="shared" si="32"/>
        <v>0</v>
      </c>
      <c r="I227" s="136">
        <f t="shared" si="32"/>
        <v>0</v>
      </c>
      <c r="J227" s="136">
        <f t="shared" si="32"/>
        <v>0</v>
      </c>
      <c r="K227" s="136">
        <f t="shared" si="32"/>
        <v>0</v>
      </c>
      <c r="L227" s="136">
        <f t="shared" si="32"/>
        <v>0</v>
      </c>
      <c r="M227" s="136">
        <f t="shared" si="32"/>
        <v>0</v>
      </c>
      <c r="N227" s="136">
        <f t="shared" si="32"/>
        <v>0</v>
      </c>
      <c r="O227" s="136">
        <f t="shared" si="32"/>
        <v>0</v>
      </c>
      <c r="P227" s="136">
        <f t="shared" si="32"/>
        <v>0</v>
      </c>
      <c r="Q227" s="136">
        <f t="shared" si="32"/>
        <v>0</v>
      </c>
      <c r="R227" s="136">
        <f t="shared" si="32"/>
        <v>0</v>
      </c>
      <c r="S227" s="136">
        <f t="shared" si="32"/>
        <v>0</v>
      </c>
      <c r="T227" s="136">
        <f t="shared" si="32"/>
        <v>0</v>
      </c>
      <c r="U227" s="136">
        <f t="shared" si="32"/>
        <v>0</v>
      </c>
      <c r="V227" s="136">
        <f t="shared" si="32"/>
        <v>0</v>
      </c>
      <c r="W227" s="136">
        <f t="shared" si="32"/>
        <v>0</v>
      </c>
      <c r="X227" s="136">
        <f t="shared" si="32"/>
        <v>0</v>
      </c>
      <c r="Y227" s="136">
        <f t="shared" si="32"/>
        <v>0</v>
      </c>
      <c r="Z227" s="136">
        <f t="shared" si="32"/>
        <v>0</v>
      </c>
      <c r="AA227" s="136">
        <f t="shared" si="32"/>
        <v>0</v>
      </c>
      <c r="AB227" s="136">
        <f t="shared" si="32"/>
        <v>0</v>
      </c>
      <c r="AC227" s="136">
        <f t="shared" si="32"/>
        <v>0</v>
      </c>
      <c r="AD227" s="136">
        <f t="shared" si="32"/>
        <v>0</v>
      </c>
      <c r="AE227" s="136">
        <f t="shared" si="32"/>
        <v>0</v>
      </c>
      <c r="AF227" s="137">
        <f t="shared" si="32"/>
        <v>0</v>
      </c>
      <c r="AG227" s="138">
        <f t="shared" si="32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33">AF229</f>
        <v>0</v>
      </c>
      <c r="C229" s="140">
        <v>0.3</v>
      </c>
      <c r="D229" s="140">
        <f t="shared" ref="D229:P234" si="34">C229</f>
        <v>0.3</v>
      </c>
      <c r="E229" s="140">
        <f t="shared" si="34"/>
        <v>0.3</v>
      </c>
      <c r="F229" s="140">
        <f t="shared" si="34"/>
        <v>0.3</v>
      </c>
      <c r="G229" s="140">
        <f t="shared" si="34"/>
        <v>0.3</v>
      </c>
      <c r="H229" s="140">
        <f t="shared" si="34"/>
        <v>0.3</v>
      </c>
      <c r="I229" s="140">
        <f t="shared" si="34"/>
        <v>0.3</v>
      </c>
      <c r="J229" s="140">
        <f t="shared" si="34"/>
        <v>0.3</v>
      </c>
      <c r="K229" s="140">
        <f t="shared" si="34"/>
        <v>0.3</v>
      </c>
      <c r="L229" s="140">
        <f t="shared" si="34"/>
        <v>0.3</v>
      </c>
      <c r="M229" s="140">
        <f t="shared" si="34"/>
        <v>0.3</v>
      </c>
      <c r="N229" s="140">
        <f t="shared" si="34"/>
        <v>0.3</v>
      </c>
      <c r="O229" s="140">
        <f t="shared" si="34"/>
        <v>0.3</v>
      </c>
      <c r="P229" s="140">
        <f t="shared" si="34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33"/>
        <v>0</v>
      </c>
      <c r="C230" s="128">
        <v>0.4</v>
      </c>
      <c r="D230" s="128">
        <f t="shared" si="34"/>
        <v>0.4</v>
      </c>
      <c r="E230" s="128">
        <f t="shared" si="34"/>
        <v>0.4</v>
      </c>
      <c r="F230" s="128">
        <f t="shared" si="34"/>
        <v>0.4</v>
      </c>
      <c r="G230" s="128">
        <f t="shared" si="34"/>
        <v>0.4</v>
      </c>
      <c r="H230" s="128">
        <f t="shared" si="34"/>
        <v>0.4</v>
      </c>
      <c r="I230" s="128">
        <f t="shared" si="34"/>
        <v>0.4</v>
      </c>
      <c r="J230" s="128">
        <f t="shared" si="34"/>
        <v>0.4</v>
      </c>
      <c r="K230" s="128">
        <f t="shared" si="34"/>
        <v>0.4</v>
      </c>
      <c r="L230" s="128">
        <f t="shared" si="34"/>
        <v>0.4</v>
      </c>
      <c r="M230" s="128">
        <f t="shared" si="34"/>
        <v>0.4</v>
      </c>
      <c r="N230" s="128">
        <f t="shared" si="34"/>
        <v>0.4</v>
      </c>
      <c r="O230" s="128">
        <f t="shared" si="34"/>
        <v>0.4</v>
      </c>
      <c r="P230" s="128">
        <f t="shared" si="34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33"/>
        <v>0</v>
      </c>
      <c r="C231" s="128">
        <v>1.5</v>
      </c>
      <c r="D231" s="128">
        <f t="shared" si="34"/>
        <v>1.5</v>
      </c>
      <c r="E231" s="128">
        <f t="shared" si="34"/>
        <v>1.5</v>
      </c>
      <c r="F231" s="128">
        <f t="shared" si="34"/>
        <v>1.5</v>
      </c>
      <c r="G231" s="128">
        <f t="shared" si="34"/>
        <v>1.5</v>
      </c>
      <c r="H231" s="128">
        <f t="shared" si="34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34"/>
        <v>123.21900000000009</v>
      </c>
      <c r="K231" s="128">
        <f t="shared" ca="1" si="34"/>
        <v>123.21900000000009</v>
      </c>
      <c r="L231" s="128">
        <f t="shared" ca="1" si="34"/>
        <v>123.21900000000009</v>
      </c>
      <c r="M231" s="128">
        <f t="shared" ca="1" si="34"/>
        <v>119.19900000000008</v>
      </c>
      <c r="N231" s="128">
        <f t="shared" ca="1" si="34"/>
        <v>119.19900000000008</v>
      </c>
      <c r="O231" s="128">
        <f t="shared" ca="1" si="34"/>
        <v>119.19900000000008</v>
      </c>
      <c r="P231" s="128">
        <f t="shared" ca="1" si="34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33"/>
        <v>0</v>
      </c>
      <c r="C232" s="128">
        <v>0.3</v>
      </c>
      <c r="D232" s="128">
        <f t="shared" si="34"/>
        <v>0.3</v>
      </c>
      <c r="E232" s="128">
        <f t="shared" si="34"/>
        <v>0.3</v>
      </c>
      <c r="F232" s="128">
        <f t="shared" si="34"/>
        <v>0.3</v>
      </c>
      <c r="G232" s="128">
        <f t="shared" si="34"/>
        <v>0.3</v>
      </c>
      <c r="H232" s="128">
        <f t="shared" si="34"/>
        <v>0.3</v>
      </c>
      <c r="I232" s="128">
        <f t="shared" si="34"/>
        <v>0.3</v>
      </c>
      <c r="J232" s="128">
        <f t="shared" si="34"/>
        <v>0.3</v>
      </c>
      <c r="K232" s="128">
        <f t="shared" si="34"/>
        <v>0.3</v>
      </c>
      <c r="L232" s="128">
        <f t="shared" si="34"/>
        <v>0.3</v>
      </c>
      <c r="M232" s="128">
        <f t="shared" si="34"/>
        <v>0.3</v>
      </c>
      <c r="N232" s="128">
        <f t="shared" si="34"/>
        <v>0.3</v>
      </c>
      <c r="O232" s="128">
        <f t="shared" si="34"/>
        <v>0.3</v>
      </c>
      <c r="P232" s="128">
        <f t="shared" si="34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33"/>
        <v>0</v>
      </c>
      <c r="C233" s="128">
        <v>0.4</v>
      </c>
      <c r="D233" s="128">
        <f t="shared" si="34"/>
        <v>0.4</v>
      </c>
      <c r="E233" s="128">
        <f t="shared" si="34"/>
        <v>0.4</v>
      </c>
      <c r="F233" s="128">
        <f t="shared" si="34"/>
        <v>0.4</v>
      </c>
      <c r="G233" s="128">
        <f t="shared" si="34"/>
        <v>0.4</v>
      </c>
      <c r="H233" s="128">
        <f t="shared" si="34"/>
        <v>0.4</v>
      </c>
      <c r="I233" s="128">
        <f t="shared" si="34"/>
        <v>0.4</v>
      </c>
      <c r="J233" s="128">
        <f t="shared" si="34"/>
        <v>0.4</v>
      </c>
      <c r="K233" s="128">
        <f t="shared" si="34"/>
        <v>0.4</v>
      </c>
      <c r="L233" s="128">
        <f t="shared" si="34"/>
        <v>0.4</v>
      </c>
      <c r="M233" s="128">
        <f t="shared" si="34"/>
        <v>0.4</v>
      </c>
      <c r="N233" s="128">
        <f t="shared" si="34"/>
        <v>0.4</v>
      </c>
      <c r="O233" s="128">
        <f t="shared" si="34"/>
        <v>0.4</v>
      </c>
      <c r="P233" s="128">
        <f t="shared" si="34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33"/>
        <v>0</v>
      </c>
      <c r="C234" s="132">
        <v>0.64</v>
      </c>
      <c r="D234" s="132">
        <f t="shared" si="34"/>
        <v>0.64</v>
      </c>
      <c r="E234" s="132">
        <f t="shared" si="34"/>
        <v>0.64</v>
      </c>
      <c r="F234" s="132">
        <f t="shared" si="34"/>
        <v>0.64</v>
      </c>
      <c r="G234" s="132">
        <f t="shared" si="34"/>
        <v>0.64</v>
      </c>
      <c r="H234" s="132">
        <f t="shared" si="34"/>
        <v>0.64</v>
      </c>
      <c r="I234" s="132">
        <f t="shared" si="34"/>
        <v>0.64</v>
      </c>
      <c r="J234" s="132">
        <f t="shared" si="34"/>
        <v>0.64</v>
      </c>
      <c r="K234" s="132">
        <f t="shared" si="34"/>
        <v>0.64</v>
      </c>
      <c r="L234" s="132">
        <f t="shared" si="34"/>
        <v>0.64</v>
      </c>
      <c r="M234" s="132">
        <f t="shared" si="34"/>
        <v>0.64</v>
      </c>
      <c r="N234" s="132">
        <f t="shared" si="34"/>
        <v>0.64</v>
      </c>
      <c r="O234" s="132">
        <f t="shared" si="34"/>
        <v>0.64</v>
      </c>
      <c r="P234" s="132">
        <f t="shared" si="34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35">SUM(B229:B234)</f>
        <v>0</v>
      </c>
      <c r="C235" s="136">
        <f t="shared" si="35"/>
        <v>3.54</v>
      </c>
      <c r="D235" s="136">
        <f t="shared" si="35"/>
        <v>3.54</v>
      </c>
      <c r="E235" s="136">
        <f t="shared" si="35"/>
        <v>3.54</v>
      </c>
      <c r="F235" s="136">
        <f t="shared" si="35"/>
        <v>3.54</v>
      </c>
      <c r="G235" s="136">
        <f t="shared" si="35"/>
        <v>3.54</v>
      </c>
      <c r="H235" s="136">
        <f t="shared" si="35"/>
        <v>3.54</v>
      </c>
      <c r="I235" s="136">
        <f t="shared" ca="1" si="35"/>
        <v>121.23900000000009</v>
      </c>
      <c r="J235" s="136">
        <f t="shared" ca="1" si="35"/>
        <v>121.23900000000009</v>
      </c>
      <c r="K235" s="136">
        <f t="shared" ca="1" si="35"/>
        <v>121.23900000000009</v>
      </c>
      <c r="L235" s="136">
        <f t="shared" ca="1" si="35"/>
        <v>125.2590000000001</v>
      </c>
      <c r="M235" s="136">
        <f t="shared" ca="1" si="35"/>
        <v>121.23900000000009</v>
      </c>
      <c r="N235" s="136">
        <f t="shared" ca="1" si="35"/>
        <v>121.23900000000009</v>
      </c>
      <c r="O235" s="136">
        <f t="shared" ca="1" si="35"/>
        <v>121.23900000000009</v>
      </c>
      <c r="P235" s="136">
        <f t="shared" ca="1" si="35"/>
        <v>121.23900000000009</v>
      </c>
      <c r="Q235" s="136">
        <f t="shared" si="35"/>
        <v>0</v>
      </c>
      <c r="R235" s="136">
        <f t="shared" si="35"/>
        <v>0</v>
      </c>
      <c r="S235" s="136">
        <f t="shared" si="35"/>
        <v>0</v>
      </c>
      <c r="T235" s="136">
        <f t="shared" si="35"/>
        <v>0</v>
      </c>
      <c r="U235" s="136">
        <f t="shared" si="35"/>
        <v>0</v>
      </c>
      <c r="V235" s="136">
        <f t="shared" si="35"/>
        <v>0</v>
      </c>
      <c r="W235" s="136">
        <f t="shared" si="35"/>
        <v>0</v>
      </c>
      <c r="X235" s="136">
        <f t="shared" si="35"/>
        <v>0</v>
      </c>
      <c r="Y235" s="136">
        <f t="shared" si="35"/>
        <v>0</v>
      </c>
      <c r="Z235" s="136">
        <f t="shared" si="35"/>
        <v>0</v>
      </c>
      <c r="AA235" s="136">
        <f t="shared" si="35"/>
        <v>0</v>
      </c>
      <c r="AB235" s="136">
        <f t="shared" si="35"/>
        <v>0</v>
      </c>
      <c r="AC235" s="136">
        <f t="shared" si="35"/>
        <v>0</v>
      </c>
      <c r="AD235" s="136">
        <f t="shared" si="35"/>
        <v>0</v>
      </c>
      <c r="AE235" s="136">
        <f t="shared" si="35"/>
        <v>0</v>
      </c>
      <c r="AF235" s="136">
        <f t="shared" si="35"/>
        <v>0</v>
      </c>
      <c r="AG235" s="145">
        <f t="shared" si="35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2006.1399999999999</v>
      </c>
      <c r="C244" s="161">
        <f>INDEX(G9:N9,1,MATCH(MAX(G91:N91),G91:N91,0))</f>
        <v>0.29166666666666669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5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2080/04/5)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2080/04/5)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36">B91</f>
        <v>41.54</v>
      </c>
      <c r="U249" s="170">
        <f t="shared" si="36"/>
        <v>1988.84</v>
      </c>
      <c r="V249" s="170">
        <f t="shared" si="36"/>
        <v>1964.1399999999999</v>
      </c>
      <c r="W249" s="170">
        <f t="shared" si="36"/>
        <v>1945.34</v>
      </c>
      <c r="X249" s="170">
        <f t="shared" si="36"/>
        <v>1935.64</v>
      </c>
      <c r="Y249" s="170">
        <f t="shared" si="36"/>
        <v>1785.74</v>
      </c>
      <c r="Z249" s="170">
        <f t="shared" si="36"/>
        <v>1871.54</v>
      </c>
      <c r="AA249" s="170">
        <f t="shared" si="36"/>
        <v>1962.8400000000001</v>
      </c>
      <c r="AB249" s="170">
        <f t="shared" si="36"/>
        <v>1979.14</v>
      </c>
      <c r="AC249" s="170">
        <f t="shared" si="36"/>
        <v>2006.1399999999999</v>
      </c>
      <c r="AD249" s="170">
        <f t="shared" si="36"/>
        <v>1972.74</v>
      </c>
      <c r="AE249" s="170">
        <f t="shared" si="36"/>
        <v>1975.94</v>
      </c>
      <c r="AF249" s="170">
        <f t="shared" si="36"/>
        <v>1982.3400000000001</v>
      </c>
      <c r="AG249" s="170">
        <f t="shared" si="36"/>
        <v>2078.84</v>
      </c>
      <c r="AH249" s="170">
        <f t="shared" si="36"/>
        <v>2042.04</v>
      </c>
      <c r="AI249" s="170">
        <f t="shared" si="36"/>
        <v>2062.2400000000002</v>
      </c>
      <c r="AJ249" s="170">
        <f t="shared" si="36"/>
        <v>2033.94</v>
      </c>
      <c r="AK249" s="170">
        <f t="shared" si="36"/>
        <v>2022.24</v>
      </c>
      <c r="AL249" s="170">
        <f t="shared" si="36"/>
        <v>2036.04</v>
      </c>
      <c r="AM249" s="170">
        <f t="shared" si="36"/>
        <v>2008.94</v>
      </c>
      <c r="AN249" s="170">
        <f t="shared" si="36"/>
        <v>1974.74</v>
      </c>
      <c r="AO249" s="170">
        <f t="shared" si="36"/>
        <v>1930.7400000000002</v>
      </c>
      <c r="AP249" s="170">
        <f t="shared" si="36"/>
        <v>1943.44</v>
      </c>
      <c r="AQ249" s="170">
        <f t="shared" si="36"/>
        <v>2000.44</v>
      </c>
      <c r="AR249" s="170">
        <f t="shared" si="36"/>
        <v>2020.44</v>
      </c>
      <c r="AS249" s="170">
        <f t="shared" si="36"/>
        <v>2042.04</v>
      </c>
      <c r="AT249" s="170">
        <f t="shared" si="36"/>
        <v>2088.1400000000003</v>
      </c>
      <c r="AU249" s="170">
        <f t="shared" si="36"/>
        <v>2086.5400000000004</v>
      </c>
      <c r="AV249" s="170">
        <f t="shared" si="36"/>
        <v>2082.04</v>
      </c>
      <c r="AW249" s="170">
        <f t="shared" si="36"/>
        <v>2004.14</v>
      </c>
      <c r="AX249" s="170">
        <f t="shared" si="36"/>
        <v>1966.24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37">C234</f>
        <v>0.64</v>
      </c>
      <c r="C270" s="173">
        <f t="shared" si="37"/>
        <v>0.64</v>
      </c>
      <c r="D270" s="173">
        <f t="shared" si="37"/>
        <v>0.64</v>
      </c>
      <c r="E270" s="173">
        <f t="shared" si="37"/>
        <v>0.64</v>
      </c>
      <c r="F270" s="173">
        <f t="shared" si="37"/>
        <v>0.64</v>
      </c>
      <c r="G270" s="173">
        <f t="shared" si="37"/>
        <v>0.64</v>
      </c>
      <c r="H270" s="173">
        <f t="shared" si="37"/>
        <v>0.64</v>
      </c>
      <c r="I270" s="173">
        <f t="shared" si="37"/>
        <v>0.64</v>
      </c>
      <c r="J270" s="173">
        <f t="shared" si="37"/>
        <v>0.64</v>
      </c>
      <c r="K270" s="173">
        <f t="shared" si="37"/>
        <v>0.64</v>
      </c>
      <c r="L270" s="173">
        <f t="shared" si="37"/>
        <v>0.64</v>
      </c>
      <c r="M270" s="173">
        <f t="shared" si="37"/>
        <v>0.64</v>
      </c>
      <c r="N270" s="173">
        <f t="shared" si="37"/>
        <v>0.64</v>
      </c>
      <c r="O270" s="173">
        <f t="shared" si="37"/>
        <v>0.64</v>
      </c>
      <c r="P270" s="173">
        <f t="shared" si="37"/>
        <v>0</v>
      </c>
      <c r="Q270" s="173">
        <f t="shared" si="37"/>
        <v>0</v>
      </c>
      <c r="R270" s="173">
        <f t="shared" si="37"/>
        <v>0</v>
      </c>
      <c r="S270" s="173">
        <f t="shared" si="37"/>
        <v>0</v>
      </c>
      <c r="T270" s="173">
        <f t="shared" si="37"/>
        <v>0</v>
      </c>
      <c r="U270" s="173">
        <f t="shared" si="37"/>
        <v>0</v>
      </c>
      <c r="V270" s="173">
        <f t="shared" si="37"/>
        <v>0</v>
      </c>
      <c r="W270" s="173">
        <f t="shared" si="37"/>
        <v>0</v>
      </c>
      <c r="X270" s="173">
        <f t="shared" si="37"/>
        <v>0</v>
      </c>
      <c r="Y270" s="173">
        <f t="shared" si="37"/>
        <v>0</v>
      </c>
      <c r="Z270" s="173">
        <f t="shared" si="37"/>
        <v>0</v>
      </c>
      <c r="AA270" s="173">
        <f t="shared" si="37"/>
        <v>0</v>
      </c>
      <c r="AB270" s="173">
        <f t="shared" si="37"/>
        <v>0</v>
      </c>
      <c r="AC270" s="173">
        <f t="shared" si="37"/>
        <v>0</v>
      </c>
      <c r="AD270" s="173">
        <f t="shared" si="37"/>
        <v>0</v>
      </c>
      <c r="AE270" s="173">
        <f t="shared" si="37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38">IF(B238&lt;100,"",B238-520)</f>
        <v/>
      </c>
      <c r="C271" s="174" t="str">
        <f t="shared" si="38"/>
        <v/>
      </c>
      <c r="D271" s="174" t="str">
        <f t="shared" si="38"/>
        <v/>
      </c>
      <c r="E271" s="174" t="str">
        <f t="shared" si="38"/>
        <v/>
      </c>
      <c r="F271" s="174" t="str">
        <f t="shared" si="38"/>
        <v/>
      </c>
      <c r="G271" s="174" t="str">
        <f t="shared" si="38"/>
        <v/>
      </c>
      <c r="H271" s="174" t="str">
        <f t="shared" si="38"/>
        <v/>
      </c>
      <c r="I271" s="174" t="str">
        <f t="shared" si="38"/>
        <v/>
      </c>
      <c r="J271" s="174" t="str">
        <f t="shared" si="38"/>
        <v/>
      </c>
      <c r="K271" s="174" t="str">
        <f t="shared" si="38"/>
        <v/>
      </c>
      <c r="L271" s="174" t="str">
        <f t="shared" si="38"/>
        <v/>
      </c>
      <c r="M271" s="174" t="str">
        <f t="shared" si="38"/>
        <v/>
      </c>
      <c r="N271" s="174" t="str">
        <f t="shared" si="38"/>
        <v/>
      </c>
      <c r="O271" s="174" t="str">
        <f t="shared" si="38"/>
        <v/>
      </c>
      <c r="P271" s="174" t="str">
        <f t="shared" si="38"/>
        <v/>
      </c>
      <c r="Q271" s="174" t="str">
        <f t="shared" si="38"/>
        <v/>
      </c>
      <c r="R271" s="174" t="str">
        <f t="shared" si="38"/>
        <v/>
      </c>
      <c r="S271" s="174" t="str">
        <f t="shared" si="38"/>
        <v/>
      </c>
      <c r="T271" s="174" t="str">
        <f t="shared" si="38"/>
        <v/>
      </c>
      <c r="U271" s="174" t="str">
        <f t="shared" si="38"/>
        <v/>
      </c>
      <c r="V271" s="174" t="str">
        <f t="shared" si="38"/>
        <v/>
      </c>
      <c r="W271" s="174" t="str">
        <f t="shared" si="38"/>
        <v/>
      </c>
      <c r="X271" s="174" t="str">
        <f t="shared" si="38"/>
        <v/>
      </c>
      <c r="Y271" s="174" t="str">
        <f t="shared" si="38"/>
        <v/>
      </c>
      <c r="Z271" s="174" t="str">
        <f t="shared" si="38"/>
        <v/>
      </c>
      <c r="AA271" s="174" t="str">
        <f t="shared" si="38"/>
        <v/>
      </c>
      <c r="AB271" s="174" t="str">
        <f t="shared" si="38"/>
        <v/>
      </c>
      <c r="AC271" s="174" t="str">
        <f t="shared" si="38"/>
        <v/>
      </c>
      <c r="AD271" s="174" t="str">
        <f t="shared" si="38"/>
        <v/>
      </c>
      <c r="AE271" s="174" t="str">
        <f t="shared" si="38"/>
        <v/>
      </c>
      <c r="AF271" s="174" t="str">
        <f t="shared" si="38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39">IF(B239&lt;100,"",B239-620)</f>
        <v/>
      </c>
      <c r="C272" s="174" t="str">
        <f t="shared" si="39"/>
        <v/>
      </c>
      <c r="D272" s="174" t="str">
        <f t="shared" si="39"/>
        <v/>
      </c>
      <c r="E272" s="174" t="str">
        <f t="shared" si="39"/>
        <v/>
      </c>
      <c r="F272" s="174" t="str">
        <f t="shared" si="39"/>
        <v/>
      </c>
      <c r="G272" s="174" t="str">
        <f t="shared" si="39"/>
        <v/>
      </c>
      <c r="H272" s="174" t="str">
        <f t="shared" si="39"/>
        <v/>
      </c>
      <c r="I272" s="174" t="str">
        <f t="shared" si="39"/>
        <v/>
      </c>
      <c r="J272" s="174" t="str">
        <f t="shared" si="39"/>
        <v/>
      </c>
      <c r="K272" s="174" t="str">
        <f t="shared" si="39"/>
        <v/>
      </c>
      <c r="L272" s="174" t="str">
        <f t="shared" si="39"/>
        <v/>
      </c>
      <c r="M272" s="174" t="str">
        <f t="shared" si="39"/>
        <v/>
      </c>
      <c r="N272" s="174" t="str">
        <f t="shared" si="39"/>
        <v/>
      </c>
      <c r="O272" s="174" t="str">
        <f t="shared" si="39"/>
        <v/>
      </c>
      <c r="P272" s="174" t="str">
        <f t="shared" si="39"/>
        <v/>
      </c>
      <c r="Q272" s="174" t="str">
        <f t="shared" si="39"/>
        <v/>
      </c>
      <c r="R272" s="174" t="str">
        <f t="shared" si="39"/>
        <v/>
      </c>
      <c r="S272" s="174" t="str">
        <f t="shared" si="39"/>
        <v/>
      </c>
      <c r="T272" s="174" t="str">
        <f t="shared" si="39"/>
        <v/>
      </c>
      <c r="U272" s="174" t="str">
        <f t="shared" si="39"/>
        <v/>
      </c>
      <c r="V272" s="174" t="str">
        <f t="shared" si="39"/>
        <v/>
      </c>
      <c r="W272" s="174" t="str">
        <f t="shared" si="39"/>
        <v/>
      </c>
      <c r="X272" s="174" t="str">
        <f t="shared" si="39"/>
        <v/>
      </c>
      <c r="Y272" s="174" t="str">
        <f t="shared" si="39"/>
        <v/>
      </c>
      <c r="Z272" s="174" t="str">
        <f t="shared" si="39"/>
        <v/>
      </c>
      <c r="AA272" s="174" t="str">
        <f t="shared" si="39"/>
        <v/>
      </c>
      <c r="AB272" s="174" t="str">
        <f t="shared" si="39"/>
        <v/>
      </c>
      <c r="AC272" s="174" t="str">
        <f t="shared" si="39"/>
        <v/>
      </c>
      <c r="AD272" s="174" t="str">
        <f t="shared" si="39"/>
        <v/>
      </c>
      <c r="AE272" s="174" t="str">
        <f t="shared" si="39"/>
        <v/>
      </c>
      <c r="AF272" s="174" t="str">
        <f t="shared" si="39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40">IF(B240&lt;100,"",B240-330)</f>
        <v/>
      </c>
      <c r="C273" s="174" t="str">
        <f t="shared" si="40"/>
        <v/>
      </c>
      <c r="D273" s="174" t="str">
        <f t="shared" si="40"/>
        <v/>
      </c>
      <c r="E273" s="174" t="str">
        <f t="shared" si="40"/>
        <v/>
      </c>
      <c r="F273" s="174" t="str">
        <f t="shared" si="40"/>
        <v/>
      </c>
      <c r="G273" s="174" t="str">
        <f t="shared" si="40"/>
        <v/>
      </c>
      <c r="H273" s="174" t="str">
        <f t="shared" si="40"/>
        <v/>
      </c>
      <c r="I273" s="174" t="str">
        <f t="shared" si="40"/>
        <v/>
      </c>
      <c r="J273" s="174" t="str">
        <f t="shared" si="40"/>
        <v/>
      </c>
      <c r="K273" s="174" t="str">
        <f t="shared" si="40"/>
        <v/>
      </c>
      <c r="L273" s="174" t="str">
        <f t="shared" si="40"/>
        <v/>
      </c>
      <c r="M273" s="174" t="str">
        <f t="shared" si="40"/>
        <v/>
      </c>
      <c r="N273" s="174" t="str">
        <f t="shared" si="40"/>
        <v/>
      </c>
      <c r="O273" s="174" t="str">
        <f t="shared" si="40"/>
        <v/>
      </c>
      <c r="P273" s="174" t="str">
        <f t="shared" si="40"/>
        <v/>
      </c>
      <c r="Q273" s="174" t="str">
        <f t="shared" si="40"/>
        <v/>
      </c>
      <c r="R273" s="174" t="str">
        <f t="shared" si="40"/>
        <v/>
      </c>
      <c r="S273" s="174" t="str">
        <f t="shared" si="40"/>
        <v/>
      </c>
      <c r="T273" s="174" t="str">
        <f t="shared" si="40"/>
        <v/>
      </c>
      <c r="U273" s="174" t="str">
        <f t="shared" si="40"/>
        <v/>
      </c>
      <c r="V273" s="174" t="str">
        <f t="shared" si="40"/>
        <v/>
      </c>
      <c r="W273" s="174" t="str">
        <f t="shared" si="40"/>
        <v/>
      </c>
      <c r="X273" s="174" t="str">
        <f t="shared" si="40"/>
        <v/>
      </c>
      <c r="Y273" s="174" t="str">
        <f t="shared" si="40"/>
        <v/>
      </c>
      <c r="Z273" s="174" t="str">
        <f t="shared" si="40"/>
        <v/>
      </c>
      <c r="AA273" s="174" t="str">
        <f t="shared" si="40"/>
        <v/>
      </c>
      <c r="AB273" s="174" t="str">
        <f t="shared" si="40"/>
        <v/>
      </c>
      <c r="AC273" s="174" t="str">
        <f t="shared" si="40"/>
        <v/>
      </c>
      <c r="AD273" s="174" t="str">
        <f t="shared" si="40"/>
        <v/>
      </c>
      <c r="AE273" s="174" t="str">
        <f t="shared" si="40"/>
        <v/>
      </c>
      <c r="AF273" s="174" t="str">
        <f t="shared" si="40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41">IF(B241&lt;100,"",B241-1500)</f>
        <v/>
      </c>
      <c r="C274" s="174" t="str">
        <f t="shared" si="41"/>
        <v/>
      </c>
      <c r="D274" s="174" t="str">
        <f t="shared" si="41"/>
        <v/>
      </c>
      <c r="E274" s="174" t="str">
        <f t="shared" si="41"/>
        <v/>
      </c>
      <c r="F274" s="174" t="str">
        <f t="shared" si="41"/>
        <v/>
      </c>
      <c r="G274" s="174" t="str">
        <f t="shared" si="41"/>
        <v/>
      </c>
      <c r="H274" s="174" t="str">
        <f t="shared" si="41"/>
        <v/>
      </c>
      <c r="I274" s="174" t="str">
        <f t="shared" si="41"/>
        <v/>
      </c>
      <c r="J274" s="174" t="str">
        <f t="shared" si="41"/>
        <v/>
      </c>
      <c r="K274" s="174" t="str">
        <f t="shared" si="41"/>
        <v/>
      </c>
      <c r="L274" s="174" t="str">
        <f t="shared" si="41"/>
        <v/>
      </c>
      <c r="M274" s="174" t="str">
        <f t="shared" si="41"/>
        <v/>
      </c>
      <c r="N274" s="174" t="str">
        <f t="shared" si="41"/>
        <v/>
      </c>
      <c r="O274" s="174" t="str">
        <f t="shared" si="41"/>
        <v/>
      </c>
      <c r="P274" s="174" t="str">
        <f t="shared" si="41"/>
        <v/>
      </c>
      <c r="Q274" s="174" t="str">
        <f t="shared" si="41"/>
        <v/>
      </c>
      <c r="R274" s="174" t="str">
        <f t="shared" si="41"/>
        <v/>
      </c>
      <c r="S274" s="174" t="str">
        <f t="shared" si="41"/>
        <v/>
      </c>
      <c r="T274" s="174" t="str">
        <f t="shared" si="41"/>
        <v/>
      </c>
      <c r="U274" s="174" t="str">
        <f t="shared" si="41"/>
        <v/>
      </c>
      <c r="V274" s="174" t="str">
        <f t="shared" si="41"/>
        <v/>
      </c>
      <c r="W274" s="174" t="str">
        <f t="shared" si="41"/>
        <v/>
      </c>
      <c r="X274" s="174" t="str">
        <f t="shared" si="41"/>
        <v/>
      </c>
      <c r="Y274" s="174" t="str">
        <f t="shared" si="41"/>
        <v/>
      </c>
      <c r="Z274" s="174" t="str">
        <f t="shared" si="41"/>
        <v/>
      </c>
      <c r="AA274" s="174" t="str">
        <f t="shared" si="41"/>
        <v/>
      </c>
      <c r="AB274" s="174" t="str">
        <f t="shared" si="41"/>
        <v/>
      </c>
      <c r="AC274" s="174" t="str">
        <f t="shared" si="41"/>
        <v/>
      </c>
      <c r="AD274" s="174" t="str">
        <f t="shared" si="41"/>
        <v/>
      </c>
      <c r="AE274" s="174" t="str">
        <f t="shared" si="41"/>
        <v/>
      </c>
      <c r="AF274" s="174" t="str">
        <f t="shared" si="41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2586" priority="84">
      <formula>$AH11=0</formula>
    </cfRule>
  </conditionalFormatting>
  <conditionalFormatting sqref="B8 M8 S8 AB8">
    <cfRule type="expression" dxfId="2585" priority="137">
      <formula>C$9&lt;8/24</formula>
    </cfRule>
    <cfRule type="expression" dxfId="2584" priority="136">
      <formula>AND(C$9&gt;=8/24,C$9&lt;14/24)</formula>
    </cfRule>
    <cfRule type="expression" dxfId="2583" priority="135">
      <formula>AND(C$9&gt;=14/24,C$9&lt;20/24)</formula>
    </cfRule>
  </conditionalFormatting>
  <conditionalFormatting sqref="B11:B45 AA11:AF45 B9:AF10">
    <cfRule type="expression" dxfId="2582" priority="43">
      <formula>B$9&gt;=20/24</formula>
    </cfRule>
  </conditionalFormatting>
  <conditionalFormatting sqref="B11:B47 AA11:AF47">
    <cfRule type="expression" dxfId="2581" priority="42">
      <formula>B11&gt;$AG11</formula>
    </cfRule>
  </conditionalFormatting>
  <conditionalFormatting sqref="B46:B48 AA46:AF48">
    <cfRule type="expression" dxfId="2580" priority="40">
      <formula>AND(B$9&gt;=8/24,B$9&lt;14/24)</formula>
    </cfRule>
    <cfRule type="expression" dxfId="2579" priority="41">
      <formula>B$9&lt;8/24</formula>
    </cfRule>
  </conditionalFormatting>
  <conditionalFormatting sqref="B49:C49 K49:AF49">
    <cfRule type="expression" dxfId="2578" priority="51">
      <formula>B$9&lt;8/24</formula>
    </cfRule>
    <cfRule type="expression" dxfId="2577" priority="50">
      <formula>AND(B$9&gt;=8/24,B$9&lt;14/24)</formula>
    </cfRule>
  </conditionalFormatting>
  <conditionalFormatting sqref="B55:E59 F56:H59 I59">
    <cfRule type="expression" dxfId="2576" priority="80">
      <formula>B$9&gt;=20/24</formula>
    </cfRule>
    <cfRule type="expression" dxfId="2575" priority="83">
      <formula>B$9&lt;8/24</formula>
    </cfRule>
    <cfRule type="expression" dxfId="2574" priority="82">
      <formula>AND(B$9&gt;=8/24,B$9&lt;14/24)</formula>
    </cfRule>
    <cfRule type="expression" dxfId="2573" priority="81">
      <formula>AND(B$9&gt;=14/24,B$9&lt;20/24)</formula>
    </cfRule>
  </conditionalFormatting>
  <conditionalFormatting sqref="B60:V60">
    <cfRule type="expression" dxfId="2572" priority="73">
      <formula>AND(B$9&gt;=8/24,B$9&lt;14/24)</formula>
    </cfRule>
    <cfRule type="expression" dxfId="2571" priority="74">
      <formula>B$9&lt;8/24</formula>
    </cfRule>
    <cfRule type="expression" dxfId="2570" priority="72">
      <formula>AND(B$9&gt;=14/24,B$9&lt;20/24)</formula>
    </cfRule>
    <cfRule type="expression" dxfId="2569" priority="71">
      <formula>B$9&gt;=20/24</formula>
    </cfRule>
  </conditionalFormatting>
  <conditionalFormatting sqref="B9:AF10 B11:B45 AA11:AF45">
    <cfRule type="expression" dxfId="2568" priority="44">
      <formula>AND(B$9&gt;=14/24,B$9&lt;20/24)</formula>
    </cfRule>
    <cfRule type="expression" dxfId="2567" priority="45">
      <formula>AND(B$9&gt;=8/24,B$9&lt;14/24)</formula>
    </cfRule>
    <cfRule type="expression" dxfId="2566" priority="46">
      <formula>B$9&lt;8/24</formula>
    </cfRule>
  </conditionalFormatting>
  <conditionalFormatting sqref="B46:AF46">
    <cfRule type="expression" dxfId="2565" priority="7">
      <formula>AND(B$9&gt;=14/24,B$9&lt;20/24)</formula>
    </cfRule>
    <cfRule type="expression" dxfId="2564" priority="6">
      <formula>B$9&gt;=20/24</formula>
    </cfRule>
  </conditionalFormatting>
  <conditionalFormatting sqref="B47:AF49">
    <cfRule type="expression" dxfId="2563" priority="16">
      <formula>B$9&gt;=20/24</formula>
    </cfRule>
    <cfRule type="expression" dxfId="2562" priority="17">
      <formula>AND(B$9&gt;=14/24,B$9&lt;20/24)</formula>
    </cfRule>
  </conditionalFormatting>
  <conditionalFormatting sqref="B48:AF53">
    <cfRule type="expression" dxfId="2561" priority="15">
      <formula>B48&gt;$AG48</formula>
    </cfRule>
  </conditionalFormatting>
  <conditionalFormatting sqref="B51:AF53">
    <cfRule type="expression" dxfId="2560" priority="67">
      <formula>B$9&gt;=20/24</formula>
    </cfRule>
    <cfRule type="expression" dxfId="2559" priority="68">
      <formula>AND(B$9&gt;=14/24,B$9&lt;20/24)</formula>
    </cfRule>
    <cfRule type="expression" dxfId="2558" priority="69">
      <formula>AND(B$9&gt;=8/24,B$9&lt;14/24)</formula>
    </cfRule>
    <cfRule type="expression" dxfId="2557" priority="70">
      <formula>B$9&lt;8/24</formula>
    </cfRule>
  </conditionalFormatting>
  <conditionalFormatting sqref="B55:AF66">
    <cfRule type="expression" dxfId="2556" priority="25">
      <formula>B55&gt;$AG55</formula>
    </cfRule>
  </conditionalFormatting>
  <conditionalFormatting sqref="B61:AF66">
    <cfRule type="expression" dxfId="2555" priority="28">
      <formula>AND(B$9&gt;=8/24,B$9&lt;14/24)</formula>
    </cfRule>
    <cfRule type="expression" dxfId="2554" priority="26">
      <formula>B$9&gt;=20/24</formula>
    </cfRule>
    <cfRule type="expression" dxfId="2553" priority="27">
      <formula>AND(B$9&gt;=14/24,B$9&lt;20/24)</formula>
    </cfRule>
    <cfRule type="expression" dxfId="2552" priority="29">
      <formula>B$9&lt;8/24</formula>
    </cfRule>
  </conditionalFormatting>
  <conditionalFormatting sqref="B69:AF71">
    <cfRule type="expression" dxfId="2551" priority="79">
      <formula>B$9&lt;8/24</formula>
    </cfRule>
    <cfRule type="expression" dxfId="2550" priority="77">
      <formula>AND(B$9&gt;=14/24,B$9&lt;20/24)</formula>
    </cfRule>
    <cfRule type="expression" dxfId="2549" priority="75">
      <formula>B69&gt;$AG69</formula>
    </cfRule>
    <cfRule type="expression" dxfId="2548" priority="76">
      <formula>B$9&gt;=20/24</formula>
    </cfRule>
    <cfRule type="expression" dxfId="2547" priority="78">
      <formula>AND(B$9&gt;=8/24,B$9&lt;14/24)</formula>
    </cfRule>
  </conditionalFormatting>
  <conditionalFormatting sqref="B73:AF91">
    <cfRule type="expression" dxfId="2546" priority="24">
      <formula>B$9&lt;8/24</formula>
    </cfRule>
    <cfRule type="expression" dxfId="2545" priority="23">
      <formula>AND(B$9&gt;=8/24,B$9&lt;14/24)</formula>
    </cfRule>
    <cfRule type="expression" dxfId="2544" priority="22">
      <formula>AND(B$9&gt;=14/24,B$9&lt;20/24)</formula>
    </cfRule>
    <cfRule type="expression" dxfId="2543" priority="21">
      <formula>B$9&gt;=20/24</formula>
    </cfRule>
  </conditionalFormatting>
  <conditionalFormatting sqref="B111:AF120">
    <cfRule type="expression" dxfId="2542" priority="35">
      <formula>AND(B$9&gt;=14/24,B$9&lt;20/24)</formula>
    </cfRule>
    <cfRule type="expression" dxfId="2541" priority="34">
      <formula>B$9&gt;=20/24</formula>
    </cfRule>
    <cfRule type="expression" dxfId="2540" priority="36">
      <formula>AND(B$9&gt;=8/24,B$9&lt;14/24)</formula>
    </cfRule>
    <cfRule type="expression" dxfId="2539" priority="37">
      <formula>B$9&lt;8/24</formula>
    </cfRule>
  </conditionalFormatting>
  <conditionalFormatting sqref="B227:AF227 D229:AF230 B229:B235 D231:H231 J231:AF231 D232:AF235 U248:AF248">
    <cfRule type="expression" dxfId="2538" priority="129">
      <formula>AND(B$9&gt;=14/24,B$9&lt;20/24)</formula>
    </cfRule>
    <cfRule type="expression" dxfId="2537" priority="130">
      <formula>AND(B$9&gt;=8/24,B$9&lt;14/24)</formula>
    </cfRule>
    <cfRule type="expression" dxfId="2536" priority="131">
      <formula>B$9&lt;8/24</formula>
    </cfRule>
    <cfRule type="expression" dxfId="2535" priority="128">
      <formula>B$9&gt;=20/24</formula>
    </cfRule>
  </conditionalFormatting>
  <conditionalFormatting sqref="B54:AG54">
    <cfRule type="expression" dxfId="2534" priority="53">
      <formula>B54&gt;$AG54</formula>
    </cfRule>
    <cfRule type="expression" dxfId="2533" priority="59">
      <formula>AND(B$9&gt;=14/24,B$9&lt;20/24)</formula>
    </cfRule>
    <cfRule type="expression" dxfId="2532" priority="60">
      <formula>AND(B$9&gt;=8/24,B$9&lt;14/24)</formula>
    </cfRule>
    <cfRule type="expression" dxfId="2531" priority="61">
      <formula>B$9&lt;8/24</formula>
    </cfRule>
    <cfRule type="expression" dxfId="2530" priority="58">
      <formula>B$9&gt;=20/24</formula>
    </cfRule>
  </conditionalFormatting>
  <conditionalFormatting sqref="B67:AG68 B72:AG72">
    <cfRule type="expression" dxfId="2529" priority="62">
      <formula>B67&gt;$AG67</formula>
    </cfRule>
  </conditionalFormatting>
  <conditionalFormatting sqref="B72:AG72 B93:AF109">
    <cfRule type="expression" dxfId="2528" priority="63">
      <formula>B$9&gt;=20/24</formula>
    </cfRule>
    <cfRule type="expression" dxfId="2527" priority="64">
      <formula>AND(B$9&gt;=14/24,B$9&lt;20/24)</formula>
    </cfRule>
    <cfRule type="expression" dxfId="2526" priority="66">
      <formula>B$9&lt;8/24</formula>
    </cfRule>
    <cfRule type="expression" dxfId="2525" priority="65">
      <formula>AND(B$9&gt;=8/24,B$9&lt;14/24)</formula>
    </cfRule>
  </conditionalFormatting>
  <conditionalFormatting sqref="C47:C48 K47:Z48 D47:J49">
    <cfRule type="expression" dxfId="2524" priority="19">
      <formula>C$9&lt;8/24</formula>
    </cfRule>
    <cfRule type="expression" dxfId="2523" priority="18">
      <formula>AND(C$9&gt;=8/24,C$9&lt;14/24)</formula>
    </cfRule>
  </conditionalFormatting>
  <conditionalFormatting sqref="C11:Z31">
    <cfRule type="expression" dxfId="2522" priority="2">
      <formula>C$9&gt;=20/24</formula>
    </cfRule>
    <cfRule type="expression" dxfId="2521" priority="3">
      <formula>AND(C$9&gt;=14/24,C$9&lt;20/24)</formula>
    </cfRule>
    <cfRule type="expression" dxfId="2520" priority="4">
      <formula>AND(C$9&gt;=8/24,C$9&lt;14/24)</formula>
    </cfRule>
    <cfRule type="expression" dxfId="2519" priority="5">
      <formula>C$9&lt;8/24</formula>
    </cfRule>
    <cfRule type="expression" dxfId="2518" priority="1">
      <formula>C11&gt;$AG11</formula>
    </cfRule>
  </conditionalFormatting>
  <conditionalFormatting sqref="C32:Z45">
    <cfRule type="expression" dxfId="2517" priority="12">
      <formula>AND(C$9&gt;=14/24,C$9&lt;20/24)</formula>
    </cfRule>
    <cfRule type="expression" dxfId="2516" priority="13">
      <formula>AND(C$9&gt;=8/24,C$9&lt;14/24)</formula>
    </cfRule>
    <cfRule type="expression" dxfId="2515" priority="14">
      <formula>C$9&lt;8/24</formula>
    </cfRule>
    <cfRule type="expression" dxfId="2514" priority="11">
      <formula>C$9&gt;=20/24</formula>
    </cfRule>
  </conditionalFormatting>
  <conditionalFormatting sqref="C32:Z46">
    <cfRule type="expression" dxfId="2513" priority="10">
      <formula>C32&gt;$AG32</formula>
    </cfRule>
  </conditionalFormatting>
  <conditionalFormatting sqref="C46:Z46">
    <cfRule type="expression" dxfId="2512" priority="8">
      <formula>AND(C$9&gt;=8/24,C$9&lt;14/24)</formula>
    </cfRule>
    <cfRule type="expression" dxfId="2511" priority="9">
      <formula>C$9&lt;8/24</formula>
    </cfRule>
  </conditionalFormatting>
  <conditionalFormatting sqref="C47:Z47">
    <cfRule type="expression" dxfId="2510" priority="20">
      <formula>C47&gt;$AG47</formula>
    </cfRule>
  </conditionalFormatting>
  <conditionalFormatting sqref="E55:R57">
    <cfRule type="expression" dxfId="2509" priority="109">
      <formula>E$9&gt;=20/24</formula>
    </cfRule>
    <cfRule type="expression" dxfId="2508" priority="110">
      <formula>AND(E$9&gt;=14/24,E$9&lt;20/24)</formula>
    </cfRule>
    <cfRule type="expression" dxfId="2507" priority="111">
      <formula>AND(E$9&gt;=8/24,E$9&lt;14/24)</formula>
    </cfRule>
    <cfRule type="expression" dxfId="2506" priority="112">
      <formula>E$9&lt;8/24</formula>
    </cfRule>
  </conditionalFormatting>
  <conditionalFormatting sqref="M55:R59">
    <cfRule type="expression" dxfId="2505" priority="116">
      <formula>M$9&lt;8/24</formula>
    </cfRule>
    <cfRule type="expression" dxfId="2504" priority="115">
      <formula>AND(M$9&gt;=8/24,M$9&lt;14/24)</formula>
    </cfRule>
    <cfRule type="expression" dxfId="2503" priority="114">
      <formula>AND(M$9&gt;=14/24,M$9&lt;20/24)</formula>
    </cfRule>
    <cfRule type="expression" dxfId="2502" priority="113">
      <formula>M$9&gt;=20/24</formula>
    </cfRule>
  </conditionalFormatting>
  <conditionalFormatting sqref="O3:P3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501" priority="134">
      <formula>C$9&gt;=20/24</formula>
    </cfRule>
  </conditionalFormatting>
  <conditionalFormatting sqref="S8">
    <cfRule type="expression" dxfId="2500" priority="122">
      <formula>AND(U$9&gt;=14/24,U$9&lt;20/24)</formula>
    </cfRule>
    <cfRule type="expression" dxfId="2499" priority="121">
      <formula>U$9&gt;=20/24</formula>
    </cfRule>
    <cfRule type="expression" dxfId="2498" priority="124">
      <formula>U$9&lt;8/24</formula>
    </cfRule>
    <cfRule type="expression" dxfId="2497" priority="123">
      <formula>AND(U$9&gt;=8/24,U$9&lt;14/24)</formula>
    </cfRule>
  </conditionalFormatting>
  <conditionalFormatting sqref="S55:AF60">
    <cfRule type="expression" dxfId="2496" priority="32">
      <formula>AND(S$9&gt;=8/24,S$9&lt;14/24)</formula>
    </cfRule>
    <cfRule type="expression" dxfId="2495" priority="33">
      <formula>S$9&lt;8/24</formula>
    </cfRule>
    <cfRule type="expression" dxfId="2494" priority="30">
      <formula>S$9&gt;=20/24</formula>
    </cfRule>
    <cfRule type="expression" dxfId="2493" priority="31">
      <formula>AND(S$9&gt;=14/24,S$9&lt;20/24)</formula>
    </cfRule>
  </conditionalFormatting>
  <conditionalFormatting sqref="T248">
    <cfRule type="expression" dxfId="2492" priority="146">
      <formula>AX$9&gt;=20/24</formula>
    </cfRule>
    <cfRule type="expression" dxfId="2491" priority="147">
      <formula>AND(AX$9&gt;=14/24,AX$9&lt;20/24)</formula>
    </cfRule>
    <cfRule type="expression" dxfId="2490" priority="148">
      <formula>AND(AX$9&gt;=8/24,AX$9&lt;14/24)</formula>
    </cfRule>
    <cfRule type="expression" dxfId="2489" priority="149">
      <formula>AX$9&lt;8/24</formula>
    </cfRule>
  </conditionalFormatting>
  <conditionalFormatting sqref="V3 AB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488" priority="117">
      <formula>AD$9&gt;=20/24</formula>
    </cfRule>
    <cfRule type="expression" dxfId="2487" priority="119">
      <formula>AND(AD$9&gt;=8/24,AD$9&lt;14/24)</formula>
    </cfRule>
    <cfRule type="expression" dxfId="2486" priority="118">
      <formula>AND(AD$9&gt;=14/24,AD$9&lt;20/24)</formula>
    </cfRule>
    <cfRule type="expression" dxfId="2485" priority="120">
      <formula>AD$9&lt;8/24</formula>
    </cfRule>
  </conditionalFormatting>
  <conditionalFormatting sqref="AG50">
    <cfRule type="expression" dxfId="2484" priority="104">
      <formula>AG50&gt;$AG50</formula>
    </cfRule>
  </conditionalFormatting>
  <conditionalFormatting sqref="AG89">
    <cfRule type="expression" dxfId="2483" priority="108">
      <formula>AG$9&lt;8/24</formula>
    </cfRule>
    <cfRule type="expression" dxfId="2482" priority="105">
      <formula>AG$9&gt;=20/24</formula>
    </cfRule>
    <cfRule type="expression" dxfId="2481" priority="106">
      <formula>AND(AG$9&gt;=14/24,AG$9&lt;20/24)</formula>
    </cfRule>
    <cfRule type="expression" dxfId="2480" priority="107">
      <formula>AND(AG$9&gt;=8/24,AG$9&lt;14/24)</formula>
    </cfRule>
  </conditionalFormatting>
  <conditionalFormatting sqref="AG248">
    <cfRule type="expression" dxfId="2479" priority="138">
      <formula>B$9&gt;=20/24</formula>
    </cfRule>
    <cfRule type="expression" dxfId="2478" priority="139">
      <formula>AND(B$9&gt;=14/24,B$9&lt;20/24)</formula>
    </cfRule>
    <cfRule type="expression" dxfId="2477" priority="140">
      <formula>AND(B$9&gt;=8/24,B$9&lt;14/24)</formula>
    </cfRule>
    <cfRule type="expression" dxfId="2476" priority="141">
      <formula>B$9&lt;8/24</formula>
    </cfRule>
  </conditionalFormatting>
  <conditionalFormatting sqref="AH248:AX248">
    <cfRule type="expression" dxfId="2475" priority="142">
      <formula>AG$9&gt;=20/24</formula>
    </cfRule>
    <cfRule type="expression" dxfId="2474" priority="143">
      <formula>AND(AG$9&gt;=14/24,AG$9&lt;20/24)</formula>
    </cfRule>
    <cfRule type="expression" dxfId="2473" priority="144">
      <formula>AND(AG$9&gt;=8/24,AG$9&lt;14/24)</formula>
    </cfRule>
    <cfRule type="expression" dxfId="2472" priority="145">
      <formula>AG$9&lt;8/24</formula>
    </cfRule>
  </conditionalFormatting>
  <conditionalFormatting sqref="AL4:AL6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8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10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8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471" priority="151">
      <formula>AJ$9&gt;=20/24</formula>
    </cfRule>
    <cfRule type="expression" dxfId="2470" priority="152">
      <formula>AND(AJ$9&gt;=14/24,AJ$9&lt;20/24)</formula>
    </cfRule>
    <cfRule type="expression" dxfId="2469" priority="153">
      <formula>AND(AJ$9&gt;=8/24,AJ$9&lt;14/24)</formula>
    </cfRule>
    <cfRule type="expression" dxfId="2468" priority="154">
      <formula>AJ$9&lt;8/24</formula>
    </cfRule>
  </conditionalFormatting>
  <conditionalFormatting sqref="AL80:AN80 AL86:AN86">
    <cfRule type="expression" dxfId="2467" priority="95">
      <formula>AL$9&lt;8/24</formula>
    </cfRule>
    <cfRule type="expression" dxfId="2466" priority="94">
      <formula>AND(AL$9&gt;=8/24,AL$9&lt;14/24)</formula>
    </cfRule>
    <cfRule type="expression" dxfId="2465" priority="93">
      <formula>AND(AL$9&gt;=14/24,AL$9&lt;20/24)</formula>
    </cfRule>
    <cfRule type="expression" dxfId="2464" priority="92">
      <formula>AL$9&gt;=20/24</formula>
    </cfRule>
  </conditionalFormatting>
  <conditionalFormatting sqref="AN81:AN84">
    <cfRule type="expression" dxfId="2463" priority="91">
      <formula>AN$9&lt;8/24</formula>
    </cfRule>
    <cfRule type="expression" dxfId="2462" priority="90">
      <formula>AND(AN$9&gt;=8/24,AN$9&lt;14/24)</formula>
    </cfRule>
    <cfRule type="expression" dxfId="2461" priority="89">
      <formula>AND(AN$9&gt;=14/24,AN$9&lt;20/24)</formula>
    </cfRule>
    <cfRule type="expression" dxfId="2460" priority="88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3812-929A-41A2-B434-9E41B1A746FF}">
  <dimension ref="A1:CJ281"/>
  <sheetViews>
    <sheetView zoomScale="90" zoomScaleNormal="90"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T55" sqref="T5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8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2080/04/6</v>
      </c>
      <c r="C4" s="203"/>
      <c r="D4" s="203"/>
      <c r="E4" s="204" t="str">
        <f ca="1">"2079/"&amp;"12/"&amp;INT(MID(CELL("filename",G6),FIND("]",CELL("filename",G6))+1,200))</f>
        <v>2079/12/6</v>
      </c>
      <c r="F4" s="204"/>
      <c r="G4" s="204"/>
      <c r="H4" s="204" t="str">
        <f ca="1">TEXT(E4,"dddd")</f>
        <v>Wednesday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38</v>
      </c>
      <c r="C5" s="30">
        <f t="shared" si="0"/>
        <v>39.5</v>
      </c>
      <c r="D5" s="30">
        <f t="shared" si="0"/>
        <v>40.700000000000003</v>
      </c>
      <c r="E5" s="30">
        <f t="shared" si="0"/>
        <v>44.4</v>
      </c>
      <c r="F5" s="30">
        <f t="shared" si="0"/>
        <v>28</v>
      </c>
      <c r="G5" s="30">
        <f t="shared" si="0"/>
        <v>21</v>
      </c>
      <c r="H5" s="30">
        <f t="shared" si="0"/>
        <v>19.5</v>
      </c>
      <c r="I5" s="30">
        <f t="shared" si="0"/>
        <v>0</v>
      </c>
      <c r="J5" s="30">
        <f t="shared" si="0"/>
        <v>0</v>
      </c>
      <c r="K5" s="30">
        <f t="shared" si="0"/>
        <v>38.200000000000003</v>
      </c>
      <c r="L5" s="30">
        <f t="shared" si="0"/>
        <v>0</v>
      </c>
      <c r="M5" s="30">
        <f t="shared" si="0"/>
        <v>8.3000000000000007</v>
      </c>
      <c r="N5" s="30">
        <f t="shared" si="0"/>
        <v>8.3000000000000007</v>
      </c>
      <c r="O5" s="30">
        <f t="shared" si="0"/>
        <v>8.3000000000000007</v>
      </c>
      <c r="P5" s="30">
        <f t="shared" si="0"/>
        <v>15.2</v>
      </c>
      <c r="Q5" s="30">
        <f t="shared" si="0"/>
        <v>20.5</v>
      </c>
      <c r="R5" s="30">
        <f t="shared" si="0"/>
        <v>21.2</v>
      </c>
      <c r="S5" s="30">
        <f t="shared" si="0"/>
        <v>25.4</v>
      </c>
      <c r="T5" s="30">
        <f t="shared" si="0"/>
        <v>17.2</v>
      </c>
      <c r="U5" s="30">
        <f t="shared" si="0"/>
        <v>14.9</v>
      </c>
      <c r="V5" s="30">
        <f t="shared" si="0"/>
        <v>14.7</v>
      </c>
      <c r="W5" s="30">
        <f t="shared" si="0"/>
        <v>9.6999999999999993</v>
      </c>
      <c r="X5" s="30">
        <f t="shared" si="0"/>
        <v>0</v>
      </c>
      <c r="Y5" s="30">
        <f t="shared" si="0"/>
        <v>0</v>
      </c>
      <c r="Z5" s="30">
        <f t="shared" si="0"/>
        <v>27.7</v>
      </c>
      <c r="AA5" s="30">
        <f t="shared" si="0"/>
        <v>50</v>
      </c>
      <c r="AB5" s="30">
        <f t="shared" si="0"/>
        <v>50.5</v>
      </c>
      <c r="AC5" s="30">
        <f t="shared" si="0"/>
        <v>50.6</v>
      </c>
      <c r="AD5" s="30">
        <f t="shared" si="0"/>
        <v>45</v>
      </c>
      <c r="AE5" s="30">
        <f t="shared" si="0"/>
        <v>50</v>
      </c>
      <c r="AF5" s="30">
        <f>B84</f>
        <v>46.3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1945MW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1989.0400000000002</v>
      </c>
      <c r="C7" s="35">
        <f t="shared" si="1"/>
        <v>1848.04</v>
      </c>
      <c r="D7" s="35">
        <f t="shared" si="1"/>
        <v>1894.64</v>
      </c>
      <c r="E7" s="35">
        <f t="shared" si="1"/>
        <v>1906.74</v>
      </c>
      <c r="F7" s="35">
        <f t="shared" si="1"/>
        <v>1936.24</v>
      </c>
      <c r="G7" s="35">
        <f t="shared" si="1"/>
        <v>1920.04</v>
      </c>
      <c r="H7" s="35">
        <f t="shared" si="1"/>
        <v>1914.94</v>
      </c>
      <c r="I7" s="35">
        <f t="shared" si="1"/>
        <v>1916.84</v>
      </c>
      <c r="J7" s="35">
        <f t="shared" si="1"/>
        <v>3.54</v>
      </c>
      <c r="K7" s="35">
        <f t="shared" si="1"/>
        <v>3.54</v>
      </c>
      <c r="L7" s="35">
        <f t="shared" si="1"/>
        <v>1944.64</v>
      </c>
      <c r="M7" s="35">
        <f t="shared" si="1"/>
        <v>1890.64</v>
      </c>
      <c r="N7" s="35">
        <f>N91</f>
        <v>1916.0400000000002</v>
      </c>
      <c r="O7" s="35">
        <f t="shared" si="1"/>
        <v>1864.0400000000002</v>
      </c>
      <c r="P7" s="35">
        <f t="shared" si="1"/>
        <v>1826.84</v>
      </c>
      <c r="Q7" s="35">
        <f t="shared" si="1"/>
        <v>1855.74</v>
      </c>
      <c r="R7" s="35">
        <f t="shared" si="1"/>
        <v>1908.54</v>
      </c>
      <c r="S7" s="35">
        <f t="shared" si="1"/>
        <v>1914.74</v>
      </c>
      <c r="T7" s="35">
        <f t="shared" si="1"/>
        <v>1910.0400000000002</v>
      </c>
      <c r="U7" s="35">
        <f t="shared" si="1"/>
        <v>1919.3400000000001</v>
      </c>
      <c r="V7" s="35">
        <f t="shared" si="1"/>
        <v>1906.7400000000002</v>
      </c>
      <c r="W7" s="35">
        <f t="shared" si="1"/>
        <v>1928.1400000000003</v>
      </c>
      <c r="X7" s="35">
        <f t="shared" si="1"/>
        <v>1911.0400000000002</v>
      </c>
      <c r="Y7" s="35">
        <f t="shared" si="1"/>
        <v>1891.8400000000001</v>
      </c>
      <c r="Z7" s="35">
        <f t="shared" si="1"/>
        <v>1926.8400000000001</v>
      </c>
      <c r="AA7" s="35">
        <f t="shared" si="1"/>
        <v>2041.24</v>
      </c>
      <c r="AB7" s="35">
        <f t="shared" si="1"/>
        <v>2003.54</v>
      </c>
      <c r="AC7" s="35">
        <f t="shared" si="1"/>
        <v>1936.94</v>
      </c>
      <c r="AD7" s="35">
        <f t="shared" si="1"/>
        <v>1937.04</v>
      </c>
      <c r="AE7" s="35">
        <f t="shared" si="1"/>
        <v>1907.3400000000001</v>
      </c>
      <c r="AF7" s="35">
        <f t="shared" si="1"/>
        <v>1898.8400000000001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90.3</v>
      </c>
      <c r="C11" s="45">
        <v>90.3</v>
      </c>
      <c r="D11" s="45">
        <v>90.3</v>
      </c>
      <c r="E11" s="45">
        <v>90.3</v>
      </c>
      <c r="F11" s="45">
        <v>90.3</v>
      </c>
      <c r="G11" s="45">
        <v>90.3</v>
      </c>
      <c r="H11" s="45">
        <v>90.3</v>
      </c>
      <c r="I11" s="45">
        <v>90.3</v>
      </c>
      <c r="J11" s="45"/>
      <c r="K11" s="45"/>
      <c r="L11" s="45">
        <v>87.8</v>
      </c>
      <c r="M11" s="45">
        <v>87.8</v>
      </c>
      <c r="N11" s="45">
        <v>87.2</v>
      </c>
      <c r="O11" s="45">
        <v>87.2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30</v>
      </c>
      <c r="V11" s="45">
        <v>70.599999999999994</v>
      </c>
      <c r="W11" s="45">
        <v>70.599999999999994</v>
      </c>
      <c r="X11" s="45">
        <v>70.599999999999994</v>
      </c>
      <c r="Y11" s="45">
        <v>70.599999999999994</v>
      </c>
      <c r="Z11" s="45">
        <v>70.599999999999994</v>
      </c>
      <c r="AA11" s="45">
        <v>90</v>
      </c>
      <c r="AB11" s="45">
        <v>90</v>
      </c>
      <c r="AC11" s="45">
        <v>90</v>
      </c>
      <c r="AD11" s="45">
        <v>90</v>
      </c>
      <c r="AE11" s="45">
        <v>90</v>
      </c>
      <c r="AF11" s="45">
        <v>90</v>
      </c>
      <c r="AG11" s="46">
        <v>86</v>
      </c>
      <c r="AH11" s="47">
        <f t="shared" ref="AH11:AH76" si="2">MAX(B11:AF11)</f>
        <v>90.3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20</v>
      </c>
      <c r="C12" s="45">
        <v>8</v>
      </c>
      <c r="D12" s="45">
        <v>10</v>
      </c>
      <c r="E12" s="45">
        <v>0</v>
      </c>
      <c r="F12" s="45">
        <v>8</v>
      </c>
      <c r="G12" s="45">
        <v>8</v>
      </c>
      <c r="H12" s="45">
        <v>0</v>
      </c>
      <c r="I12" s="45">
        <v>8</v>
      </c>
      <c r="J12" s="45"/>
      <c r="K12" s="45"/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15</v>
      </c>
      <c r="AA12" s="45">
        <v>26</v>
      </c>
      <c r="AB12" s="45">
        <v>26</v>
      </c>
      <c r="AC12" s="45">
        <v>18</v>
      </c>
      <c r="AD12" s="45">
        <v>18</v>
      </c>
      <c r="AE12" s="45">
        <v>26</v>
      </c>
      <c r="AF12" s="45">
        <v>15</v>
      </c>
      <c r="AG12" s="49">
        <v>54</v>
      </c>
      <c r="AH12" s="47">
        <f t="shared" si="2"/>
        <v>26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55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/>
      <c r="K13" s="45"/>
      <c r="L13" s="45">
        <v>55</v>
      </c>
      <c r="M13" s="45">
        <v>55</v>
      </c>
      <c r="N13" s="45">
        <v>55</v>
      </c>
      <c r="O13" s="45">
        <v>0</v>
      </c>
      <c r="P13" s="45">
        <v>0</v>
      </c>
      <c r="Q13" s="45">
        <v>20</v>
      </c>
      <c r="R13" s="45">
        <v>54.5</v>
      </c>
      <c r="S13" s="45">
        <v>54.5</v>
      </c>
      <c r="T13" s="45">
        <v>54.5</v>
      </c>
      <c r="U13" s="45">
        <v>54.5</v>
      </c>
      <c r="V13" s="45">
        <v>54.5</v>
      </c>
      <c r="W13" s="45">
        <v>54.5</v>
      </c>
      <c r="X13" s="45">
        <v>54.5</v>
      </c>
      <c r="Y13" s="45">
        <v>54.5</v>
      </c>
      <c r="Z13" s="45">
        <v>54.5</v>
      </c>
      <c r="AA13" s="45">
        <v>54.5</v>
      </c>
      <c r="AB13" s="45">
        <v>54.5</v>
      </c>
      <c r="AC13" s="45">
        <v>54.5</v>
      </c>
      <c r="AD13" s="45">
        <v>54.5</v>
      </c>
      <c r="AE13" s="45">
        <v>54.5</v>
      </c>
      <c r="AF13" s="45">
        <v>54.5</v>
      </c>
      <c r="AG13" s="46">
        <v>52.4</v>
      </c>
      <c r="AH13" s="47">
        <f t="shared" si="2"/>
        <v>55</v>
      </c>
      <c r="AI13" s="48">
        <f t="shared" si="3"/>
        <v>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50.5</v>
      </c>
      <c r="C14" s="45">
        <v>50.5</v>
      </c>
      <c r="D14" s="45">
        <v>50.5</v>
      </c>
      <c r="E14" s="45">
        <v>50.4</v>
      </c>
      <c r="F14" s="45">
        <v>50.4</v>
      </c>
      <c r="G14" s="45">
        <v>50.4</v>
      </c>
      <c r="H14" s="45">
        <v>50.4</v>
      </c>
      <c r="I14" s="45">
        <v>50.4</v>
      </c>
      <c r="J14" t="s">
        <v>263</v>
      </c>
      <c r="K14" s="58" t="s">
        <v>263</v>
      </c>
      <c r="L14" s="58">
        <v>50.4</v>
      </c>
      <c r="M14" s="58">
        <v>50.4</v>
      </c>
      <c r="N14" s="58">
        <v>50.4</v>
      </c>
      <c r="O14" s="58">
        <v>50.4</v>
      </c>
      <c r="P14" s="58">
        <v>50.4</v>
      </c>
      <c r="Q14" s="58">
        <v>50.4</v>
      </c>
      <c r="R14" s="58">
        <v>50.3</v>
      </c>
      <c r="S14" s="58">
        <v>50.3</v>
      </c>
      <c r="T14" s="58">
        <v>50.3</v>
      </c>
      <c r="U14" s="58">
        <v>50.3</v>
      </c>
      <c r="V14" s="58">
        <v>50.3</v>
      </c>
      <c r="W14" s="58">
        <v>50.3</v>
      </c>
      <c r="X14" s="58">
        <v>50.3</v>
      </c>
      <c r="Y14" s="58">
        <v>50.3</v>
      </c>
      <c r="Z14" s="58">
        <v>50.3</v>
      </c>
      <c r="AA14" s="58">
        <v>50.3</v>
      </c>
      <c r="AB14" s="58">
        <v>50.3</v>
      </c>
      <c r="AC14" s="58">
        <v>50.3</v>
      </c>
      <c r="AD14" s="58">
        <v>50.3</v>
      </c>
      <c r="AE14" s="58">
        <v>50.3</v>
      </c>
      <c r="AF14" s="58">
        <v>50.3</v>
      </c>
      <c r="AG14" s="49">
        <v>50</v>
      </c>
      <c r="AH14" s="47">
        <f t="shared" si="2"/>
        <v>50.5</v>
      </c>
      <c r="AI14" s="48">
        <f t="shared" si="3"/>
        <v>50.3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46.1</v>
      </c>
      <c r="C15" s="45">
        <v>46.1</v>
      </c>
      <c r="D15" s="45">
        <v>46.1</v>
      </c>
      <c r="E15" s="45">
        <v>46.1</v>
      </c>
      <c r="F15" s="45">
        <v>46.1</v>
      </c>
      <c r="G15" s="45">
        <v>46.1</v>
      </c>
      <c r="H15" s="45">
        <v>46.1</v>
      </c>
      <c r="I15" s="45">
        <v>46.1</v>
      </c>
      <c r="J15" t="s">
        <v>262</v>
      </c>
      <c r="K15" s="58" t="s">
        <v>262</v>
      </c>
      <c r="L15" s="45">
        <v>46.1</v>
      </c>
      <c r="M15" s="45">
        <v>46.1</v>
      </c>
      <c r="N15" s="45">
        <v>46.2</v>
      </c>
      <c r="O15" s="45">
        <v>46.2</v>
      </c>
      <c r="P15" s="45">
        <v>46.2</v>
      </c>
      <c r="Q15" s="45">
        <v>46.1</v>
      </c>
      <c r="R15" s="45">
        <v>45.9</v>
      </c>
      <c r="S15" s="45">
        <v>45.9</v>
      </c>
      <c r="T15" s="45">
        <v>45.9</v>
      </c>
      <c r="U15" s="45">
        <v>45.9</v>
      </c>
      <c r="V15" s="45">
        <v>45.9</v>
      </c>
      <c r="W15" s="45">
        <v>45.9</v>
      </c>
      <c r="X15" s="45">
        <v>45.9</v>
      </c>
      <c r="Y15" s="45">
        <v>45.9</v>
      </c>
      <c r="Z15" s="45">
        <v>46.1</v>
      </c>
      <c r="AA15" s="45">
        <v>46.1</v>
      </c>
      <c r="AB15" s="45">
        <v>46.1</v>
      </c>
      <c r="AC15" s="45">
        <v>46.1</v>
      </c>
      <c r="AD15" s="45">
        <v>46.1</v>
      </c>
      <c r="AE15" s="45">
        <v>46.1</v>
      </c>
      <c r="AF15" s="45">
        <v>46.1</v>
      </c>
      <c r="AG15" s="49">
        <v>45</v>
      </c>
      <c r="AH15" s="47">
        <f t="shared" si="2"/>
        <v>46.2</v>
      </c>
      <c r="AI15" s="48">
        <f t="shared" si="3"/>
        <v>45.9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0</v>
      </c>
      <c r="D16" s="45">
        <v>0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t="s">
        <v>263</v>
      </c>
      <c r="K16" s="58" t="s">
        <v>263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</v>
      </c>
      <c r="C17" s="45">
        <v>28</v>
      </c>
      <c r="D17" s="45">
        <v>28</v>
      </c>
      <c r="E17" s="45">
        <v>28</v>
      </c>
      <c r="F17" s="45">
        <v>28</v>
      </c>
      <c r="G17" s="45">
        <v>28</v>
      </c>
      <c r="H17" s="45">
        <v>28</v>
      </c>
      <c r="I17" s="45">
        <v>28</v>
      </c>
      <c r="J17"/>
      <c r="K17" s="58"/>
      <c r="L17" s="45">
        <v>20</v>
      </c>
      <c r="M17" s="45">
        <v>20</v>
      </c>
      <c r="N17" s="45">
        <v>28</v>
      </c>
      <c r="O17" s="45">
        <v>28</v>
      </c>
      <c r="P17" s="45">
        <v>28</v>
      </c>
      <c r="Q17" s="45">
        <v>28</v>
      </c>
      <c r="R17" s="45">
        <v>28</v>
      </c>
      <c r="S17" s="45">
        <v>28</v>
      </c>
      <c r="T17" s="45">
        <v>28</v>
      </c>
      <c r="U17" s="45">
        <v>28</v>
      </c>
      <c r="V17" s="45">
        <v>0</v>
      </c>
      <c r="W17" s="45">
        <v>0</v>
      </c>
      <c r="X17" s="45">
        <v>0</v>
      </c>
      <c r="Y17" s="45">
        <v>20</v>
      </c>
      <c r="Z17" s="45">
        <v>21</v>
      </c>
      <c r="AA17" s="45">
        <v>32</v>
      </c>
      <c r="AB17" s="45">
        <v>32</v>
      </c>
      <c r="AC17" s="45">
        <v>29</v>
      </c>
      <c r="AD17" s="45">
        <v>29</v>
      </c>
      <c r="AE17" s="45">
        <v>29</v>
      </c>
      <c r="AF17" s="45">
        <v>29</v>
      </c>
      <c r="AG17" s="49">
        <v>42</v>
      </c>
      <c r="AH17" s="47">
        <f t="shared" si="2"/>
        <v>32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38.799999999999997</v>
      </c>
      <c r="C18" s="45">
        <v>38.799999999999997</v>
      </c>
      <c r="D18" s="45">
        <v>38.799999999999997</v>
      </c>
      <c r="E18" s="45">
        <v>38.799999999999997</v>
      </c>
      <c r="F18" s="45">
        <v>38.799999999999997</v>
      </c>
      <c r="G18" s="45">
        <v>38.799999999999997</v>
      </c>
      <c r="H18" s="45">
        <v>38.799999999999997</v>
      </c>
      <c r="I18" s="45">
        <v>38.799999999999997</v>
      </c>
      <c r="J18" t="s">
        <v>267</v>
      </c>
      <c r="K18" s="58" t="s">
        <v>267</v>
      </c>
      <c r="L18" s="45">
        <v>38.799999999999997</v>
      </c>
      <c r="M18" s="45">
        <v>38.799999999999997</v>
      </c>
      <c r="N18" s="45">
        <v>38.799999999999997</v>
      </c>
      <c r="O18" s="45">
        <v>38.799999999999997</v>
      </c>
      <c r="P18" s="45">
        <v>38.799999999999997</v>
      </c>
      <c r="Q18" s="45">
        <v>38.799999999999997</v>
      </c>
      <c r="R18" s="45">
        <v>38.799999999999997</v>
      </c>
      <c r="S18" s="45">
        <v>38.799999999999997</v>
      </c>
      <c r="T18" s="45">
        <v>38.799999999999997</v>
      </c>
      <c r="U18" s="45">
        <v>38.799999999999997</v>
      </c>
      <c r="V18" s="45">
        <v>38.799999999999997</v>
      </c>
      <c r="W18" s="45">
        <v>38.799999999999997</v>
      </c>
      <c r="X18" s="45">
        <v>38.799999999999997</v>
      </c>
      <c r="Y18" s="45">
        <v>38.799999999999997</v>
      </c>
      <c r="Z18" s="45">
        <v>38.799999999999997</v>
      </c>
      <c r="AA18" s="45">
        <v>38.799999999999997</v>
      </c>
      <c r="AB18" s="45">
        <v>38.799999999999997</v>
      </c>
      <c r="AC18" s="45">
        <v>38.799999999999997</v>
      </c>
      <c r="AD18" s="45">
        <v>38.799999999999997</v>
      </c>
      <c r="AE18" s="45">
        <v>38.799999999999997</v>
      </c>
      <c r="AF18" s="45">
        <v>38.799999999999997</v>
      </c>
      <c r="AG18" s="49">
        <v>38.46</v>
      </c>
      <c r="AH18" s="47">
        <f t="shared" si="2"/>
        <v>38.799999999999997</v>
      </c>
      <c r="AI18" s="48">
        <f t="shared" si="3"/>
        <v>38.799999999999997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t="s">
        <v>263</v>
      </c>
      <c r="K19" s="58" t="s">
        <v>263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0</v>
      </c>
      <c r="AD19" s="45">
        <v>0</v>
      </c>
      <c r="AE19" s="45">
        <v>0</v>
      </c>
      <c r="AF19" s="45">
        <v>0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14.8</v>
      </c>
      <c r="C20" s="45">
        <v>6</v>
      </c>
      <c r="D20" s="45">
        <v>6</v>
      </c>
      <c r="E20" s="45">
        <v>0</v>
      </c>
      <c r="F20" s="45">
        <v>5</v>
      </c>
      <c r="G20" s="45">
        <v>5</v>
      </c>
      <c r="H20" s="45">
        <v>0</v>
      </c>
      <c r="I20" s="45">
        <v>5</v>
      </c>
      <c r="J20" t="s">
        <v>273</v>
      </c>
      <c r="K20" s="58" t="s">
        <v>273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5</v>
      </c>
      <c r="Z20" s="45">
        <v>5.8</v>
      </c>
      <c r="AA20" s="45">
        <v>15.1</v>
      </c>
      <c r="AB20" s="45">
        <v>15.1</v>
      </c>
      <c r="AC20" s="45">
        <v>11</v>
      </c>
      <c r="AD20" s="45">
        <v>11</v>
      </c>
      <c r="AE20" s="45">
        <v>11</v>
      </c>
      <c r="AF20" s="45">
        <v>5</v>
      </c>
      <c r="AG20" s="51">
        <v>30</v>
      </c>
      <c r="AH20" s="47">
        <f t="shared" si="2"/>
        <v>15.1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20.7</v>
      </c>
      <c r="C21" s="45">
        <v>20.7</v>
      </c>
      <c r="D21" s="45">
        <v>20.7</v>
      </c>
      <c r="E21" s="45">
        <v>20.7</v>
      </c>
      <c r="F21" s="45">
        <v>20.7</v>
      </c>
      <c r="G21" s="45">
        <v>20.7</v>
      </c>
      <c r="H21" s="45">
        <v>20.7</v>
      </c>
      <c r="I21" s="45">
        <v>20.7</v>
      </c>
      <c r="J21" t="s">
        <v>275</v>
      </c>
      <c r="K21" s="58" t="s">
        <v>275</v>
      </c>
      <c r="L21" s="45">
        <v>20.7</v>
      </c>
      <c r="M21" s="45">
        <v>20.7</v>
      </c>
      <c r="N21" s="45">
        <v>20.5</v>
      </c>
      <c r="O21" s="45">
        <v>20.5</v>
      </c>
      <c r="P21" s="45">
        <v>20.5</v>
      </c>
      <c r="Q21" s="45">
        <v>20.5</v>
      </c>
      <c r="R21" s="45">
        <v>20.5</v>
      </c>
      <c r="S21" s="45">
        <v>20.5</v>
      </c>
      <c r="T21" s="45">
        <v>20.5</v>
      </c>
      <c r="U21" s="45">
        <v>20.5</v>
      </c>
      <c r="V21" s="45">
        <v>20.5</v>
      </c>
      <c r="W21" s="45">
        <v>20.5</v>
      </c>
      <c r="X21" s="45">
        <v>20.5</v>
      </c>
      <c r="Y21" s="45">
        <v>20.5</v>
      </c>
      <c r="Z21" s="45">
        <v>20.5</v>
      </c>
      <c r="AA21" s="45">
        <v>20.5</v>
      </c>
      <c r="AB21" s="45">
        <v>20.5</v>
      </c>
      <c r="AC21" s="45">
        <v>20.5</v>
      </c>
      <c r="AD21" s="45">
        <v>20.5</v>
      </c>
      <c r="AE21" s="45">
        <v>20.5</v>
      </c>
      <c r="AF21" s="45">
        <v>20.5</v>
      </c>
      <c r="AG21" s="49">
        <v>24.2</v>
      </c>
      <c r="AH21" s="47">
        <f t="shared" si="2"/>
        <v>20.7</v>
      </c>
      <c r="AI21" s="48">
        <f t="shared" si="3"/>
        <v>20.5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20.5</v>
      </c>
      <c r="C22" s="45">
        <v>20.5</v>
      </c>
      <c r="D22" s="45">
        <v>20.5</v>
      </c>
      <c r="E22" s="45">
        <v>20.5</v>
      </c>
      <c r="F22" s="45">
        <v>20.5</v>
      </c>
      <c r="G22" s="45">
        <v>20.5</v>
      </c>
      <c r="H22" s="45">
        <v>20.5</v>
      </c>
      <c r="I22" s="45">
        <v>20.5</v>
      </c>
      <c r="J22" t="s">
        <v>274</v>
      </c>
      <c r="K22" s="58" t="s">
        <v>274</v>
      </c>
      <c r="L22" s="45">
        <v>20.5</v>
      </c>
      <c r="M22" s="45">
        <v>20.5</v>
      </c>
      <c r="N22" s="45">
        <v>20.5</v>
      </c>
      <c r="O22" s="45">
        <v>20.5</v>
      </c>
      <c r="P22" s="45">
        <v>20.5</v>
      </c>
      <c r="Q22" s="45">
        <v>20.5</v>
      </c>
      <c r="R22" s="45">
        <v>20.5</v>
      </c>
      <c r="S22" s="45">
        <v>20.5</v>
      </c>
      <c r="T22" s="45">
        <v>20.5</v>
      </c>
      <c r="U22" s="45">
        <v>20.5</v>
      </c>
      <c r="V22" s="45">
        <v>20.5</v>
      </c>
      <c r="W22" s="45">
        <v>20.5</v>
      </c>
      <c r="X22" s="45">
        <v>20.5</v>
      </c>
      <c r="Y22" s="45">
        <v>20.5</v>
      </c>
      <c r="Z22" s="45">
        <v>20.5</v>
      </c>
      <c r="AA22" s="45">
        <v>20.5</v>
      </c>
      <c r="AB22" s="45">
        <v>20.5</v>
      </c>
      <c r="AC22" s="45">
        <v>20.5</v>
      </c>
      <c r="AD22" s="45">
        <v>20.5</v>
      </c>
      <c r="AE22" s="45">
        <v>20.5</v>
      </c>
      <c r="AF22" s="45">
        <v>20.5</v>
      </c>
      <c r="AG22" s="49">
        <v>28</v>
      </c>
      <c r="AH22" s="47">
        <f t="shared" si="2"/>
        <v>20.5</v>
      </c>
      <c r="AI22" s="48">
        <f t="shared" si="3"/>
        <v>20.5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5</v>
      </c>
      <c r="C23" s="45">
        <v>5</v>
      </c>
      <c r="D23" s="45">
        <v>5</v>
      </c>
      <c r="E23" s="45">
        <v>0</v>
      </c>
      <c r="F23" s="45">
        <v>4</v>
      </c>
      <c r="G23" s="45">
        <v>4</v>
      </c>
      <c r="H23" s="45">
        <v>4</v>
      </c>
      <c r="I23" s="45">
        <v>4</v>
      </c>
      <c r="J23" t="s">
        <v>264</v>
      </c>
      <c r="K23" s="58" t="s">
        <v>264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4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5</v>
      </c>
      <c r="AG23" s="51">
        <v>30</v>
      </c>
      <c r="AH23" s="47">
        <f t="shared" si="2"/>
        <v>9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26.2</v>
      </c>
      <c r="C24" s="45">
        <v>26.2</v>
      </c>
      <c r="D24" s="45">
        <v>26.2</v>
      </c>
      <c r="E24" s="45">
        <v>24.3</v>
      </c>
      <c r="F24" s="45">
        <v>24.3</v>
      </c>
      <c r="G24" s="45">
        <v>24.3</v>
      </c>
      <c r="H24" s="45">
        <v>24.3</v>
      </c>
      <c r="I24" s="45">
        <v>24.3</v>
      </c>
      <c r="J24" t="s">
        <v>265</v>
      </c>
      <c r="K24" s="58" t="s">
        <v>265</v>
      </c>
      <c r="L24" s="45">
        <v>24.3</v>
      </c>
      <c r="M24" s="45">
        <v>24.3</v>
      </c>
      <c r="N24" s="45">
        <v>24.3</v>
      </c>
      <c r="O24" s="45">
        <v>24.3</v>
      </c>
      <c r="P24" s="45">
        <v>24.3</v>
      </c>
      <c r="Q24" s="45">
        <v>24.3</v>
      </c>
      <c r="R24" s="45">
        <v>24.3</v>
      </c>
      <c r="S24" s="45">
        <v>24.3</v>
      </c>
      <c r="T24" s="45">
        <v>24.3</v>
      </c>
      <c r="U24" s="45">
        <v>24.3</v>
      </c>
      <c r="V24" s="45">
        <v>24.3</v>
      </c>
      <c r="W24" s="45">
        <v>24.3</v>
      </c>
      <c r="X24" s="45">
        <v>24.3</v>
      </c>
      <c r="Y24" s="45">
        <v>24.3</v>
      </c>
      <c r="Z24" s="45">
        <v>24.3</v>
      </c>
      <c r="AA24" s="45">
        <v>24.3</v>
      </c>
      <c r="AB24" s="45">
        <v>24.3</v>
      </c>
      <c r="AC24" s="45">
        <v>24.3</v>
      </c>
      <c r="AD24" s="45">
        <v>24.3</v>
      </c>
      <c r="AE24" s="45">
        <v>24.3</v>
      </c>
      <c r="AF24" s="45">
        <v>24.3</v>
      </c>
      <c r="AG24" s="49">
        <v>25</v>
      </c>
      <c r="AH24" s="47">
        <f t="shared" si="2"/>
        <v>26.2</v>
      </c>
      <c r="AI24" s="48">
        <f t="shared" si="3"/>
        <v>24.3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t="s">
        <v>276</v>
      </c>
      <c r="K25" s="58" t="s">
        <v>276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/>
      <c r="K26" s="45"/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4</v>
      </c>
      <c r="C27" s="45">
        <v>4</v>
      </c>
      <c r="D27" s="45">
        <v>4</v>
      </c>
      <c r="E27" s="45">
        <v>0</v>
      </c>
      <c r="F27" s="45">
        <v>4</v>
      </c>
      <c r="G27" s="45">
        <v>4</v>
      </c>
      <c r="H27" s="45">
        <v>4</v>
      </c>
      <c r="I27" s="45">
        <v>4</v>
      </c>
      <c r="J27" s="45"/>
      <c r="K27" s="45"/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5</v>
      </c>
      <c r="AA27" s="45">
        <v>12</v>
      </c>
      <c r="AB27" s="45">
        <v>12</v>
      </c>
      <c r="AC27" s="45">
        <v>8</v>
      </c>
      <c r="AD27" s="45">
        <v>8</v>
      </c>
      <c r="AE27" s="45">
        <v>16</v>
      </c>
      <c r="AF27" s="45">
        <v>4</v>
      </c>
      <c r="AG27" s="49">
        <v>25</v>
      </c>
      <c r="AH27" s="47">
        <f t="shared" si="2"/>
        <v>16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24.8</v>
      </c>
      <c r="C28" s="45">
        <v>24.8</v>
      </c>
      <c r="D28" s="45">
        <v>24.8</v>
      </c>
      <c r="E28" s="45">
        <v>24.8</v>
      </c>
      <c r="F28" s="45">
        <v>24.8</v>
      </c>
      <c r="G28" s="45">
        <v>24.8</v>
      </c>
      <c r="H28" s="45">
        <v>24.8</v>
      </c>
      <c r="I28" s="45">
        <v>24.8</v>
      </c>
      <c r="J28" s="45"/>
      <c r="K28" s="45"/>
      <c r="L28" s="45">
        <v>24.8</v>
      </c>
      <c r="M28" s="45">
        <v>24.8</v>
      </c>
      <c r="N28" s="45">
        <v>24.8</v>
      </c>
      <c r="O28" s="45">
        <v>24.8</v>
      </c>
      <c r="P28" s="45">
        <v>24.8</v>
      </c>
      <c r="Q28" s="45">
        <v>24.8</v>
      </c>
      <c r="R28" s="45">
        <v>24.8</v>
      </c>
      <c r="S28" s="45">
        <v>24.8</v>
      </c>
      <c r="T28" s="45">
        <v>24.8</v>
      </c>
      <c r="U28" s="45">
        <v>24.8</v>
      </c>
      <c r="V28" s="45">
        <v>24.8</v>
      </c>
      <c r="W28" s="45">
        <v>24.8</v>
      </c>
      <c r="X28" s="45">
        <v>24.8</v>
      </c>
      <c r="Y28" s="45">
        <v>24.8</v>
      </c>
      <c r="Z28" s="45">
        <v>24.8</v>
      </c>
      <c r="AA28" s="45">
        <v>24.8</v>
      </c>
      <c r="AB28" s="45">
        <v>24.8</v>
      </c>
      <c r="AC28" s="45">
        <v>24.8</v>
      </c>
      <c r="AD28" s="45">
        <v>24.8</v>
      </c>
      <c r="AE28" s="45">
        <v>24.8</v>
      </c>
      <c r="AF28" s="45">
        <v>24.8</v>
      </c>
      <c r="AG28" s="49">
        <v>23.5</v>
      </c>
      <c r="AH28" s="47">
        <f t="shared" si="2"/>
        <v>24.8</v>
      </c>
      <c r="AI28" s="48">
        <f t="shared" si="3"/>
        <v>24.8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/>
      <c r="K29" s="45"/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/>
      <c r="K30" s="45"/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/>
      <c r="K31" s="45"/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/>
      <c r="K32" s="45"/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10</v>
      </c>
      <c r="C33" s="45">
        <v>10</v>
      </c>
      <c r="D33" s="45">
        <v>10</v>
      </c>
      <c r="E33" s="45">
        <v>0</v>
      </c>
      <c r="F33" s="45">
        <v>5</v>
      </c>
      <c r="G33" s="45">
        <v>5</v>
      </c>
      <c r="H33" s="45">
        <v>5</v>
      </c>
      <c r="I33" s="45">
        <v>5</v>
      </c>
      <c r="J33" s="45"/>
      <c r="K33" s="45"/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5</v>
      </c>
      <c r="T33" s="45">
        <v>5</v>
      </c>
      <c r="U33" s="45">
        <v>5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>
        <v>15</v>
      </c>
      <c r="AB33" s="45">
        <v>15</v>
      </c>
      <c r="AC33" s="45">
        <v>5</v>
      </c>
      <c r="AD33" s="45">
        <v>5</v>
      </c>
      <c r="AE33" s="45">
        <v>5</v>
      </c>
      <c r="AF33" s="45">
        <v>10</v>
      </c>
      <c r="AG33" s="49">
        <v>20</v>
      </c>
      <c r="AH33" s="47">
        <f t="shared" si="2"/>
        <v>15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/>
      <c r="K34" s="45"/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5</v>
      </c>
      <c r="AA34" s="45">
        <v>10</v>
      </c>
      <c r="AB34" s="45">
        <v>10</v>
      </c>
      <c r="AC34" s="45">
        <v>10</v>
      </c>
      <c r="AD34" s="45">
        <v>10</v>
      </c>
      <c r="AE34" s="45">
        <v>5</v>
      </c>
      <c r="AF34" s="45">
        <v>16</v>
      </c>
      <c r="AG34" s="49">
        <v>18</v>
      </c>
      <c r="AH34" s="47">
        <f t="shared" si="2"/>
        <v>16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14</v>
      </c>
      <c r="C35" s="45">
        <v>14</v>
      </c>
      <c r="D35" s="45">
        <v>14</v>
      </c>
      <c r="E35" s="45">
        <v>14</v>
      </c>
      <c r="F35" s="45">
        <v>0</v>
      </c>
      <c r="G35" s="45">
        <v>14</v>
      </c>
      <c r="H35" s="45">
        <v>14</v>
      </c>
      <c r="I35" s="45">
        <v>14</v>
      </c>
      <c r="J35" s="45"/>
      <c r="K35" s="45"/>
      <c r="L35" s="45">
        <v>14</v>
      </c>
      <c r="M35" s="45">
        <v>14</v>
      </c>
      <c r="N35" s="45">
        <v>14</v>
      </c>
      <c r="O35" s="45">
        <v>14</v>
      </c>
      <c r="P35" s="45">
        <v>14</v>
      </c>
      <c r="Q35" s="45">
        <v>14</v>
      </c>
      <c r="R35" s="45">
        <v>14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>
        <v>14</v>
      </c>
      <c r="Z35" s="45">
        <v>14</v>
      </c>
      <c r="AA35" s="45">
        <v>14</v>
      </c>
      <c r="AB35" s="45">
        <v>14</v>
      </c>
      <c r="AC35" s="45">
        <v>14</v>
      </c>
      <c r="AD35" s="45">
        <v>14</v>
      </c>
      <c r="AE35" s="45">
        <v>14</v>
      </c>
      <c r="AF35" s="45">
        <v>14</v>
      </c>
      <c r="AG35" s="49">
        <v>14.9</v>
      </c>
      <c r="AH35" s="47">
        <f t="shared" si="2"/>
        <v>14</v>
      </c>
      <c r="AI35" s="48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/>
      <c r="K36" s="45"/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/>
      <c r="K37" s="45"/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9">
        <v>13.6</v>
      </c>
      <c r="AH37" s="47">
        <f t="shared" si="2"/>
        <v>0</v>
      </c>
      <c r="AI37" s="48">
        <f t="shared" si="3"/>
        <v>0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/>
      <c r="K38" s="45"/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2</v>
      </c>
      <c r="C39" s="45">
        <v>2</v>
      </c>
      <c r="D39" s="45">
        <v>2</v>
      </c>
      <c r="E39" s="45">
        <v>0</v>
      </c>
      <c r="F39" s="45">
        <v>2</v>
      </c>
      <c r="G39" s="45">
        <v>2</v>
      </c>
      <c r="H39" s="45">
        <v>2</v>
      </c>
      <c r="I39" s="45">
        <v>2</v>
      </c>
      <c r="J39" s="45"/>
      <c r="K39" s="45"/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4</v>
      </c>
      <c r="AA39" s="45">
        <v>6</v>
      </c>
      <c r="AB39" s="45">
        <v>6</v>
      </c>
      <c r="AC39" s="45">
        <v>4</v>
      </c>
      <c r="AD39" s="45">
        <v>4</v>
      </c>
      <c r="AE39" s="45">
        <v>9</v>
      </c>
      <c r="AF39" s="45">
        <v>3</v>
      </c>
      <c r="AG39" s="49">
        <v>12</v>
      </c>
      <c r="AH39" s="47">
        <f t="shared" si="2"/>
        <v>9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/>
      <c r="K40" s="45"/>
      <c r="L40" s="45">
        <v>0</v>
      </c>
      <c r="M40" s="45">
        <v>5</v>
      </c>
      <c r="N40" s="45">
        <v>5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6</v>
      </c>
      <c r="C41" s="45">
        <v>6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/>
      <c r="K41" s="45"/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/>
      <c r="K42" s="45"/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0</v>
      </c>
      <c r="C43" s="45">
        <v>0</v>
      </c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/>
      <c r="K43" s="45"/>
      <c r="L43" s="45">
        <v>0</v>
      </c>
      <c r="M43" s="45">
        <v>0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51">
        <v>11.88</v>
      </c>
      <c r="AH43" s="47">
        <f t="shared" si="2"/>
        <v>0</v>
      </c>
      <c r="AI43" s="48">
        <f t="shared" si="3"/>
        <v>0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/>
      <c r="K44" s="45"/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/>
      <c r="K45" s="45"/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9</v>
      </c>
      <c r="AI45" s="48">
        <f t="shared" si="3"/>
        <v>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/>
      <c r="K46" s="45"/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/>
      <c r="K47" s="45"/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/>
      <c r="K48" s="56"/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>
        <f>23.1+81.3</f>
        <v>104.4</v>
      </c>
      <c r="C49" s="56">
        <f t="shared" ref="C49:D49" si="4">23.1+81.3</f>
        <v>104.4</v>
      </c>
      <c r="D49" s="56">
        <f t="shared" si="4"/>
        <v>104.4</v>
      </c>
      <c r="E49" s="56">
        <f>24.6+83.8</f>
        <v>108.4</v>
      </c>
      <c r="F49" s="58">
        <f>24.6+83.8</f>
        <v>108.4</v>
      </c>
      <c r="G49" s="58">
        <f>24.6+83.8</f>
        <v>108.4</v>
      </c>
      <c r="H49" s="58">
        <f>24.6+83.8</f>
        <v>108.4</v>
      </c>
      <c r="I49" s="58">
        <f>24.6+83.8</f>
        <v>108.4</v>
      </c>
      <c r="J49" s="58"/>
      <c r="K49" s="58"/>
      <c r="L49" s="58">
        <v>108.4</v>
      </c>
      <c r="M49" s="58">
        <v>108.4</v>
      </c>
      <c r="N49" s="58">
        <v>108.4</v>
      </c>
      <c r="O49" s="58">
        <v>108.4</v>
      </c>
      <c r="P49" s="58">
        <v>108.4</v>
      </c>
      <c r="Q49" s="58">
        <v>108.4</v>
      </c>
      <c r="R49" s="58">
        <v>108.4</v>
      </c>
      <c r="S49" s="58">
        <v>108.4</v>
      </c>
      <c r="T49" s="58">
        <v>108.4</v>
      </c>
      <c r="U49" s="58">
        <v>108.4</v>
      </c>
      <c r="V49" s="58">
        <v>108.4</v>
      </c>
      <c r="W49" s="58">
        <v>108.4</v>
      </c>
      <c r="X49" s="58">
        <v>108.4</v>
      </c>
      <c r="Y49" s="58">
        <v>108.4</v>
      </c>
      <c r="Z49" s="58">
        <v>103</v>
      </c>
      <c r="AA49" s="58">
        <f>22.7+79.8</f>
        <v>102.5</v>
      </c>
      <c r="AB49" s="56"/>
      <c r="AC49" s="56"/>
      <c r="AD49" s="56"/>
      <c r="AE49" s="56"/>
      <c r="AF49" s="56"/>
      <c r="AG49" s="54">
        <v>240</v>
      </c>
      <c r="AH49" s="47">
        <f t="shared" si="2"/>
        <v>108.4</v>
      </c>
      <c r="AI49" s="48">
        <f t="shared" si="3"/>
        <v>102.5</v>
      </c>
      <c r="AK49" s="50"/>
    </row>
    <row r="50" spans="1:41" ht="15.75" thickBot="1" x14ac:dyDescent="0.3">
      <c r="A50" s="59" t="s">
        <v>58</v>
      </c>
      <c r="B50" s="60">
        <f t="shared" ref="B50:AF50" si="5">SUM(B11:B48)</f>
        <v>982.90000000000009</v>
      </c>
      <c r="C50" s="60">
        <f t="shared" si="5"/>
        <v>918.1</v>
      </c>
      <c r="D50" s="60">
        <f t="shared" si="5"/>
        <v>914.1</v>
      </c>
      <c r="E50" s="60">
        <f t="shared" si="5"/>
        <v>919.10000000000014</v>
      </c>
      <c r="F50" s="60">
        <f t="shared" si="5"/>
        <v>933.1</v>
      </c>
      <c r="G50" s="60">
        <f t="shared" si="5"/>
        <v>947.1</v>
      </c>
      <c r="H50" s="60">
        <f t="shared" si="5"/>
        <v>934.10000000000014</v>
      </c>
      <c r="I50" s="60">
        <f t="shared" si="5"/>
        <v>947.1</v>
      </c>
      <c r="J50" s="60">
        <f t="shared" si="5"/>
        <v>0</v>
      </c>
      <c r="K50" s="60">
        <f t="shared" si="5"/>
        <v>0</v>
      </c>
      <c r="L50" s="60">
        <f t="shared" si="5"/>
        <v>908.60000000000014</v>
      </c>
      <c r="M50" s="60">
        <f t="shared" si="5"/>
        <v>913.60000000000014</v>
      </c>
      <c r="N50" s="60">
        <f t="shared" si="5"/>
        <v>920.90000000000009</v>
      </c>
      <c r="O50" s="60">
        <f t="shared" ref="O50:P50" si="6">SUM(O11:O48)</f>
        <v>872.90000000000009</v>
      </c>
      <c r="P50" s="60">
        <f t="shared" si="6"/>
        <v>785.7</v>
      </c>
      <c r="Q50" s="60">
        <f t="shared" ref="Q50" si="7">SUM(Q11:Q48)</f>
        <v>805.6</v>
      </c>
      <c r="R50" s="60">
        <f t="shared" si="5"/>
        <v>839.80000000000007</v>
      </c>
      <c r="S50" s="60">
        <f t="shared" si="5"/>
        <v>844.80000000000007</v>
      </c>
      <c r="T50" s="60">
        <f t="shared" si="5"/>
        <v>844.80000000000007</v>
      </c>
      <c r="U50" s="60">
        <f t="shared" si="5"/>
        <v>874.80000000000007</v>
      </c>
      <c r="V50" s="60">
        <f t="shared" si="5"/>
        <v>892.40000000000009</v>
      </c>
      <c r="W50" s="60">
        <f t="shared" si="5"/>
        <v>892.40000000000009</v>
      </c>
      <c r="X50" s="60">
        <f t="shared" si="5"/>
        <v>892.40000000000009</v>
      </c>
      <c r="Y50" s="60">
        <f t="shared" si="5"/>
        <v>908.40000000000009</v>
      </c>
      <c r="Z50" s="60">
        <f t="shared" si="5"/>
        <v>943.40000000000009</v>
      </c>
      <c r="AA50" s="60">
        <f t="shared" si="5"/>
        <v>1030.1000000000001</v>
      </c>
      <c r="AB50" s="60">
        <f t="shared" si="5"/>
        <v>1030.1000000000001</v>
      </c>
      <c r="AC50" s="60">
        <f t="shared" si="5"/>
        <v>963.00000000000011</v>
      </c>
      <c r="AD50" s="60">
        <f t="shared" si="5"/>
        <v>963.00000000000011</v>
      </c>
      <c r="AE50" s="60">
        <f t="shared" si="5"/>
        <v>979.00000000000011</v>
      </c>
      <c r="AF50" s="60">
        <f t="shared" si="5"/>
        <v>956</v>
      </c>
      <c r="AG50" s="61">
        <f>SUM(AG13:AG48)</f>
        <v>922.14</v>
      </c>
      <c r="AH50" s="47">
        <f t="shared" si="2"/>
        <v>1030.1000000000001</v>
      </c>
      <c r="AI50" s="48">
        <f t="shared" si="3"/>
        <v>0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/>
      <c r="K51" s="45"/>
      <c r="L51" s="45">
        <v>406</v>
      </c>
      <c r="M51" s="45">
        <v>406</v>
      </c>
      <c r="N51" s="175">
        <v>406</v>
      </c>
      <c r="O51" s="175">
        <v>406</v>
      </c>
      <c r="P51" s="175">
        <v>456</v>
      </c>
      <c r="Q51" s="175">
        <v>456</v>
      </c>
      <c r="R51" s="175">
        <v>456</v>
      </c>
      <c r="S51" s="175">
        <v>456</v>
      </c>
      <c r="T51" s="175">
        <v>456</v>
      </c>
      <c r="U51" s="175">
        <v>456</v>
      </c>
      <c r="V51" s="175">
        <v>456</v>
      </c>
      <c r="W51" s="175">
        <v>456</v>
      </c>
      <c r="X51" s="175">
        <v>456</v>
      </c>
      <c r="Y51" s="175">
        <v>456</v>
      </c>
      <c r="Z51" s="175">
        <v>456</v>
      </c>
      <c r="AA51" s="175">
        <v>456</v>
      </c>
      <c r="AB51" s="175">
        <v>456</v>
      </c>
      <c r="AC51" s="175">
        <v>456</v>
      </c>
      <c r="AD51" s="175">
        <v>456</v>
      </c>
      <c r="AE51" s="175">
        <v>456</v>
      </c>
      <c r="AF51" s="175">
        <v>456</v>
      </c>
      <c r="AG51" s="51">
        <v>456</v>
      </c>
      <c r="AH51" s="47">
        <f t="shared" si="2"/>
        <v>456</v>
      </c>
      <c r="AI51" s="48">
        <f t="shared" si="3"/>
        <v>406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/>
      <c r="K52" s="64"/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/>
      <c r="K53" s="66"/>
      <c r="L53" s="66">
        <v>22.4</v>
      </c>
      <c r="M53" s="66">
        <v>22.4</v>
      </c>
      <c r="N53" s="66">
        <v>22.4</v>
      </c>
      <c r="O53" s="66">
        <v>22.4</v>
      </c>
      <c r="P53" s="66">
        <v>22.4</v>
      </c>
      <c r="Q53" s="66">
        <v>22.4</v>
      </c>
      <c r="R53" s="66">
        <v>22.4</v>
      </c>
      <c r="S53" s="66">
        <v>22.4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22.4</v>
      </c>
      <c r="AI53" s="48">
        <f t="shared" si="3"/>
        <v>22.4</v>
      </c>
      <c r="AK53" s="50"/>
    </row>
    <row r="54" spans="1:41" ht="15.75" thickBot="1" x14ac:dyDescent="0.3">
      <c r="A54" s="68" t="s">
        <v>62</v>
      </c>
      <c r="B54" s="60">
        <f t="shared" ref="B54:AG54" si="8">SUM(B51:B53)</f>
        <v>533.4</v>
      </c>
      <c r="C54" s="60">
        <f t="shared" si="8"/>
        <v>533.4</v>
      </c>
      <c r="D54" s="60">
        <f t="shared" si="8"/>
        <v>533.4</v>
      </c>
      <c r="E54" s="60">
        <f t="shared" si="8"/>
        <v>533.4</v>
      </c>
      <c r="F54" s="60">
        <f t="shared" si="8"/>
        <v>533.4</v>
      </c>
      <c r="G54" s="60">
        <f t="shared" si="8"/>
        <v>533.4</v>
      </c>
      <c r="H54" s="60">
        <f t="shared" si="8"/>
        <v>533.4</v>
      </c>
      <c r="I54" s="60">
        <f t="shared" si="8"/>
        <v>533.4</v>
      </c>
      <c r="J54" s="60">
        <f t="shared" si="8"/>
        <v>0</v>
      </c>
      <c r="K54" s="60">
        <f t="shared" si="8"/>
        <v>0</v>
      </c>
      <c r="L54" s="60">
        <f t="shared" si="8"/>
        <v>483.4</v>
      </c>
      <c r="M54" s="60">
        <f t="shared" si="8"/>
        <v>483.4</v>
      </c>
      <c r="N54" s="60">
        <f t="shared" si="8"/>
        <v>483.4</v>
      </c>
      <c r="O54" s="60">
        <f t="shared" si="8"/>
        <v>483.4</v>
      </c>
      <c r="P54" s="60">
        <f t="shared" si="8"/>
        <v>533.4</v>
      </c>
      <c r="Q54" s="60">
        <f t="shared" ref="Q54" si="9">SUM(Q51:Q53)</f>
        <v>533.4</v>
      </c>
      <c r="R54" s="60">
        <f t="shared" si="8"/>
        <v>533.4</v>
      </c>
      <c r="S54" s="60">
        <f t="shared" si="8"/>
        <v>533.4</v>
      </c>
      <c r="T54" s="60">
        <f t="shared" si="8"/>
        <v>533.4</v>
      </c>
      <c r="U54" s="60">
        <f t="shared" si="8"/>
        <v>533.4</v>
      </c>
      <c r="V54" s="60">
        <f t="shared" si="8"/>
        <v>533.4</v>
      </c>
      <c r="W54" s="60">
        <f t="shared" si="8"/>
        <v>533.4</v>
      </c>
      <c r="X54" s="60">
        <f t="shared" si="8"/>
        <v>533.4</v>
      </c>
      <c r="Y54" s="60">
        <f t="shared" si="8"/>
        <v>533.4</v>
      </c>
      <c r="Z54" s="60">
        <f t="shared" si="8"/>
        <v>533.4</v>
      </c>
      <c r="AA54" s="60">
        <f t="shared" si="8"/>
        <v>533.4</v>
      </c>
      <c r="AB54" s="60">
        <f t="shared" si="8"/>
        <v>533.4</v>
      </c>
      <c r="AC54" s="60">
        <f t="shared" si="8"/>
        <v>533.4</v>
      </c>
      <c r="AD54" s="60">
        <f t="shared" si="8"/>
        <v>533.4</v>
      </c>
      <c r="AE54" s="60">
        <f t="shared" si="8"/>
        <v>533.4</v>
      </c>
      <c r="AF54" s="60">
        <f t="shared" si="8"/>
        <v>533.4</v>
      </c>
      <c r="AG54" s="61">
        <f t="shared" si="8"/>
        <v>538.1</v>
      </c>
      <c r="AH54" s="47">
        <f t="shared" si="2"/>
        <v>533.4</v>
      </c>
      <c r="AI54" s="48">
        <f t="shared" si="3"/>
        <v>0</v>
      </c>
      <c r="AK54" s="50"/>
    </row>
    <row r="55" spans="1:41" x14ac:dyDescent="0.25">
      <c r="A55" s="44" t="s">
        <v>63</v>
      </c>
      <c r="B55" s="45">
        <v>139</v>
      </c>
      <c r="C55" s="45">
        <v>120</v>
      </c>
      <c r="D55" s="45">
        <v>139</v>
      </c>
      <c r="E55" s="45">
        <v>138</v>
      </c>
      <c r="F55" s="45">
        <v>138.6</v>
      </c>
      <c r="G55" s="45">
        <v>138.6</v>
      </c>
      <c r="H55" s="45">
        <v>138.5</v>
      </c>
      <c r="I55" s="45">
        <v>137.5</v>
      </c>
      <c r="J55" s="45"/>
      <c r="K55" s="45"/>
      <c r="L55" s="45">
        <v>135.80000000000001</v>
      </c>
      <c r="M55" s="45">
        <v>135</v>
      </c>
      <c r="N55" s="45">
        <v>134.80000000000001</v>
      </c>
      <c r="O55" s="45">
        <v>134.80000000000001</v>
      </c>
      <c r="P55" s="45">
        <v>134.80000000000001</v>
      </c>
      <c r="Q55" s="45">
        <v>134.80000000000001</v>
      </c>
      <c r="R55" s="45">
        <v>134.80000000000001</v>
      </c>
      <c r="S55" s="45">
        <v>136.1</v>
      </c>
      <c r="T55" s="45">
        <v>136.1</v>
      </c>
      <c r="U55" s="45">
        <v>136.1</v>
      </c>
      <c r="V55" s="45">
        <v>136.1</v>
      </c>
      <c r="W55" s="45">
        <v>136.1</v>
      </c>
      <c r="X55" s="45">
        <v>136.1</v>
      </c>
      <c r="Y55" s="45">
        <v>137.1</v>
      </c>
      <c r="Z55" s="45">
        <v>137.1</v>
      </c>
      <c r="AA55" s="45">
        <v>137.1</v>
      </c>
      <c r="AB55" s="45">
        <v>137.1</v>
      </c>
      <c r="AC55" s="45">
        <v>137.1</v>
      </c>
      <c r="AD55" s="45">
        <v>137.1</v>
      </c>
      <c r="AE55" s="45">
        <v>137.1</v>
      </c>
      <c r="AF55" s="45">
        <v>137.1</v>
      </c>
      <c r="AG55" s="51">
        <v>144</v>
      </c>
      <c r="AH55" s="47">
        <f t="shared" si="2"/>
        <v>139</v>
      </c>
      <c r="AI55" s="48">
        <f t="shared" si="3"/>
        <v>120</v>
      </c>
      <c r="AK55" s="50"/>
    </row>
    <row r="56" spans="1:41" x14ac:dyDescent="0.25">
      <c r="A56" s="53" t="s">
        <v>64</v>
      </c>
      <c r="B56" s="64">
        <v>69.7</v>
      </c>
      <c r="C56" s="64">
        <v>69.7</v>
      </c>
      <c r="D56" s="64">
        <v>69.7</v>
      </c>
      <c r="E56" s="64">
        <v>61.8</v>
      </c>
      <c r="F56" s="64">
        <v>69.8</v>
      </c>
      <c r="G56" s="64">
        <v>56</v>
      </c>
      <c r="H56" s="64">
        <v>70.3</v>
      </c>
      <c r="I56" s="64">
        <v>71</v>
      </c>
      <c r="J56" s="64"/>
      <c r="K56" s="64"/>
      <c r="L56" s="64">
        <v>59.7</v>
      </c>
      <c r="M56" s="64">
        <v>59.7</v>
      </c>
      <c r="N56" s="64">
        <v>70</v>
      </c>
      <c r="O56" s="64">
        <v>70</v>
      </c>
      <c r="P56" s="64">
        <v>70</v>
      </c>
      <c r="Q56" s="64">
        <v>70</v>
      </c>
      <c r="R56" s="64">
        <v>70</v>
      </c>
      <c r="S56" s="64">
        <v>70</v>
      </c>
      <c r="T56" s="64">
        <v>70</v>
      </c>
      <c r="U56" s="64">
        <v>70</v>
      </c>
      <c r="V56" s="64">
        <v>60</v>
      </c>
      <c r="W56" s="64">
        <v>70</v>
      </c>
      <c r="X56" s="64">
        <v>71.3</v>
      </c>
      <c r="Y56" s="64">
        <v>70.099999999999994</v>
      </c>
      <c r="Z56" s="64">
        <v>70.099999999999994</v>
      </c>
      <c r="AA56" s="64">
        <v>70.099999999999994</v>
      </c>
      <c r="AB56" s="64">
        <v>70.099999999999994</v>
      </c>
      <c r="AC56" s="64">
        <v>70.099999999999994</v>
      </c>
      <c r="AD56" s="64">
        <v>70.099999999999994</v>
      </c>
      <c r="AE56" s="64">
        <v>70.099999999999994</v>
      </c>
      <c r="AF56" s="64">
        <v>70.099999999999994</v>
      </c>
      <c r="AG56" s="54">
        <v>70</v>
      </c>
      <c r="AH56" s="47">
        <f t="shared" si="2"/>
        <v>71.3</v>
      </c>
      <c r="AI56" s="48">
        <f t="shared" si="3"/>
        <v>56</v>
      </c>
      <c r="AK56" s="50"/>
    </row>
    <row r="57" spans="1:41" x14ac:dyDescent="0.25">
      <c r="A57" s="53" t="s">
        <v>65</v>
      </c>
      <c r="B57" s="64">
        <v>64.5</v>
      </c>
      <c r="C57" s="64">
        <v>55</v>
      </c>
      <c r="D57" s="64">
        <v>64.5</v>
      </c>
      <c r="E57" s="64">
        <v>65.5</v>
      </c>
      <c r="F57" s="64">
        <v>64.8</v>
      </c>
      <c r="G57" s="64">
        <v>64.8</v>
      </c>
      <c r="H57" s="64">
        <v>64.5</v>
      </c>
      <c r="I57" s="64">
        <v>55.4</v>
      </c>
      <c r="J57" s="64"/>
      <c r="K57" s="64"/>
      <c r="L57" s="64">
        <v>64.900000000000006</v>
      </c>
      <c r="M57" s="64">
        <v>64.900000000000006</v>
      </c>
      <c r="N57" s="64">
        <v>64.900000000000006</v>
      </c>
      <c r="O57" s="64">
        <v>64.900000000000006</v>
      </c>
      <c r="P57" s="64">
        <v>64.900000000000006</v>
      </c>
      <c r="Q57" s="64">
        <v>64.099999999999994</v>
      </c>
      <c r="R57" s="64">
        <v>64.099999999999994</v>
      </c>
      <c r="S57" s="64">
        <v>64.099999999999994</v>
      </c>
      <c r="T57" s="64">
        <v>64.099999999999994</v>
      </c>
      <c r="U57" s="64">
        <v>64.099999999999994</v>
      </c>
      <c r="V57" s="64">
        <v>51.9</v>
      </c>
      <c r="W57" s="64">
        <v>64.099999999999994</v>
      </c>
      <c r="X57" s="64">
        <v>65.7</v>
      </c>
      <c r="Y57" s="64">
        <v>65.400000000000006</v>
      </c>
      <c r="Z57" s="64">
        <v>65.400000000000006</v>
      </c>
      <c r="AA57" s="64">
        <v>65.400000000000006</v>
      </c>
      <c r="AB57" s="64">
        <v>65.400000000000006</v>
      </c>
      <c r="AC57" s="64">
        <v>65.400000000000006</v>
      </c>
      <c r="AD57" s="64">
        <v>65.400000000000006</v>
      </c>
      <c r="AE57" s="64">
        <v>65.400000000000006</v>
      </c>
      <c r="AF57" s="64">
        <v>65.400000000000006</v>
      </c>
      <c r="AG57" s="54">
        <v>69</v>
      </c>
      <c r="AH57" s="47">
        <f t="shared" si="2"/>
        <v>65.7</v>
      </c>
      <c r="AI57" s="48">
        <f t="shared" si="3"/>
        <v>51.9</v>
      </c>
      <c r="AK57" s="50"/>
    </row>
    <row r="58" spans="1:41" x14ac:dyDescent="0.25">
      <c r="A58" s="53" t="s">
        <v>66</v>
      </c>
      <c r="B58" s="64">
        <v>61.4</v>
      </c>
      <c r="C58" s="64">
        <v>22</v>
      </c>
      <c r="D58" s="64">
        <v>42.6</v>
      </c>
      <c r="E58" s="56">
        <v>56.4</v>
      </c>
      <c r="F58" s="56">
        <v>60.4</v>
      </c>
      <c r="G58" s="56">
        <v>60.4</v>
      </c>
      <c r="H58" s="56">
        <v>61.4</v>
      </c>
      <c r="I58" s="56">
        <v>61.2</v>
      </c>
      <c r="J58" s="56"/>
      <c r="K58" s="56"/>
      <c r="L58" s="56">
        <v>62.3</v>
      </c>
      <c r="M58" s="56">
        <v>62.3</v>
      </c>
      <c r="N58" s="56">
        <v>62</v>
      </c>
      <c r="O58" s="56">
        <v>62</v>
      </c>
      <c r="P58" s="56">
        <v>62</v>
      </c>
      <c r="Q58" s="56">
        <v>50.4</v>
      </c>
      <c r="R58" s="56">
        <v>61.4</v>
      </c>
      <c r="S58" s="56">
        <v>61.4</v>
      </c>
      <c r="T58" s="56">
        <v>61.4</v>
      </c>
      <c r="U58" s="56">
        <v>50.6</v>
      </c>
      <c r="V58" s="56">
        <v>50.6</v>
      </c>
      <c r="W58" s="56">
        <v>50.6</v>
      </c>
      <c r="X58" s="56">
        <v>50.6</v>
      </c>
      <c r="Y58" s="56">
        <v>50.6</v>
      </c>
      <c r="Z58" s="56">
        <v>50.6</v>
      </c>
      <c r="AA58" s="56">
        <v>50.6</v>
      </c>
      <c r="AB58" s="56">
        <v>50.6</v>
      </c>
      <c r="AC58" s="56">
        <v>50.6</v>
      </c>
      <c r="AD58" s="56">
        <v>50.6</v>
      </c>
      <c r="AE58" s="56">
        <v>0</v>
      </c>
      <c r="AF58" s="56">
        <v>0</v>
      </c>
      <c r="AG58" s="54">
        <v>60</v>
      </c>
      <c r="AH58" s="47">
        <f t="shared" si="2"/>
        <v>62.3</v>
      </c>
      <c r="AI58" s="48">
        <f t="shared" si="3"/>
        <v>0</v>
      </c>
      <c r="AK58" s="50"/>
    </row>
    <row r="59" spans="1:41" x14ac:dyDescent="0.25">
      <c r="A59" s="53" t="s">
        <v>67</v>
      </c>
      <c r="B59" s="64">
        <v>30</v>
      </c>
      <c r="C59" s="64">
        <v>30</v>
      </c>
      <c r="D59" s="64">
        <v>30</v>
      </c>
      <c r="E59" s="56">
        <v>30</v>
      </c>
      <c r="F59" s="56">
        <v>30</v>
      </c>
      <c r="G59" s="56">
        <v>30</v>
      </c>
      <c r="H59" s="56">
        <v>30</v>
      </c>
      <c r="I59" s="56">
        <v>30</v>
      </c>
      <c r="J59" s="56"/>
      <c r="K59" s="56"/>
      <c r="L59" s="56">
        <v>30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56">
        <v>30</v>
      </c>
      <c r="T59" s="56">
        <v>30</v>
      </c>
      <c r="U59" s="56">
        <v>30</v>
      </c>
      <c r="V59" s="56">
        <v>30</v>
      </c>
      <c r="W59" s="56">
        <v>30</v>
      </c>
      <c r="X59" s="56">
        <v>15</v>
      </c>
      <c r="Y59" s="56">
        <v>10</v>
      </c>
      <c r="Z59" s="56">
        <v>10</v>
      </c>
      <c r="AA59" s="56">
        <v>10</v>
      </c>
      <c r="AB59" s="56">
        <v>10</v>
      </c>
      <c r="AC59" s="56">
        <v>10</v>
      </c>
      <c r="AD59" s="56">
        <v>10</v>
      </c>
      <c r="AE59" s="56">
        <v>30</v>
      </c>
      <c r="AF59" s="56">
        <v>30</v>
      </c>
      <c r="AG59" s="54">
        <v>30</v>
      </c>
      <c r="AH59" s="47">
        <f t="shared" si="2"/>
        <v>30</v>
      </c>
      <c r="AI59" s="48">
        <f t="shared" si="3"/>
        <v>10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/>
      <c r="K60" s="64"/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15.4</v>
      </c>
      <c r="R60" s="64">
        <v>17.7</v>
      </c>
      <c r="S60" s="64">
        <v>16.899999999999999</v>
      </c>
      <c r="T60" s="64">
        <v>8</v>
      </c>
      <c r="U60" s="64">
        <v>6.3</v>
      </c>
      <c r="V60" s="64">
        <v>0.6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54">
        <v>25</v>
      </c>
      <c r="AH60" s="47">
        <f t="shared" si="2"/>
        <v>17.7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/>
      <c r="K61" s="64"/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/>
      <c r="K62" s="64"/>
      <c r="L62" s="64">
        <v>4</v>
      </c>
      <c r="M62" s="64">
        <v>4</v>
      </c>
      <c r="N62" s="64">
        <v>4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54">
        <v>15</v>
      </c>
      <c r="AH62" s="47">
        <f t="shared" si="2"/>
        <v>4</v>
      </c>
      <c r="AI62" s="48">
        <f t="shared" si="3"/>
        <v>0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10.5</v>
      </c>
      <c r="C63" s="64">
        <v>10.5</v>
      </c>
      <c r="D63" s="64">
        <v>10.5</v>
      </c>
      <c r="E63" s="64">
        <v>10.5</v>
      </c>
      <c r="F63" s="64">
        <v>10.5</v>
      </c>
      <c r="G63" s="64">
        <v>10.5</v>
      </c>
      <c r="H63" s="64">
        <v>10.5</v>
      </c>
      <c r="I63" s="64">
        <v>10.5</v>
      </c>
      <c r="J63" s="64"/>
      <c r="K63" s="64"/>
      <c r="L63" s="64">
        <v>10.5</v>
      </c>
      <c r="M63" s="64">
        <v>10.5</v>
      </c>
      <c r="N63" s="64">
        <v>10.5</v>
      </c>
      <c r="O63" s="64">
        <v>10.5</v>
      </c>
      <c r="P63" s="64">
        <v>10.5</v>
      </c>
      <c r="Q63" s="64">
        <v>9.6</v>
      </c>
      <c r="R63" s="64">
        <v>9.6</v>
      </c>
      <c r="S63" s="64">
        <v>9.6</v>
      </c>
      <c r="T63" s="64">
        <v>9.6</v>
      </c>
      <c r="U63" s="64">
        <v>9.6</v>
      </c>
      <c r="V63" s="64">
        <v>9.6</v>
      </c>
      <c r="W63" s="64">
        <v>9.6</v>
      </c>
      <c r="X63" s="64">
        <v>9.6</v>
      </c>
      <c r="Y63" s="64">
        <v>9.6</v>
      </c>
      <c r="Z63" s="64">
        <v>9.6</v>
      </c>
      <c r="AA63" s="64">
        <v>9.6</v>
      </c>
      <c r="AB63" s="64">
        <v>9.6</v>
      </c>
      <c r="AC63" s="64">
        <v>9.6</v>
      </c>
      <c r="AD63" s="64">
        <v>9.6</v>
      </c>
      <c r="AE63" s="64">
        <v>9.6</v>
      </c>
      <c r="AF63" s="64">
        <v>9.6</v>
      </c>
      <c r="AG63" s="54">
        <v>14.1</v>
      </c>
      <c r="AH63" s="47">
        <f t="shared" si="2"/>
        <v>10.5</v>
      </c>
      <c r="AI63" s="48">
        <f t="shared" si="3"/>
        <v>9.6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13.6</v>
      </c>
      <c r="C64" s="64">
        <v>13.6</v>
      </c>
      <c r="D64" s="64">
        <v>13.6</v>
      </c>
      <c r="E64" s="64">
        <v>13.6</v>
      </c>
      <c r="F64" s="64">
        <v>13.5</v>
      </c>
      <c r="G64" s="64">
        <v>13.5</v>
      </c>
      <c r="H64" s="64">
        <v>13.5</v>
      </c>
      <c r="I64" s="64">
        <v>13.5</v>
      </c>
      <c r="J64" s="64"/>
      <c r="K64" s="64"/>
      <c r="L64" s="64">
        <v>13.5</v>
      </c>
      <c r="M64" s="64">
        <v>13.5</v>
      </c>
      <c r="N64" s="64">
        <v>13.5</v>
      </c>
      <c r="O64" s="64">
        <v>13.5</v>
      </c>
      <c r="P64" s="64">
        <v>13.5</v>
      </c>
      <c r="Q64" s="64">
        <v>13.5</v>
      </c>
      <c r="R64" s="64">
        <v>13.5</v>
      </c>
      <c r="S64" s="64">
        <v>13.5</v>
      </c>
      <c r="T64" s="64">
        <v>13.5</v>
      </c>
      <c r="U64" s="64">
        <v>13.5</v>
      </c>
      <c r="V64" s="64">
        <v>13.5</v>
      </c>
      <c r="W64" s="64">
        <v>13.5</v>
      </c>
      <c r="X64" s="64">
        <v>13.5</v>
      </c>
      <c r="Y64" s="64">
        <v>13.5</v>
      </c>
      <c r="Z64" s="64">
        <v>13.5</v>
      </c>
      <c r="AA64" s="64">
        <v>13.5</v>
      </c>
      <c r="AB64" s="64">
        <v>13.5</v>
      </c>
      <c r="AC64" s="64">
        <v>13.5</v>
      </c>
      <c r="AD64" s="64">
        <v>13.5</v>
      </c>
      <c r="AE64" s="64">
        <v>4</v>
      </c>
      <c r="AF64" s="64">
        <v>13.5</v>
      </c>
      <c r="AG64" s="54">
        <v>14</v>
      </c>
      <c r="AH64" s="47">
        <f t="shared" si="2"/>
        <v>13.6</v>
      </c>
      <c r="AI64" s="48">
        <f t="shared" si="3"/>
        <v>4</v>
      </c>
      <c r="AK64" s="50"/>
    </row>
    <row r="65" spans="1:40" x14ac:dyDescent="0.25">
      <c r="A65" s="53" t="s">
        <v>73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/>
      <c r="K65" s="64"/>
      <c r="L65" s="64">
        <v>9</v>
      </c>
      <c r="M65" s="64">
        <v>9</v>
      </c>
      <c r="N65" s="64">
        <v>9</v>
      </c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>
        <v>9</v>
      </c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9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/>
      <c r="K66" s="64"/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0">SUM(B55:B67)</f>
        <v>426.44</v>
      </c>
      <c r="C68" s="60">
        <f t="shared" si="10"/>
        <v>358.54</v>
      </c>
      <c r="D68" s="60">
        <f t="shared" si="10"/>
        <v>407.64000000000004</v>
      </c>
      <c r="E68" s="60">
        <f t="shared" si="10"/>
        <v>413.54</v>
      </c>
      <c r="F68" s="60">
        <f t="shared" si="10"/>
        <v>425.34</v>
      </c>
      <c r="G68" s="60">
        <f t="shared" si="10"/>
        <v>411.53999999999996</v>
      </c>
      <c r="H68" s="60">
        <f t="shared" si="10"/>
        <v>426.44</v>
      </c>
      <c r="I68" s="60">
        <f t="shared" si="10"/>
        <v>416.84</v>
      </c>
      <c r="J68" s="60">
        <f t="shared" si="10"/>
        <v>3.54</v>
      </c>
      <c r="K68" s="60">
        <f t="shared" si="10"/>
        <v>3.54</v>
      </c>
      <c r="L68" s="60">
        <f t="shared" si="10"/>
        <v>414.44</v>
      </c>
      <c r="M68" s="60">
        <f t="shared" si="10"/>
        <v>413.64000000000004</v>
      </c>
      <c r="N68" s="60">
        <f t="shared" si="10"/>
        <v>423.44000000000005</v>
      </c>
      <c r="O68" s="60">
        <f t="shared" si="10"/>
        <v>419.44000000000005</v>
      </c>
      <c r="P68" s="60">
        <f t="shared" si="10"/>
        <v>419.44000000000005</v>
      </c>
      <c r="Q68" s="60">
        <f t="shared" ref="Q68" si="11">SUM(Q55:Q67)</f>
        <v>421.53999999999996</v>
      </c>
      <c r="R68" s="60">
        <f t="shared" si="10"/>
        <v>434.84</v>
      </c>
      <c r="S68" s="60">
        <f t="shared" si="10"/>
        <v>435.34</v>
      </c>
      <c r="T68" s="60">
        <f t="shared" si="10"/>
        <v>426.44</v>
      </c>
      <c r="U68" s="60">
        <f t="shared" si="10"/>
        <v>413.94000000000005</v>
      </c>
      <c r="V68" s="60">
        <f t="shared" si="10"/>
        <v>386.04000000000008</v>
      </c>
      <c r="W68" s="60">
        <f t="shared" si="10"/>
        <v>407.64000000000004</v>
      </c>
      <c r="X68" s="60">
        <f t="shared" si="10"/>
        <v>395.54</v>
      </c>
      <c r="Y68" s="60">
        <f t="shared" si="10"/>
        <v>390.04000000000008</v>
      </c>
      <c r="Z68" s="60">
        <f t="shared" si="10"/>
        <v>390.04000000000008</v>
      </c>
      <c r="AA68" s="60">
        <f t="shared" si="10"/>
        <v>390.04000000000008</v>
      </c>
      <c r="AB68" s="60">
        <f t="shared" si="10"/>
        <v>390.04000000000008</v>
      </c>
      <c r="AC68" s="60">
        <f t="shared" si="10"/>
        <v>390.04000000000008</v>
      </c>
      <c r="AD68" s="60">
        <f t="shared" si="10"/>
        <v>390.04000000000008</v>
      </c>
      <c r="AE68" s="60">
        <f t="shared" si="10"/>
        <v>349.94000000000005</v>
      </c>
      <c r="AF68" s="60">
        <f t="shared" si="10"/>
        <v>359.44000000000005</v>
      </c>
      <c r="AG68" s="61">
        <f t="shared" si="10"/>
        <v>489.91</v>
      </c>
      <c r="AH68" s="47">
        <f t="shared" si="2"/>
        <v>435.34</v>
      </c>
      <c r="AI68" s="48">
        <f t="shared" si="3"/>
        <v>3.54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/>
      <c r="K69" s="45"/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>
        <v>0</v>
      </c>
      <c r="C70" s="45">
        <v>0</v>
      </c>
      <c r="D70" s="45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/>
      <c r="K70" s="64"/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>
        <v>0</v>
      </c>
      <c r="C71" s="45">
        <v>0</v>
      </c>
      <c r="D71" s="45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/>
      <c r="K71" s="66"/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/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2">M69+M70+M71</f>
        <v>0</v>
      </c>
      <c r="N72" s="60">
        <f t="shared" si="12"/>
        <v>0</v>
      </c>
      <c r="O72" s="60">
        <f t="shared" si="12"/>
        <v>0</v>
      </c>
      <c r="P72" s="60">
        <f t="shared" si="12"/>
        <v>0</v>
      </c>
      <c r="Q72" s="60">
        <f t="shared" ref="Q72" si="13">Q69+Q70+Q71</f>
        <v>0</v>
      </c>
      <c r="R72" s="60">
        <f t="shared" si="12"/>
        <v>0</v>
      </c>
      <c r="S72" s="60">
        <f t="shared" si="12"/>
        <v>0</v>
      </c>
      <c r="T72" s="60">
        <f t="shared" si="12"/>
        <v>0</v>
      </c>
      <c r="U72" s="60">
        <f t="shared" si="12"/>
        <v>0</v>
      </c>
      <c r="V72" s="60">
        <f t="shared" si="12"/>
        <v>0</v>
      </c>
      <c r="W72" s="60">
        <f t="shared" si="12"/>
        <v>0</v>
      </c>
      <c r="X72" s="60">
        <f t="shared" si="12"/>
        <v>0</v>
      </c>
      <c r="Y72" s="60">
        <f t="shared" si="12"/>
        <v>0</v>
      </c>
      <c r="Z72" s="60">
        <f t="shared" si="12"/>
        <v>0</v>
      </c>
      <c r="AA72" s="60">
        <f t="shared" si="12"/>
        <v>0</v>
      </c>
      <c r="AB72" s="60">
        <f t="shared" si="12"/>
        <v>0</v>
      </c>
      <c r="AC72" s="60">
        <f t="shared" si="12"/>
        <v>0</v>
      </c>
      <c r="AD72" s="60">
        <f t="shared" si="12"/>
        <v>0</v>
      </c>
      <c r="AE72" s="60">
        <f t="shared" si="12"/>
        <v>0</v>
      </c>
      <c r="AF72" s="60">
        <f t="shared" si="12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41.3</v>
      </c>
      <c r="C73" s="45">
        <v>33</v>
      </c>
      <c r="D73" s="45">
        <v>34.5</v>
      </c>
      <c r="E73" s="45">
        <v>35.700000000000003</v>
      </c>
      <c r="F73" s="45">
        <v>39.4</v>
      </c>
      <c r="G73" s="45">
        <v>28</v>
      </c>
      <c r="H73" s="45">
        <v>21</v>
      </c>
      <c r="I73" s="45">
        <v>19.5</v>
      </c>
      <c r="J73" s="45"/>
      <c r="K73" s="45"/>
      <c r="L73" s="45">
        <v>38.200000000000003</v>
      </c>
      <c r="M73" s="45">
        <v>0</v>
      </c>
      <c r="N73" s="45">
        <v>8.3000000000000007</v>
      </c>
      <c r="O73" s="45">
        <v>8.3000000000000007</v>
      </c>
      <c r="P73" s="45">
        <v>8.3000000000000007</v>
      </c>
      <c r="Q73" s="45">
        <v>15.2</v>
      </c>
      <c r="R73" s="45">
        <v>20.5</v>
      </c>
      <c r="S73" s="45">
        <v>21.2</v>
      </c>
      <c r="T73" s="45">
        <v>25.4</v>
      </c>
      <c r="U73" s="45">
        <v>17.2</v>
      </c>
      <c r="V73" s="45">
        <v>14.9</v>
      </c>
      <c r="W73" s="45">
        <v>14.7</v>
      </c>
      <c r="X73" s="45">
        <v>9.6999999999999993</v>
      </c>
      <c r="Y73" s="45">
        <v>-5</v>
      </c>
      <c r="Z73" s="45">
        <v>-3.5</v>
      </c>
      <c r="AA73" s="45">
        <v>27.7</v>
      </c>
      <c r="AB73" s="45">
        <v>50</v>
      </c>
      <c r="AC73" s="45">
        <v>50.5</v>
      </c>
      <c r="AD73" s="45">
        <v>45.6</v>
      </c>
      <c r="AE73" s="45">
        <v>40</v>
      </c>
      <c r="AF73" s="45">
        <v>45</v>
      </c>
      <c r="AG73" s="51"/>
      <c r="AH73" s="47">
        <f t="shared" si="2"/>
        <v>50.5</v>
      </c>
      <c r="AI73" s="48">
        <f t="shared" si="3"/>
        <v>-5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/>
      <c r="K74" s="64"/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-289.5</v>
      </c>
      <c r="C75" s="64">
        <v>-314</v>
      </c>
      <c r="D75" s="64">
        <v>-279</v>
      </c>
      <c r="E75" s="64">
        <v>-276</v>
      </c>
      <c r="F75" s="64">
        <v>-317</v>
      </c>
      <c r="G75" s="64">
        <v>-324.60000000000002</v>
      </c>
      <c r="H75" s="64">
        <v>-324</v>
      </c>
      <c r="I75" s="64">
        <v>-394</v>
      </c>
      <c r="J75" s="64"/>
      <c r="K75" s="64"/>
      <c r="L75" s="64">
        <v>-311.8</v>
      </c>
      <c r="M75" s="64">
        <v>-311.8</v>
      </c>
      <c r="N75" s="64">
        <v>-338</v>
      </c>
      <c r="O75" s="64">
        <v>-280</v>
      </c>
      <c r="P75" s="64">
        <v>-266</v>
      </c>
      <c r="Q75" s="64">
        <v>-254</v>
      </c>
      <c r="R75" s="64">
        <v>-212</v>
      </c>
      <c r="S75" s="64">
        <v>-302.2</v>
      </c>
      <c r="T75" s="64">
        <v>-279.8</v>
      </c>
      <c r="U75" s="64">
        <v>-303</v>
      </c>
      <c r="V75" s="64">
        <v>-351</v>
      </c>
      <c r="W75" s="64">
        <v>-368.2</v>
      </c>
      <c r="X75" s="64">
        <v>-376.9</v>
      </c>
      <c r="Y75" s="64">
        <v>-320.39999999999998</v>
      </c>
      <c r="Z75" s="64">
        <v>-316.39999999999998</v>
      </c>
      <c r="AA75" s="64">
        <v>-288</v>
      </c>
      <c r="AB75" s="64">
        <v>-258</v>
      </c>
      <c r="AC75" s="64">
        <v>-234</v>
      </c>
      <c r="AD75" s="64">
        <v>-291</v>
      </c>
      <c r="AE75" s="64">
        <v>-329</v>
      </c>
      <c r="AF75" s="64">
        <v>-311</v>
      </c>
      <c r="AG75" s="74"/>
      <c r="AH75" s="47">
        <f t="shared" si="2"/>
        <v>-212</v>
      </c>
      <c r="AI75" s="48">
        <f t="shared" si="3"/>
        <v>-394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/>
      <c r="K76" s="75"/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/>
      <c r="K77" s="45"/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14">MAX(B77:AF77)</f>
        <v>0</v>
      </c>
      <c r="AI77" s="48">
        <f t="shared" ref="AI77:AI120" si="15">MIN(B77:AF77)</f>
        <v>0</v>
      </c>
      <c r="AK77" s="50"/>
    </row>
    <row r="78" spans="1:40" x14ac:dyDescent="0.25">
      <c r="A78" s="53" t="s">
        <v>86</v>
      </c>
      <c r="B78" s="45">
        <v>5</v>
      </c>
      <c r="C78" s="45">
        <v>5</v>
      </c>
      <c r="D78" s="45">
        <v>5</v>
      </c>
      <c r="E78" s="76">
        <v>5</v>
      </c>
      <c r="F78" s="76">
        <v>5</v>
      </c>
      <c r="G78" s="76">
        <v>0</v>
      </c>
      <c r="H78" s="76">
        <v>0</v>
      </c>
      <c r="I78" s="76">
        <v>0</v>
      </c>
      <c r="J78" s="76"/>
      <c r="K78" s="76"/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5</v>
      </c>
      <c r="AE78" s="76">
        <v>5</v>
      </c>
      <c r="AF78" s="76">
        <v>5</v>
      </c>
      <c r="AG78" s="74"/>
      <c r="AH78" s="47">
        <f t="shared" si="14"/>
        <v>5</v>
      </c>
      <c r="AI78" s="48">
        <f t="shared" si="15"/>
        <v>0</v>
      </c>
      <c r="AK78" s="50"/>
    </row>
    <row r="79" spans="1:40" ht="15.75" thickBot="1" x14ac:dyDescent="0.3">
      <c r="A79" s="53" t="s">
        <v>87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76"/>
      <c r="K79" s="76"/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14"/>
        <v>0</v>
      </c>
      <c r="AI79" s="48">
        <f t="shared" si="15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76"/>
      <c r="K80" s="76"/>
      <c r="L80" s="76">
        <v>0</v>
      </c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14"/>
        <v>0</v>
      </c>
      <c r="AI80" s="48">
        <f t="shared" si="15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76"/>
      <c r="K81" s="76"/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14"/>
        <v>0</v>
      </c>
      <c r="AI81" s="48">
        <f t="shared" si="15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76"/>
      <c r="K82" s="76"/>
      <c r="L82" s="76">
        <v>0</v>
      </c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14"/>
        <v>0</v>
      </c>
      <c r="AI82" s="48">
        <f t="shared" si="15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76"/>
      <c r="K83" s="76"/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14"/>
        <v>0</v>
      </c>
      <c r="AI83" s="48">
        <f t="shared" si="15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16">SUMIF(B73:B83,"&gt;0")</f>
        <v>46.3</v>
      </c>
      <c r="C84" s="60">
        <f t="shared" si="16"/>
        <v>38</v>
      </c>
      <c r="D84" s="60">
        <f t="shared" si="16"/>
        <v>39.5</v>
      </c>
      <c r="E84" s="60">
        <f t="shared" si="16"/>
        <v>40.700000000000003</v>
      </c>
      <c r="F84" s="60">
        <f t="shared" si="16"/>
        <v>44.4</v>
      </c>
      <c r="G84" s="60">
        <f t="shared" si="16"/>
        <v>28</v>
      </c>
      <c r="H84" s="60">
        <f t="shared" si="16"/>
        <v>21</v>
      </c>
      <c r="I84" s="60">
        <f t="shared" si="16"/>
        <v>19.5</v>
      </c>
      <c r="J84" s="60">
        <f t="shared" si="16"/>
        <v>0</v>
      </c>
      <c r="K84" s="60">
        <f t="shared" si="16"/>
        <v>0</v>
      </c>
      <c r="L84" s="60">
        <f t="shared" si="16"/>
        <v>38.200000000000003</v>
      </c>
      <c r="M84" s="60">
        <f t="shared" si="16"/>
        <v>0</v>
      </c>
      <c r="N84" s="60">
        <f t="shared" si="16"/>
        <v>8.3000000000000007</v>
      </c>
      <c r="O84" s="60">
        <f t="shared" si="16"/>
        <v>8.3000000000000007</v>
      </c>
      <c r="P84" s="60">
        <f t="shared" si="16"/>
        <v>8.3000000000000007</v>
      </c>
      <c r="Q84" s="60">
        <f t="shared" ref="Q84" si="17">SUMIF(Q73:Q83,"&gt;0")</f>
        <v>15.2</v>
      </c>
      <c r="R84" s="60">
        <f t="shared" si="16"/>
        <v>20.5</v>
      </c>
      <c r="S84" s="60">
        <f t="shared" si="16"/>
        <v>21.2</v>
      </c>
      <c r="T84" s="60">
        <f t="shared" si="16"/>
        <v>25.4</v>
      </c>
      <c r="U84" s="60">
        <f t="shared" si="16"/>
        <v>17.2</v>
      </c>
      <c r="V84" s="60">
        <f t="shared" si="16"/>
        <v>14.9</v>
      </c>
      <c r="W84" s="60">
        <f t="shared" si="16"/>
        <v>14.7</v>
      </c>
      <c r="X84" s="60">
        <f t="shared" si="16"/>
        <v>9.6999999999999993</v>
      </c>
      <c r="Y84" s="60">
        <f t="shared" si="16"/>
        <v>0</v>
      </c>
      <c r="Z84" s="60">
        <f t="shared" si="16"/>
        <v>0</v>
      </c>
      <c r="AA84" s="60">
        <f t="shared" si="16"/>
        <v>27.7</v>
      </c>
      <c r="AB84" s="60">
        <f t="shared" si="16"/>
        <v>50</v>
      </c>
      <c r="AC84" s="60">
        <f t="shared" si="16"/>
        <v>50.5</v>
      </c>
      <c r="AD84" s="60">
        <f t="shared" si="16"/>
        <v>50.6</v>
      </c>
      <c r="AE84" s="60">
        <f t="shared" si="16"/>
        <v>45</v>
      </c>
      <c r="AF84" s="60">
        <f t="shared" si="16"/>
        <v>50</v>
      </c>
      <c r="AG84" s="87">
        <f>SUM(AG73:AG83)</f>
        <v>0</v>
      </c>
      <c r="AH84" s="47">
        <f t="shared" si="14"/>
        <v>50.6</v>
      </c>
      <c r="AI84" s="48">
        <f t="shared" si="15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4"/>
        <v>0</v>
      </c>
      <c r="AI85" s="48">
        <f t="shared" si="15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4"/>
        <v>0</v>
      </c>
      <c r="AI86" s="48">
        <f t="shared" si="15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4"/>
        <v>0</v>
      </c>
      <c r="AI87" s="48">
        <f t="shared" si="15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4"/>
        <v>0</v>
      </c>
      <c r="AI88" s="48">
        <f t="shared" si="15"/>
        <v>0</v>
      </c>
    </row>
    <row r="89" spans="1:40" ht="15.75" thickBot="1" x14ac:dyDescent="0.3">
      <c r="A89" s="73" t="s">
        <v>100</v>
      </c>
      <c r="B89" s="94">
        <f t="shared" ref="B89:AG89" si="18">B50+B54+B72+B68+B84+B88</f>
        <v>1989.0400000000002</v>
      </c>
      <c r="C89" s="94">
        <f t="shared" si="18"/>
        <v>1848.04</v>
      </c>
      <c r="D89" s="94">
        <f t="shared" si="18"/>
        <v>1894.64</v>
      </c>
      <c r="E89" s="94">
        <f t="shared" si="18"/>
        <v>1906.74</v>
      </c>
      <c r="F89" s="94">
        <f t="shared" si="18"/>
        <v>1936.24</v>
      </c>
      <c r="G89" s="94">
        <f t="shared" si="18"/>
        <v>1920.04</v>
      </c>
      <c r="H89" s="94">
        <f t="shared" si="18"/>
        <v>1914.94</v>
      </c>
      <c r="I89" s="94">
        <f t="shared" si="18"/>
        <v>1916.84</v>
      </c>
      <c r="J89" s="94">
        <f t="shared" si="18"/>
        <v>3.54</v>
      </c>
      <c r="K89" s="94">
        <f t="shared" si="18"/>
        <v>3.54</v>
      </c>
      <c r="L89" s="94">
        <f t="shared" si="18"/>
        <v>1844.64</v>
      </c>
      <c r="M89" s="94">
        <f t="shared" si="18"/>
        <v>1810.64</v>
      </c>
      <c r="N89" s="94">
        <f t="shared" si="18"/>
        <v>1836.0400000000002</v>
      </c>
      <c r="O89" s="94">
        <f t="shared" si="18"/>
        <v>1784.0400000000002</v>
      </c>
      <c r="P89" s="94">
        <f t="shared" si="18"/>
        <v>1746.84</v>
      </c>
      <c r="Q89" s="94">
        <f t="shared" si="18"/>
        <v>1775.74</v>
      </c>
      <c r="R89" s="94">
        <f t="shared" si="18"/>
        <v>1828.54</v>
      </c>
      <c r="S89" s="94">
        <f t="shared" si="18"/>
        <v>1834.74</v>
      </c>
      <c r="T89" s="94">
        <f t="shared" si="18"/>
        <v>1830.0400000000002</v>
      </c>
      <c r="U89" s="94">
        <f t="shared" si="18"/>
        <v>1839.3400000000001</v>
      </c>
      <c r="V89" s="94">
        <f t="shared" si="18"/>
        <v>1826.7400000000002</v>
      </c>
      <c r="W89" s="94">
        <f t="shared" si="18"/>
        <v>1848.1400000000003</v>
      </c>
      <c r="X89" s="94">
        <f t="shared" si="18"/>
        <v>1831.0400000000002</v>
      </c>
      <c r="Y89" s="94">
        <f t="shared" si="18"/>
        <v>1831.8400000000001</v>
      </c>
      <c r="Z89" s="94">
        <f t="shared" si="18"/>
        <v>1866.8400000000001</v>
      </c>
      <c r="AA89" s="94">
        <f t="shared" si="18"/>
        <v>1981.24</v>
      </c>
      <c r="AB89" s="94">
        <f t="shared" si="18"/>
        <v>2003.54</v>
      </c>
      <c r="AC89" s="94">
        <f t="shared" si="18"/>
        <v>1936.94</v>
      </c>
      <c r="AD89" s="94">
        <f t="shared" si="18"/>
        <v>1937.04</v>
      </c>
      <c r="AE89" s="94">
        <f t="shared" si="18"/>
        <v>1907.3400000000001</v>
      </c>
      <c r="AF89" s="94">
        <f t="shared" si="18"/>
        <v>1898.8400000000001</v>
      </c>
      <c r="AG89" s="61">
        <f t="shared" si="18"/>
        <v>2111.5500000000002</v>
      </c>
      <c r="AH89" s="47">
        <f t="shared" si="14"/>
        <v>2003.54</v>
      </c>
      <c r="AI89" s="48">
        <f t="shared" si="15"/>
        <v>3.54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>
        <v>100</v>
      </c>
      <c r="M90" s="96">
        <v>80</v>
      </c>
      <c r="N90" s="96">
        <v>80</v>
      </c>
      <c r="O90" s="96">
        <v>80</v>
      </c>
      <c r="P90" s="96">
        <v>80</v>
      </c>
      <c r="Q90" s="96">
        <v>80</v>
      </c>
      <c r="R90" s="96">
        <v>80</v>
      </c>
      <c r="S90" s="96">
        <v>80</v>
      </c>
      <c r="T90" s="96">
        <v>80</v>
      </c>
      <c r="U90" s="96">
        <v>80</v>
      </c>
      <c r="V90" s="96">
        <v>80</v>
      </c>
      <c r="W90" s="96">
        <v>80</v>
      </c>
      <c r="X90" s="96">
        <v>80</v>
      </c>
      <c r="Y90" s="96">
        <v>60</v>
      </c>
      <c r="Z90" s="96">
        <v>60</v>
      </c>
      <c r="AA90" s="96">
        <v>60</v>
      </c>
      <c r="AB90" s="96"/>
      <c r="AC90" s="96"/>
      <c r="AD90" s="96"/>
      <c r="AE90" s="96"/>
      <c r="AF90" s="96"/>
      <c r="AG90" s="87"/>
      <c r="AH90" s="47">
        <f t="shared" si="14"/>
        <v>100</v>
      </c>
      <c r="AI90" s="48">
        <f t="shared" si="15"/>
        <v>60</v>
      </c>
    </row>
    <row r="91" spans="1:40" ht="15.75" thickBot="1" x14ac:dyDescent="0.3">
      <c r="A91" s="73" t="s">
        <v>102</v>
      </c>
      <c r="B91" s="94">
        <f t="shared" ref="B91:AF91" si="19">B89+B90</f>
        <v>1989.0400000000002</v>
      </c>
      <c r="C91" s="94">
        <f t="shared" si="19"/>
        <v>1848.04</v>
      </c>
      <c r="D91" s="94">
        <f t="shared" si="19"/>
        <v>1894.64</v>
      </c>
      <c r="E91" s="94">
        <f t="shared" si="19"/>
        <v>1906.74</v>
      </c>
      <c r="F91" s="94">
        <f t="shared" si="19"/>
        <v>1936.24</v>
      </c>
      <c r="G91" s="94">
        <f t="shared" si="19"/>
        <v>1920.04</v>
      </c>
      <c r="H91" s="94">
        <f t="shared" si="19"/>
        <v>1914.94</v>
      </c>
      <c r="I91" s="94">
        <f t="shared" si="19"/>
        <v>1916.84</v>
      </c>
      <c r="J91" s="94">
        <f t="shared" si="19"/>
        <v>3.54</v>
      </c>
      <c r="K91" s="94">
        <f t="shared" si="19"/>
        <v>3.54</v>
      </c>
      <c r="L91" s="94">
        <f t="shared" si="19"/>
        <v>1944.64</v>
      </c>
      <c r="M91" s="94">
        <f t="shared" si="19"/>
        <v>1890.64</v>
      </c>
      <c r="N91" s="94">
        <f t="shared" si="19"/>
        <v>1916.0400000000002</v>
      </c>
      <c r="O91" s="94">
        <f t="shared" si="19"/>
        <v>1864.0400000000002</v>
      </c>
      <c r="P91" s="94">
        <f t="shared" si="19"/>
        <v>1826.84</v>
      </c>
      <c r="Q91" s="94">
        <f t="shared" si="19"/>
        <v>1855.74</v>
      </c>
      <c r="R91" s="94">
        <f t="shared" si="19"/>
        <v>1908.54</v>
      </c>
      <c r="S91" s="94">
        <f t="shared" si="19"/>
        <v>1914.74</v>
      </c>
      <c r="T91" s="94">
        <f>T89+T90</f>
        <v>1910.0400000000002</v>
      </c>
      <c r="U91" s="94">
        <f t="shared" si="19"/>
        <v>1919.3400000000001</v>
      </c>
      <c r="V91" s="94">
        <f t="shared" si="19"/>
        <v>1906.7400000000002</v>
      </c>
      <c r="W91" s="94">
        <f t="shared" si="19"/>
        <v>1928.1400000000003</v>
      </c>
      <c r="X91" s="94">
        <f t="shared" si="19"/>
        <v>1911.0400000000002</v>
      </c>
      <c r="Y91" s="94">
        <f t="shared" si="19"/>
        <v>1891.8400000000001</v>
      </c>
      <c r="Z91" s="94">
        <f t="shared" si="19"/>
        <v>1926.8400000000001</v>
      </c>
      <c r="AA91" s="94">
        <f t="shared" si="19"/>
        <v>2041.24</v>
      </c>
      <c r="AB91" s="94">
        <f t="shared" si="19"/>
        <v>2003.54</v>
      </c>
      <c r="AC91" s="94">
        <f t="shared" si="19"/>
        <v>1936.94</v>
      </c>
      <c r="AD91" s="94">
        <f t="shared" si="19"/>
        <v>1937.04</v>
      </c>
      <c r="AE91" s="94">
        <f t="shared" si="19"/>
        <v>1907.3400000000001</v>
      </c>
      <c r="AF91" s="94">
        <f t="shared" si="19"/>
        <v>1898.8400000000001</v>
      </c>
      <c r="AG91" s="87">
        <f>AG88+AG84+AG72+AG68+AG50+AG90</f>
        <v>1573.45</v>
      </c>
      <c r="AH91" s="47">
        <f t="shared" si="14"/>
        <v>2041.24</v>
      </c>
      <c r="AI91" s="48">
        <f t="shared" si="15"/>
        <v>3.54</v>
      </c>
    </row>
    <row r="92" spans="1:40" ht="15.75" thickBot="1" x14ac:dyDescent="0.3">
      <c r="A92" s="73" t="s">
        <v>103</v>
      </c>
      <c r="B92" s="94">
        <f t="shared" ref="B92:AF92" si="20">B91-B99</f>
        <v>1989.0400000000002</v>
      </c>
      <c r="C92" s="94">
        <f t="shared" si="20"/>
        <v>1848.04</v>
      </c>
      <c r="D92" s="94">
        <f t="shared" si="20"/>
        <v>1894.64</v>
      </c>
      <c r="E92" s="94">
        <f t="shared" si="20"/>
        <v>1906.74</v>
      </c>
      <c r="F92" s="94">
        <f t="shared" si="20"/>
        <v>1936.24</v>
      </c>
      <c r="G92" s="94">
        <f t="shared" si="20"/>
        <v>1920.04</v>
      </c>
      <c r="H92" s="94">
        <f t="shared" si="20"/>
        <v>1914.94</v>
      </c>
      <c r="I92" s="94">
        <f t="shared" si="20"/>
        <v>1916.84</v>
      </c>
      <c r="J92" s="94">
        <f t="shared" si="20"/>
        <v>3.54</v>
      </c>
      <c r="K92" s="94">
        <f t="shared" si="20"/>
        <v>3.54</v>
      </c>
      <c r="L92" s="94">
        <f t="shared" si="20"/>
        <v>1944.64</v>
      </c>
      <c r="M92" s="94">
        <f t="shared" si="20"/>
        <v>1890.64</v>
      </c>
      <c r="N92" s="94">
        <f t="shared" si="20"/>
        <v>1916.0400000000002</v>
      </c>
      <c r="O92" s="94">
        <f t="shared" si="20"/>
        <v>1864.0400000000002</v>
      </c>
      <c r="P92" s="94">
        <f t="shared" si="20"/>
        <v>1826.84</v>
      </c>
      <c r="Q92" s="94">
        <f t="shared" si="20"/>
        <v>1855.74</v>
      </c>
      <c r="R92" s="94">
        <f t="shared" si="20"/>
        <v>1908.54</v>
      </c>
      <c r="S92" s="94">
        <f t="shared" si="20"/>
        <v>1914.74</v>
      </c>
      <c r="T92" s="94">
        <f t="shared" si="20"/>
        <v>1910.0400000000002</v>
      </c>
      <c r="U92" s="94">
        <f t="shared" si="20"/>
        <v>1919.3400000000001</v>
      </c>
      <c r="V92" s="94">
        <f t="shared" si="20"/>
        <v>1906.7400000000002</v>
      </c>
      <c r="W92" s="94">
        <f t="shared" si="20"/>
        <v>1928.1400000000003</v>
      </c>
      <c r="X92" s="94">
        <f t="shared" si="20"/>
        <v>1911.0400000000002</v>
      </c>
      <c r="Y92" s="94">
        <f t="shared" si="20"/>
        <v>1891.8400000000001</v>
      </c>
      <c r="Z92" s="94">
        <f t="shared" si="20"/>
        <v>1926.8400000000001</v>
      </c>
      <c r="AA92" s="94">
        <f t="shared" si="20"/>
        <v>2041.24</v>
      </c>
      <c r="AB92" s="94">
        <f t="shared" si="20"/>
        <v>2003.54</v>
      </c>
      <c r="AC92" s="94">
        <f t="shared" si="20"/>
        <v>1936.94</v>
      </c>
      <c r="AD92" s="94">
        <f t="shared" si="20"/>
        <v>1937.04</v>
      </c>
      <c r="AE92" s="94">
        <f t="shared" si="20"/>
        <v>1907.3400000000001</v>
      </c>
      <c r="AF92" s="94">
        <f t="shared" si="20"/>
        <v>1898.8400000000001</v>
      </c>
      <c r="AG92" s="87"/>
      <c r="AH92" s="47">
        <f t="shared" si="14"/>
        <v>2041.24</v>
      </c>
      <c r="AI92" s="48">
        <f t="shared" si="15"/>
        <v>3.54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4"/>
        <v>0</v>
      </c>
      <c r="AI93" s="48">
        <f t="shared" si="15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4"/>
        <v>0</v>
      </c>
      <c r="AI94" s="48">
        <f t="shared" si="15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4"/>
        <v>0</v>
      </c>
      <c r="AI95" s="48">
        <f t="shared" si="15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4"/>
        <v>0</v>
      </c>
      <c r="AI96" s="48">
        <f t="shared" si="15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4"/>
        <v>0</v>
      </c>
      <c r="AI97" s="48">
        <f t="shared" si="15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4"/>
        <v>0</v>
      </c>
      <c r="AI98" s="48">
        <f t="shared" si="15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14"/>
        <v>0</v>
      </c>
      <c r="AI99" s="48">
        <f t="shared" si="15"/>
        <v>0</v>
      </c>
      <c r="AK99" s="50"/>
    </row>
    <row r="100" spans="1:37" ht="15.75" thickBot="1" x14ac:dyDescent="0.3">
      <c r="A100" s="73" t="s">
        <v>108</v>
      </c>
      <c r="B100" s="60">
        <f t="shared" ref="B100:AF100" si="21">B84-B99</f>
        <v>46.3</v>
      </c>
      <c r="C100" s="60">
        <f t="shared" si="21"/>
        <v>38</v>
      </c>
      <c r="D100" s="60">
        <f t="shared" si="21"/>
        <v>39.5</v>
      </c>
      <c r="E100" s="60">
        <f t="shared" si="21"/>
        <v>40.700000000000003</v>
      </c>
      <c r="F100" s="60">
        <f t="shared" si="21"/>
        <v>44.4</v>
      </c>
      <c r="G100" s="60">
        <f t="shared" si="21"/>
        <v>28</v>
      </c>
      <c r="H100" s="60">
        <f t="shared" si="21"/>
        <v>21</v>
      </c>
      <c r="I100" s="60">
        <f t="shared" si="21"/>
        <v>19.5</v>
      </c>
      <c r="J100" s="60">
        <f t="shared" si="21"/>
        <v>0</v>
      </c>
      <c r="K100" s="60">
        <f t="shared" si="21"/>
        <v>0</v>
      </c>
      <c r="L100" s="60">
        <f t="shared" si="21"/>
        <v>38.200000000000003</v>
      </c>
      <c r="M100" s="60">
        <f t="shared" si="21"/>
        <v>0</v>
      </c>
      <c r="N100" s="60">
        <f t="shared" si="21"/>
        <v>8.3000000000000007</v>
      </c>
      <c r="O100" s="60">
        <f t="shared" si="21"/>
        <v>8.3000000000000007</v>
      </c>
      <c r="P100" s="60">
        <f t="shared" si="21"/>
        <v>8.3000000000000007</v>
      </c>
      <c r="Q100" s="60">
        <f t="shared" si="21"/>
        <v>15.2</v>
      </c>
      <c r="R100" s="60">
        <f t="shared" si="21"/>
        <v>20.5</v>
      </c>
      <c r="S100" s="60">
        <f t="shared" si="21"/>
        <v>21.2</v>
      </c>
      <c r="T100" s="60">
        <f t="shared" si="21"/>
        <v>25.4</v>
      </c>
      <c r="U100" s="60">
        <f t="shared" si="21"/>
        <v>17.2</v>
      </c>
      <c r="V100" s="60">
        <f t="shared" si="21"/>
        <v>14.9</v>
      </c>
      <c r="W100" s="60">
        <f t="shared" si="21"/>
        <v>14.7</v>
      </c>
      <c r="X100" s="60">
        <f t="shared" si="21"/>
        <v>9.6999999999999993</v>
      </c>
      <c r="Y100" s="60">
        <f t="shared" si="21"/>
        <v>0</v>
      </c>
      <c r="Z100" s="60">
        <f t="shared" si="21"/>
        <v>0</v>
      </c>
      <c r="AA100" s="60">
        <f t="shared" si="21"/>
        <v>27.7</v>
      </c>
      <c r="AB100" s="60">
        <f t="shared" si="21"/>
        <v>50</v>
      </c>
      <c r="AC100" s="60">
        <f t="shared" si="21"/>
        <v>50.5</v>
      </c>
      <c r="AD100" s="60">
        <f t="shared" si="21"/>
        <v>50.6</v>
      </c>
      <c r="AE100" s="60">
        <f t="shared" si="21"/>
        <v>45</v>
      </c>
      <c r="AF100" s="60">
        <f t="shared" si="21"/>
        <v>50</v>
      </c>
      <c r="AG100" s="87"/>
      <c r="AH100" s="47">
        <f t="shared" si="14"/>
        <v>50.6</v>
      </c>
      <c r="AI100" s="48">
        <f t="shared" si="15"/>
        <v>0</v>
      </c>
    </row>
    <row r="101" spans="1:37" x14ac:dyDescent="0.25">
      <c r="A101" s="99" t="s">
        <v>109</v>
      </c>
      <c r="B101" s="100">
        <v>49.994999999999997</v>
      </c>
      <c r="C101" s="100">
        <v>50.02</v>
      </c>
      <c r="D101" s="100">
        <v>50.030999999999999</v>
      </c>
      <c r="E101" s="100">
        <v>49.970999999999997</v>
      </c>
      <c r="F101" s="100">
        <v>50.037999999999997</v>
      </c>
      <c r="G101" s="100">
        <v>50.005000000000003</v>
      </c>
      <c r="H101" s="100">
        <v>50.036000000000001</v>
      </c>
      <c r="I101" s="100">
        <v>49.920999999999999</v>
      </c>
      <c r="J101" s="100"/>
      <c r="K101" s="100"/>
      <c r="L101" s="100">
        <v>50.02</v>
      </c>
      <c r="M101" s="100">
        <v>49.99</v>
      </c>
      <c r="N101" s="100">
        <v>49.94</v>
      </c>
      <c r="O101" s="100">
        <v>49.94</v>
      </c>
      <c r="P101" s="100">
        <v>50.06</v>
      </c>
      <c r="Q101" s="100">
        <v>50.02</v>
      </c>
      <c r="R101" s="100">
        <v>49.96</v>
      </c>
      <c r="S101" s="100">
        <v>50.033999999999999</v>
      </c>
      <c r="T101" s="100">
        <v>49.906999999999996</v>
      </c>
      <c r="U101" s="100">
        <v>50.091999999999999</v>
      </c>
      <c r="V101" s="100">
        <v>50.033000000000001</v>
      </c>
      <c r="W101" s="100">
        <v>50.002000000000002</v>
      </c>
      <c r="X101" s="100">
        <v>49.948999999999998</v>
      </c>
      <c r="Y101" s="100">
        <v>49.972999999999999</v>
      </c>
      <c r="Z101" s="100">
        <v>50.042000000000002</v>
      </c>
      <c r="AA101" s="100">
        <v>50.036999999999999</v>
      </c>
      <c r="AB101" s="100">
        <v>50.033000000000001</v>
      </c>
      <c r="AC101" s="100">
        <v>50.033000000000001</v>
      </c>
      <c r="AD101" s="100">
        <v>49.988</v>
      </c>
      <c r="AE101" s="100">
        <v>50.085999999999999</v>
      </c>
      <c r="AF101" s="100">
        <v>50.024000000000001</v>
      </c>
      <c r="AG101" s="101"/>
      <c r="AH101" s="47">
        <f t="shared" si="14"/>
        <v>50.091999999999999</v>
      </c>
      <c r="AI101" s="48">
        <f t="shared" si="15"/>
        <v>49.906999999999996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4"/>
        <v>0</v>
      </c>
      <c r="AI102" s="48">
        <f t="shared" si="15"/>
        <v>0</v>
      </c>
    </row>
    <row r="103" spans="1:37" x14ac:dyDescent="0.25">
      <c r="A103" s="102" t="s">
        <v>111</v>
      </c>
      <c r="B103" s="64">
        <v>129</v>
      </c>
      <c r="C103" s="64">
        <v>129</v>
      </c>
      <c r="D103" s="64">
        <v>128.30000000000001</v>
      </c>
      <c r="E103" s="64">
        <v>128.80000000000001</v>
      </c>
      <c r="F103" s="64">
        <v>127.9</v>
      </c>
      <c r="G103" s="64">
        <v>129.9</v>
      </c>
      <c r="H103" s="64">
        <v>129.19999999999999</v>
      </c>
      <c r="I103" s="64">
        <v>127.4</v>
      </c>
      <c r="J103" s="64"/>
      <c r="K103" s="64"/>
      <c r="L103" s="64">
        <v>128.19999999999999</v>
      </c>
      <c r="M103" s="64">
        <v>127.7</v>
      </c>
      <c r="N103" s="64">
        <v>128.6</v>
      </c>
      <c r="O103" s="64">
        <v>128.6</v>
      </c>
      <c r="P103" s="64">
        <v>127.7</v>
      </c>
      <c r="Q103" s="64">
        <v>128.19999999999999</v>
      </c>
      <c r="R103" s="64">
        <v>128.19999999999999</v>
      </c>
      <c r="S103" s="64">
        <v>128.80000000000001</v>
      </c>
      <c r="T103" s="64">
        <v>129.6</v>
      </c>
      <c r="U103" s="64">
        <v>130</v>
      </c>
      <c r="V103" s="64">
        <v>130</v>
      </c>
      <c r="W103" s="64">
        <v>129.9</v>
      </c>
      <c r="X103" s="64">
        <v>129.19999999999999</v>
      </c>
      <c r="Y103" s="64">
        <v>128.1</v>
      </c>
      <c r="Z103" s="64">
        <v>127.7</v>
      </c>
      <c r="AA103" s="64">
        <v>128</v>
      </c>
      <c r="AB103" s="64">
        <v>129</v>
      </c>
      <c r="AC103" s="64">
        <v>129</v>
      </c>
      <c r="AD103" s="64">
        <v>129.5</v>
      </c>
      <c r="AE103" s="64">
        <v>128.6</v>
      </c>
      <c r="AF103" s="64">
        <v>129.6</v>
      </c>
      <c r="AG103" s="103"/>
      <c r="AH103" s="47">
        <f t="shared" si="14"/>
        <v>130</v>
      </c>
      <c r="AI103" s="48">
        <f t="shared" si="15"/>
        <v>127.4</v>
      </c>
    </row>
    <row r="104" spans="1:37" x14ac:dyDescent="0.25">
      <c r="A104" s="102" t="s">
        <v>112</v>
      </c>
      <c r="B104" s="64">
        <v>128.1</v>
      </c>
      <c r="C104" s="64">
        <v>128.1</v>
      </c>
      <c r="D104" s="64">
        <v>126.9</v>
      </c>
      <c r="E104" s="64">
        <v>129.80000000000001</v>
      </c>
      <c r="F104" s="64">
        <v>128.4</v>
      </c>
      <c r="G104" s="64">
        <v>128.69999999999999</v>
      </c>
      <c r="H104" s="64">
        <v>130.19999999999999</v>
      </c>
      <c r="I104" s="64">
        <v>129.9</v>
      </c>
      <c r="J104" s="64"/>
      <c r="K104" s="64"/>
      <c r="L104" s="64">
        <v>130.6</v>
      </c>
      <c r="M104" s="64">
        <v>129.30000000000001</v>
      </c>
      <c r="N104" s="64">
        <v>126.2</v>
      </c>
      <c r="O104" s="64">
        <v>126.2</v>
      </c>
      <c r="P104" s="64">
        <v>128.69999999999999</v>
      </c>
      <c r="Q104" s="64">
        <v>131.80000000000001</v>
      </c>
      <c r="R104" s="64">
        <v>125</v>
      </c>
      <c r="S104" s="64">
        <v>127.1</v>
      </c>
      <c r="T104" s="64">
        <v>131.80000000000001</v>
      </c>
      <c r="U104" s="64">
        <v>127.3</v>
      </c>
      <c r="V104" s="64">
        <v>127.5</v>
      </c>
      <c r="W104" s="64">
        <v>128.30000000000001</v>
      </c>
      <c r="X104" s="64">
        <v>130.1</v>
      </c>
      <c r="Y104" s="64">
        <v>129.5</v>
      </c>
      <c r="Z104" s="64">
        <v>128</v>
      </c>
      <c r="AA104" s="64">
        <v>126.7</v>
      </c>
      <c r="AB104" s="64">
        <v>124.2</v>
      </c>
      <c r="AC104" s="64">
        <v>124.2</v>
      </c>
      <c r="AD104" s="64">
        <v>125.4</v>
      </c>
      <c r="AE104" s="64">
        <v>125.4</v>
      </c>
      <c r="AF104" s="64">
        <v>127.1</v>
      </c>
      <c r="AG104" s="103"/>
      <c r="AH104" s="47">
        <f t="shared" si="14"/>
        <v>131.80000000000001</v>
      </c>
      <c r="AI104" s="48">
        <f t="shared" si="15"/>
        <v>124.2</v>
      </c>
    </row>
    <row r="105" spans="1:37" x14ac:dyDescent="0.25">
      <c r="A105" s="104" t="s">
        <v>113</v>
      </c>
      <c r="B105" s="64">
        <v>129.5</v>
      </c>
      <c r="C105" s="64">
        <v>129.5</v>
      </c>
      <c r="D105" s="64">
        <v>129.5</v>
      </c>
      <c r="E105" s="64">
        <v>131.1</v>
      </c>
      <c r="F105" s="64">
        <v>129.80000000000001</v>
      </c>
      <c r="G105" s="64">
        <v>130.69999999999999</v>
      </c>
      <c r="H105" s="64">
        <v>131.30000000000001</v>
      </c>
      <c r="I105" s="64">
        <v>130.30000000000001</v>
      </c>
      <c r="J105" s="64"/>
      <c r="K105" s="64"/>
      <c r="L105" s="64">
        <v>128.69999999999999</v>
      </c>
      <c r="M105" s="64">
        <v>128.4</v>
      </c>
      <c r="N105" s="64">
        <v>124.2</v>
      </c>
      <c r="O105" s="64">
        <v>124.2</v>
      </c>
      <c r="P105" s="64">
        <v>127.4</v>
      </c>
      <c r="Q105" s="64">
        <v>130.5</v>
      </c>
      <c r="R105" s="64">
        <v>125.8</v>
      </c>
      <c r="S105" s="64">
        <v>127.9</v>
      </c>
      <c r="T105" s="64">
        <v>130.6</v>
      </c>
      <c r="U105" s="64">
        <v>127.3</v>
      </c>
      <c r="V105" s="64">
        <v>128.6</v>
      </c>
      <c r="W105" s="64">
        <v>129.19999999999999</v>
      </c>
      <c r="X105" s="64">
        <v>132</v>
      </c>
      <c r="Y105" s="64">
        <v>131.9</v>
      </c>
      <c r="Z105" s="64">
        <v>127.4</v>
      </c>
      <c r="AA105" s="64">
        <v>128.30000000000001</v>
      </c>
      <c r="AB105" s="64">
        <v>125.9</v>
      </c>
      <c r="AC105" s="64">
        <v>125.9</v>
      </c>
      <c r="AD105" s="64">
        <v>126.8</v>
      </c>
      <c r="AE105" s="64">
        <v>126.8</v>
      </c>
      <c r="AF105" s="64">
        <v>129.1</v>
      </c>
      <c r="AG105" s="103"/>
      <c r="AH105" s="47">
        <f t="shared" si="14"/>
        <v>132</v>
      </c>
      <c r="AI105" s="48">
        <f t="shared" si="15"/>
        <v>124.2</v>
      </c>
    </row>
    <row r="106" spans="1:37" x14ac:dyDescent="0.25">
      <c r="A106" s="104" t="s">
        <v>114</v>
      </c>
      <c r="B106" s="105">
        <v>131.9</v>
      </c>
      <c r="C106" s="105">
        <v>131.9</v>
      </c>
      <c r="D106" s="105">
        <v>129.4</v>
      </c>
      <c r="E106" s="105">
        <v>130.19999999999999</v>
      </c>
      <c r="F106" s="105">
        <v>131</v>
      </c>
      <c r="G106" s="105">
        <v>133.30000000000001</v>
      </c>
      <c r="H106" s="105">
        <v>132.6</v>
      </c>
      <c r="I106" s="105">
        <v>132.1</v>
      </c>
      <c r="J106" s="105"/>
      <c r="K106" s="105"/>
      <c r="L106" s="105">
        <v>135.6</v>
      </c>
      <c r="M106" s="105">
        <v>132</v>
      </c>
      <c r="N106" s="105">
        <v>129.4</v>
      </c>
      <c r="O106" s="105">
        <v>129.4</v>
      </c>
      <c r="P106" s="105">
        <v>128.69999999999999</v>
      </c>
      <c r="Q106" s="105">
        <v>131.6</v>
      </c>
      <c r="R106" s="105">
        <v>129.1</v>
      </c>
      <c r="S106" s="105">
        <v>129.5</v>
      </c>
      <c r="T106" s="105">
        <v>134.30000000000001</v>
      </c>
      <c r="U106" s="105">
        <v>133.6</v>
      </c>
      <c r="V106" s="105">
        <v>135.4</v>
      </c>
      <c r="W106" s="105">
        <v>133.80000000000001</v>
      </c>
      <c r="X106" s="105">
        <v>133.1</v>
      </c>
      <c r="Y106" s="105">
        <v>132.19999999999999</v>
      </c>
      <c r="Z106" s="105">
        <v>132.80000000000001</v>
      </c>
      <c r="AA106" s="105">
        <v>135.19999999999999</v>
      </c>
      <c r="AB106" s="105">
        <v>133.4</v>
      </c>
      <c r="AC106" s="105">
        <v>133.4</v>
      </c>
      <c r="AD106" s="105">
        <v>132.1</v>
      </c>
      <c r="AE106" s="105">
        <v>132.5</v>
      </c>
      <c r="AF106" s="105">
        <v>129</v>
      </c>
      <c r="AG106" s="106"/>
      <c r="AH106" s="47">
        <f t="shared" si="14"/>
        <v>135.6</v>
      </c>
      <c r="AI106" s="48">
        <f t="shared" si="15"/>
        <v>128.69999999999999</v>
      </c>
    </row>
    <row r="107" spans="1:37" x14ac:dyDescent="0.25">
      <c r="A107" s="102" t="s">
        <v>115</v>
      </c>
      <c r="B107" s="64">
        <v>123.7</v>
      </c>
      <c r="C107" s="64">
        <v>123.7</v>
      </c>
      <c r="D107" s="64">
        <v>131.9</v>
      </c>
      <c r="E107" s="64">
        <v>131.4</v>
      </c>
      <c r="F107" s="64">
        <v>134.5</v>
      </c>
      <c r="G107" s="64">
        <v>133.30000000000001</v>
      </c>
      <c r="H107" s="64">
        <v>132.69999999999999</v>
      </c>
      <c r="I107" s="64">
        <v>131</v>
      </c>
      <c r="J107" s="64"/>
      <c r="K107" s="64"/>
      <c r="L107" s="64">
        <v>127</v>
      </c>
      <c r="M107" s="64">
        <v>131.6</v>
      </c>
      <c r="N107" s="64">
        <v>129.9</v>
      </c>
      <c r="O107" s="64">
        <v>129.9</v>
      </c>
      <c r="P107" s="64">
        <v>126.5</v>
      </c>
      <c r="Q107" s="64">
        <v>131</v>
      </c>
      <c r="R107" s="64">
        <v>128.30000000000001</v>
      </c>
      <c r="S107" s="64">
        <v>122</v>
      </c>
      <c r="T107" s="64">
        <v>135.80000000000001</v>
      </c>
      <c r="U107" s="64">
        <v>130.6</v>
      </c>
      <c r="V107" s="64">
        <v>132.1</v>
      </c>
      <c r="W107" s="64">
        <v>127.4</v>
      </c>
      <c r="X107" s="64">
        <v>126.5</v>
      </c>
      <c r="Y107" s="64">
        <v>127.7</v>
      </c>
      <c r="Z107" s="64">
        <v>133.1</v>
      </c>
      <c r="AA107" s="64">
        <v>124.4</v>
      </c>
      <c r="AB107" s="64">
        <v>134.80000000000001</v>
      </c>
      <c r="AC107" s="64">
        <v>134.80000000000001</v>
      </c>
      <c r="AD107" s="64">
        <v>129.4</v>
      </c>
      <c r="AE107" s="64">
        <v>127.5</v>
      </c>
      <c r="AF107" s="64">
        <v>125.3</v>
      </c>
      <c r="AG107" s="103"/>
      <c r="AH107" s="47">
        <f t="shared" si="14"/>
        <v>135.80000000000001</v>
      </c>
      <c r="AI107" s="48">
        <f t="shared" si="15"/>
        <v>122</v>
      </c>
    </row>
    <row r="108" spans="1:37" ht="15.75" thickBot="1" x14ac:dyDescent="0.3">
      <c r="A108" s="102" t="s">
        <v>116</v>
      </c>
      <c r="B108" s="91">
        <v>65.400000000000006</v>
      </c>
      <c r="C108" s="91">
        <v>65.400000000000006</v>
      </c>
      <c r="D108" s="91">
        <v>64.5</v>
      </c>
      <c r="E108" s="91">
        <v>64.8</v>
      </c>
      <c r="F108" s="91">
        <v>64.3</v>
      </c>
      <c r="G108" s="91">
        <v>65.099999999999994</v>
      </c>
      <c r="H108" s="91">
        <v>64.7</v>
      </c>
      <c r="I108" s="91">
        <v>63.7</v>
      </c>
      <c r="J108" s="91"/>
      <c r="K108" s="91"/>
      <c r="L108" s="91">
        <v>64.099999999999994</v>
      </c>
      <c r="M108" s="91">
        <v>64.3</v>
      </c>
      <c r="N108" s="91">
        <v>64.3</v>
      </c>
      <c r="O108" s="91">
        <v>64.3</v>
      </c>
      <c r="P108" s="91">
        <v>63.9</v>
      </c>
      <c r="Q108" s="91">
        <v>64.2</v>
      </c>
      <c r="R108" s="91">
        <v>63.8</v>
      </c>
      <c r="S108" s="91">
        <v>64.599999999999994</v>
      </c>
      <c r="T108" s="91">
        <v>64.599999999999994</v>
      </c>
      <c r="U108" s="91">
        <v>65.099999999999994</v>
      </c>
      <c r="V108" s="91">
        <v>65.099999999999994</v>
      </c>
      <c r="W108" s="91">
        <v>65.099999999999994</v>
      </c>
      <c r="X108" s="91">
        <v>64.8</v>
      </c>
      <c r="Y108" s="91">
        <v>64.2</v>
      </c>
      <c r="Z108" s="91">
        <v>64.3</v>
      </c>
      <c r="AA108" s="91">
        <v>64.2</v>
      </c>
      <c r="AB108" s="91">
        <v>64.7</v>
      </c>
      <c r="AC108" s="91">
        <v>64.7</v>
      </c>
      <c r="AD108" s="91">
        <v>65.2</v>
      </c>
      <c r="AE108" s="91">
        <v>128.6</v>
      </c>
      <c r="AF108" s="91">
        <v>129.6</v>
      </c>
      <c r="AG108" s="107"/>
      <c r="AH108" s="47">
        <f t="shared" si="14"/>
        <v>129.6</v>
      </c>
      <c r="AI108" s="48">
        <f t="shared" si="15"/>
        <v>63.7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14"/>
        <v>0</v>
      </c>
      <c r="AI109" s="48">
        <f t="shared" si="15"/>
        <v>0</v>
      </c>
    </row>
    <row r="110" spans="1:37" ht="15.75" thickBot="1" x14ac:dyDescent="0.3">
      <c r="A110" s="109" t="s">
        <v>118</v>
      </c>
      <c r="B110" s="110">
        <f t="shared" ref="B110:O110" si="22">SUM(B20,B26,B29:B30,B58,B60:B61,B63,B65,B111:B115,B138,B144,B150,B159,B161,B173,B180,B183:B184,B191,B193,B195,B199:B201,B203:B205,B210,B216:B217,B219:B221,B229,B234)</f>
        <v>49.999999999999986</v>
      </c>
      <c r="C110" s="110">
        <f t="shared" si="22"/>
        <v>2.7399999999999936</v>
      </c>
      <c r="D110" s="110">
        <f t="shared" si="22"/>
        <v>20.339999999999989</v>
      </c>
      <c r="E110" s="110">
        <f t="shared" si="22"/>
        <v>4.2399999999999931</v>
      </c>
      <c r="F110" s="110">
        <f t="shared" si="22"/>
        <v>16.939999999999966</v>
      </c>
      <c r="G110" s="110">
        <f t="shared" si="22"/>
        <v>35.840000000000003</v>
      </c>
      <c r="H110" s="110">
        <f t="shared" si="22"/>
        <v>47.14</v>
      </c>
      <c r="I110" s="110">
        <f t="shared" si="22"/>
        <v>57.239999999999981</v>
      </c>
      <c r="J110" s="110">
        <f t="shared" si="22"/>
        <v>0.94</v>
      </c>
      <c r="K110" s="110">
        <f t="shared" si="22"/>
        <v>0.94</v>
      </c>
      <c r="L110" s="110">
        <f t="shared" si="22"/>
        <v>122.94000000000001</v>
      </c>
      <c r="M110" s="110">
        <f t="shared" si="22"/>
        <v>113.24000000000001</v>
      </c>
      <c r="N110" s="110">
        <f t="shared" si="22"/>
        <v>113.63999999999997</v>
      </c>
      <c r="O110" s="110">
        <f t="shared" si="22"/>
        <v>113.63999999999997</v>
      </c>
      <c r="P110" s="110">
        <v>42</v>
      </c>
      <c r="Q110" s="110">
        <f t="shared" ref="Q110:AF110" si="23">SUM(Q20,Q26,Q29:Q30,Q58,Q60:Q61,Q63,Q65,Q111:Q115,Q138,Q144,Q150,Q159,Q161,Q173,Q180,Q183:Q184,Q191,Q193,Q195,Q199:Q201,Q203:Q205,Q210,Q216:Q217,Q219:Q221,Q229,Q234)</f>
        <v>113.89999999999998</v>
      </c>
      <c r="R110" s="110">
        <f t="shared" si="23"/>
        <v>183.3</v>
      </c>
      <c r="S110" s="110">
        <f t="shared" si="23"/>
        <v>105.10000000000002</v>
      </c>
      <c r="T110" s="110">
        <f t="shared" si="23"/>
        <v>121.50000000000001</v>
      </c>
      <c r="U110" s="110">
        <f t="shared" si="23"/>
        <v>106.79999999999998</v>
      </c>
      <c r="V110" s="110">
        <f t="shared" si="23"/>
        <v>103.59999999999998</v>
      </c>
      <c r="W110" s="110">
        <f t="shared" si="23"/>
        <v>99.100000000000009</v>
      </c>
      <c r="X110" s="110">
        <f t="shared" si="23"/>
        <v>120.89999999999998</v>
      </c>
      <c r="Y110" s="110">
        <f t="shared" si="23"/>
        <v>158.5</v>
      </c>
      <c r="Z110" s="110">
        <f t="shared" si="23"/>
        <v>162.29999999999998</v>
      </c>
      <c r="AA110" s="110">
        <f t="shared" si="23"/>
        <v>191.3</v>
      </c>
      <c r="AB110" s="110">
        <f t="shared" si="23"/>
        <v>230.20000000000005</v>
      </c>
      <c r="AC110" s="110">
        <f t="shared" si="23"/>
        <v>226.10000000000002</v>
      </c>
      <c r="AD110" s="110"/>
      <c r="AE110" s="110">
        <f t="shared" si="23"/>
        <v>116.29999999999998</v>
      </c>
      <c r="AF110" s="110">
        <f t="shared" si="23"/>
        <v>14.6</v>
      </c>
      <c r="AG110" s="111"/>
      <c r="AH110" s="47">
        <f t="shared" si="14"/>
        <v>230.20000000000005</v>
      </c>
      <c r="AI110" s="48">
        <f t="shared" si="15"/>
        <v>0.94</v>
      </c>
    </row>
    <row r="111" spans="1:37" x14ac:dyDescent="0.25">
      <c r="A111" s="99" t="s">
        <v>119</v>
      </c>
      <c r="B111" s="112">
        <v>32.1</v>
      </c>
      <c r="C111" s="112">
        <v>32.1</v>
      </c>
      <c r="D111" s="112">
        <v>23.5</v>
      </c>
      <c r="E111" s="112">
        <v>9.6999999999999993</v>
      </c>
      <c r="F111" s="112">
        <v>22.7</v>
      </c>
      <c r="G111" s="112">
        <v>21.1</v>
      </c>
      <c r="H111" s="112">
        <v>27.1</v>
      </c>
      <c r="I111" s="112">
        <v>32.5</v>
      </c>
      <c r="J111" s="112"/>
      <c r="K111" s="112"/>
      <c r="L111" s="112">
        <v>15.4</v>
      </c>
      <c r="M111" s="112">
        <v>10.8</v>
      </c>
      <c r="N111" s="112">
        <v>12.7</v>
      </c>
      <c r="O111" s="112">
        <v>12.7</v>
      </c>
      <c r="P111" s="112">
        <v>11.9</v>
      </c>
      <c r="Q111" s="112">
        <v>9.1999999999999993</v>
      </c>
      <c r="R111" s="112">
        <v>10.5</v>
      </c>
      <c r="S111" s="112">
        <v>21.9</v>
      </c>
      <c r="T111" s="112">
        <v>18.899999999999999</v>
      </c>
      <c r="U111" s="112">
        <v>2.2000000000000002</v>
      </c>
      <c r="V111" s="112">
        <v>5.8</v>
      </c>
      <c r="W111" s="112">
        <v>21.8</v>
      </c>
      <c r="X111" s="112">
        <v>28.4</v>
      </c>
      <c r="Y111" s="112">
        <v>22.5</v>
      </c>
      <c r="Z111" s="112">
        <v>38.6</v>
      </c>
      <c r="AA111" s="112">
        <v>44.4</v>
      </c>
      <c r="AB111" s="112">
        <v>47.4</v>
      </c>
      <c r="AC111" s="112">
        <v>47.4</v>
      </c>
      <c r="AD111" s="112">
        <v>44.7</v>
      </c>
      <c r="AE111" s="112">
        <v>60.6</v>
      </c>
      <c r="AF111" s="112">
        <v>29.2</v>
      </c>
      <c r="AG111" s="113">
        <v>75</v>
      </c>
      <c r="AH111" s="47">
        <f t="shared" si="14"/>
        <v>60.6</v>
      </c>
      <c r="AI111" s="48">
        <f t="shared" si="15"/>
        <v>2.2000000000000002</v>
      </c>
    </row>
    <row r="112" spans="1:37" x14ac:dyDescent="0.25">
      <c r="A112" s="102" t="s">
        <v>120</v>
      </c>
      <c r="B112" s="114">
        <v>50</v>
      </c>
      <c r="C112" s="114">
        <v>50</v>
      </c>
      <c r="D112" s="114">
        <v>38.6</v>
      </c>
      <c r="E112" s="114">
        <v>15.2</v>
      </c>
      <c r="F112" s="114">
        <v>34.299999999999997</v>
      </c>
      <c r="G112" s="114">
        <v>32.4</v>
      </c>
      <c r="H112" s="114">
        <v>18.899999999999999</v>
      </c>
      <c r="I112" s="114">
        <v>48.4</v>
      </c>
      <c r="J112" s="114"/>
      <c r="K112" s="114"/>
      <c r="L112" s="114">
        <v>16.7</v>
      </c>
      <c r="M112" s="114">
        <v>11.7</v>
      </c>
      <c r="N112" s="114">
        <v>19.2</v>
      </c>
      <c r="O112" s="114">
        <v>19.2</v>
      </c>
      <c r="P112" s="114">
        <v>15.6</v>
      </c>
      <c r="Q112" s="114">
        <v>11.1</v>
      </c>
      <c r="R112" s="114">
        <v>13.1</v>
      </c>
      <c r="S112" s="114">
        <v>28.4</v>
      </c>
      <c r="T112" s="114">
        <v>25.8</v>
      </c>
      <c r="U112" s="114">
        <v>0</v>
      </c>
      <c r="V112" s="114">
        <v>4.7</v>
      </c>
      <c r="W112" s="114">
        <v>27.4</v>
      </c>
      <c r="X112" s="114">
        <v>36.299999999999997</v>
      </c>
      <c r="Y112" s="114">
        <v>28</v>
      </c>
      <c r="Z112" s="114">
        <v>53.3</v>
      </c>
      <c r="AA112" s="114">
        <v>63.3</v>
      </c>
      <c r="AB112" s="114">
        <v>67.5</v>
      </c>
      <c r="AC112" s="114">
        <v>67.5</v>
      </c>
      <c r="AD112" s="114">
        <v>64.099999999999994</v>
      </c>
      <c r="AE112" s="114">
        <v>92.2</v>
      </c>
      <c r="AF112" s="114">
        <v>44.2</v>
      </c>
      <c r="AG112" s="113">
        <v>240</v>
      </c>
      <c r="AH112" s="47">
        <f t="shared" si="14"/>
        <v>92.2</v>
      </c>
      <c r="AI112" s="48">
        <f t="shared" si="15"/>
        <v>0</v>
      </c>
    </row>
    <row r="113" spans="1:37" x14ac:dyDescent="0.25">
      <c r="A113" s="102" t="s">
        <v>121</v>
      </c>
      <c r="B113" s="114">
        <v>-185</v>
      </c>
      <c r="C113" s="114">
        <v>-185</v>
      </c>
      <c r="D113" s="114">
        <v>-162</v>
      </c>
      <c r="E113" s="114">
        <f>-71.7-76</f>
        <v>-147.69999999999999</v>
      </c>
      <c r="F113" s="114">
        <f>-84.5-88.8</f>
        <v>-173.3</v>
      </c>
      <c r="G113" s="114">
        <f>-74-81</f>
        <v>-155</v>
      </c>
      <c r="H113" s="114">
        <f>-64-69</f>
        <v>-133</v>
      </c>
      <c r="I113" s="114">
        <f>-80-87.8</f>
        <v>-167.8</v>
      </c>
      <c r="J113" s="114"/>
      <c r="K113" s="114"/>
      <c r="L113" s="114">
        <f>-27.9-29.2</f>
        <v>-57.099999999999994</v>
      </c>
      <c r="M113" s="114">
        <f>-28.2-30.3</f>
        <v>-58.5</v>
      </c>
      <c r="N113" s="114">
        <f>-48.9-43.9</f>
        <v>-92.8</v>
      </c>
      <c r="O113" s="114">
        <f t="shared" ref="O113" si="24">-48.9-43.9</f>
        <v>-92.8</v>
      </c>
      <c r="P113" s="114">
        <f>-34.7-32.5</f>
        <v>-67.2</v>
      </c>
      <c r="Q113" s="114">
        <f>-28.6-29.3</f>
        <v>-57.900000000000006</v>
      </c>
      <c r="R113" s="114"/>
      <c r="S113" s="114">
        <v>-108</v>
      </c>
      <c r="T113" s="114">
        <v>-79</v>
      </c>
      <c r="U113" s="114">
        <v>-42.7</v>
      </c>
      <c r="V113" s="114">
        <v>-48</v>
      </c>
      <c r="W113" s="114">
        <v>-88</v>
      </c>
      <c r="X113" s="114">
        <v>-82</v>
      </c>
      <c r="Y113" s="114">
        <v>-41.5</v>
      </c>
      <c r="Z113" s="114">
        <v>-73</v>
      </c>
      <c r="AA113" s="114">
        <v>-91</v>
      </c>
      <c r="AB113" s="114">
        <v>-110</v>
      </c>
      <c r="AC113" s="114">
        <v>-110</v>
      </c>
      <c r="AD113" s="114">
        <v>-116</v>
      </c>
      <c r="AE113" s="114">
        <v>-145</v>
      </c>
      <c r="AF113" s="114">
        <v>-150</v>
      </c>
      <c r="AG113" s="113">
        <v>240</v>
      </c>
      <c r="AH113" s="47">
        <f t="shared" si="14"/>
        <v>-41.5</v>
      </c>
      <c r="AI113" s="48">
        <f t="shared" si="15"/>
        <v>-185</v>
      </c>
    </row>
    <row r="114" spans="1:37" x14ac:dyDescent="0.25">
      <c r="A114" s="102" t="s">
        <v>122</v>
      </c>
      <c r="B114" s="114">
        <v>-15.3</v>
      </c>
      <c r="C114" s="114">
        <v>-15.3</v>
      </c>
      <c r="D114" s="114">
        <v>-10.8</v>
      </c>
      <c r="E114" s="114">
        <v>-11.8</v>
      </c>
      <c r="F114" s="114">
        <v>-14.6</v>
      </c>
      <c r="G114" s="114">
        <v>-10.5</v>
      </c>
      <c r="H114" s="114">
        <v>-9.6999999999999993</v>
      </c>
      <c r="I114" s="114">
        <v>-10.9</v>
      </c>
      <c r="J114" s="114"/>
      <c r="K114" s="114"/>
      <c r="L114" s="114">
        <v>3.2</v>
      </c>
      <c r="M114" s="114">
        <v>4.5</v>
      </c>
      <c r="N114" s="114">
        <v>-0.7</v>
      </c>
      <c r="O114" s="114">
        <v>-0.7</v>
      </c>
      <c r="P114" s="114">
        <v>-18.8</v>
      </c>
      <c r="Q114" s="114">
        <v>5.0999999999999996</v>
      </c>
      <c r="R114" s="114">
        <v>0</v>
      </c>
      <c r="S114" s="114">
        <v>3.9</v>
      </c>
      <c r="T114" s="114">
        <v>5.8</v>
      </c>
      <c r="U114" s="114">
        <v>9.8000000000000007</v>
      </c>
      <c r="V114" s="114">
        <v>9.3000000000000007</v>
      </c>
      <c r="W114" s="114">
        <v>6.7</v>
      </c>
      <c r="X114" s="114">
        <v>7</v>
      </c>
      <c r="Y114" s="114">
        <v>13.3</v>
      </c>
      <c r="Z114" s="114">
        <v>10.1</v>
      </c>
      <c r="AA114" s="114">
        <v>9.3000000000000007</v>
      </c>
      <c r="AB114" s="114">
        <v>4</v>
      </c>
      <c r="AC114" s="114">
        <v>4</v>
      </c>
      <c r="AD114" s="114">
        <v>0</v>
      </c>
      <c r="AE114" s="114">
        <v>-4.2</v>
      </c>
      <c r="AF114" s="114">
        <v>-8.5</v>
      </c>
      <c r="AG114" s="113">
        <v>60</v>
      </c>
      <c r="AH114" s="47">
        <f t="shared" si="14"/>
        <v>13.3</v>
      </c>
      <c r="AI114" s="48">
        <f t="shared" si="15"/>
        <v>-18.8</v>
      </c>
    </row>
    <row r="115" spans="1:37" x14ac:dyDescent="0.25">
      <c r="A115" s="115" t="s">
        <v>123</v>
      </c>
      <c r="B115" s="116">
        <v>10.5</v>
      </c>
      <c r="C115" s="116">
        <v>10.5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6.4</v>
      </c>
      <c r="J115" s="116"/>
      <c r="K115" s="116"/>
      <c r="L115" s="116">
        <v>0</v>
      </c>
      <c r="M115" s="116">
        <v>0</v>
      </c>
      <c r="N115" s="116">
        <v>30.8</v>
      </c>
      <c r="O115" s="116">
        <v>30.8</v>
      </c>
      <c r="P115" s="116">
        <v>1.9</v>
      </c>
      <c r="Q115" s="116">
        <v>0</v>
      </c>
      <c r="R115" s="116">
        <v>0</v>
      </c>
      <c r="S115" s="116">
        <v>0</v>
      </c>
      <c r="T115" s="116">
        <v>0</v>
      </c>
      <c r="U115" s="116">
        <v>0</v>
      </c>
      <c r="V115" s="116">
        <v>0</v>
      </c>
      <c r="W115" s="116">
        <v>0</v>
      </c>
      <c r="X115" s="116">
        <v>0</v>
      </c>
      <c r="Y115" s="116">
        <v>0</v>
      </c>
      <c r="Z115" s="116">
        <v>-3.7</v>
      </c>
      <c r="AA115" s="116">
        <v>19</v>
      </c>
      <c r="AB115" s="116">
        <v>75</v>
      </c>
      <c r="AC115" s="116">
        <v>75</v>
      </c>
      <c r="AD115" s="116">
        <v>60.4</v>
      </c>
      <c r="AE115" s="116">
        <v>21.1</v>
      </c>
      <c r="AF115" s="116">
        <v>14.1</v>
      </c>
      <c r="AG115" s="117">
        <v>120</v>
      </c>
      <c r="AH115" s="47">
        <f t="shared" si="14"/>
        <v>75</v>
      </c>
      <c r="AI115" s="48">
        <f t="shared" si="15"/>
        <v>-3.7</v>
      </c>
    </row>
    <row r="116" spans="1:37" x14ac:dyDescent="0.25">
      <c r="A116" s="115" t="s">
        <v>124</v>
      </c>
      <c r="B116" s="116">
        <v>47.3</v>
      </c>
      <c r="C116" s="116">
        <v>47.3</v>
      </c>
      <c r="D116" s="116">
        <v>56</v>
      </c>
      <c r="E116" s="116">
        <v>68.900000000000006</v>
      </c>
      <c r="F116" s="116">
        <v>52.7</v>
      </c>
      <c r="G116" s="116">
        <v>54.7</v>
      </c>
      <c r="H116" s="116">
        <v>62.9</v>
      </c>
      <c r="I116" s="116">
        <v>34.1</v>
      </c>
      <c r="J116" s="116"/>
      <c r="K116" s="116"/>
      <c r="L116" s="116">
        <v>66.099999999999994</v>
      </c>
      <c r="M116" s="116">
        <v>85</v>
      </c>
      <c r="N116" s="116">
        <v>36.6</v>
      </c>
      <c r="O116" s="116">
        <v>36.6</v>
      </c>
      <c r="P116" s="116">
        <v>36.6</v>
      </c>
      <c r="Q116" s="116">
        <v>77.3</v>
      </c>
      <c r="R116" s="116">
        <v>62.6</v>
      </c>
      <c r="S116" s="116">
        <v>40.799999999999997</v>
      </c>
      <c r="T116" s="116">
        <v>49</v>
      </c>
      <c r="U116" s="116">
        <v>68.5</v>
      </c>
      <c r="V116" s="116">
        <v>63.8</v>
      </c>
      <c r="W116" s="116">
        <v>53.8</v>
      </c>
      <c r="X116" s="116">
        <v>51</v>
      </c>
      <c r="Y116" s="116">
        <v>82.8</v>
      </c>
      <c r="Z116" s="116">
        <v>66.900000000000006</v>
      </c>
      <c r="AA116" s="116">
        <v>65.7</v>
      </c>
      <c r="AB116" s="116">
        <v>51</v>
      </c>
      <c r="AC116" s="116">
        <v>51</v>
      </c>
      <c r="AD116" s="116">
        <v>41</v>
      </c>
      <c r="AE116" s="116">
        <v>31.2</v>
      </c>
      <c r="AF116" s="116">
        <v>42.6</v>
      </c>
      <c r="AG116" s="117"/>
      <c r="AH116" s="47">
        <f t="shared" si="14"/>
        <v>85</v>
      </c>
      <c r="AI116" s="48">
        <f t="shared" si="15"/>
        <v>31.2</v>
      </c>
    </row>
    <row r="117" spans="1:37" x14ac:dyDescent="0.25">
      <c r="A117" s="115" t="s">
        <v>125</v>
      </c>
      <c r="B117" s="116">
        <v>-12.3</v>
      </c>
      <c r="C117" s="116">
        <v>-12.3</v>
      </c>
      <c r="D117" s="116">
        <v>-21.6</v>
      </c>
      <c r="E117" s="116">
        <v>-19.100000000000001</v>
      </c>
      <c r="F117" s="116">
        <v>-19.3</v>
      </c>
      <c r="G117" s="116">
        <v>-15.8</v>
      </c>
      <c r="H117" s="116">
        <v>-10.4</v>
      </c>
      <c r="I117" s="116">
        <v>-5.5</v>
      </c>
      <c r="J117" s="116"/>
      <c r="K117" s="116"/>
      <c r="L117" s="116">
        <v>-8.6999999999999993</v>
      </c>
      <c r="M117" s="116">
        <v>-11.1</v>
      </c>
      <c r="N117" s="116">
        <v>-7.9</v>
      </c>
      <c r="O117" s="116">
        <v>-7.9</v>
      </c>
      <c r="P117" s="116">
        <v>-8.6999999999999993</v>
      </c>
      <c r="Q117" s="116">
        <v>-12.4</v>
      </c>
      <c r="R117" s="116">
        <v>-13.4</v>
      </c>
      <c r="S117" s="116">
        <v>-7.1</v>
      </c>
      <c r="T117" s="116">
        <v>-8.1</v>
      </c>
      <c r="U117" s="116">
        <v>-21</v>
      </c>
      <c r="V117" s="116">
        <v>-9.4</v>
      </c>
      <c r="W117" s="116">
        <v>-6.5</v>
      </c>
      <c r="X117" s="116">
        <v>0</v>
      </c>
      <c r="Y117" s="116">
        <v>-10.8</v>
      </c>
      <c r="Z117" s="116">
        <v>-4.2</v>
      </c>
      <c r="AA117" s="116">
        <v>-5.7</v>
      </c>
      <c r="AB117" s="116">
        <v>2.2000000000000002</v>
      </c>
      <c r="AC117" s="116">
        <v>2.2000000000000002</v>
      </c>
      <c r="AD117" s="116">
        <v>2.4</v>
      </c>
      <c r="AE117" s="116">
        <v>-5.0999999999999996</v>
      </c>
      <c r="AF117" s="116">
        <v>-15</v>
      </c>
      <c r="AG117" s="118"/>
      <c r="AH117" s="47">
        <f t="shared" si="14"/>
        <v>2.4</v>
      </c>
      <c r="AI117" s="48">
        <f t="shared" si="15"/>
        <v>-21.6</v>
      </c>
    </row>
    <row r="118" spans="1:37" x14ac:dyDescent="0.25">
      <c r="A118" s="119" t="s">
        <v>126</v>
      </c>
      <c r="B118" s="105">
        <v>31.8</v>
      </c>
      <c r="C118" s="105">
        <v>31.8</v>
      </c>
      <c r="D118" s="105">
        <v>39.700000000000003</v>
      </c>
      <c r="E118" s="105">
        <v>37.1</v>
      </c>
      <c r="F118" s="105">
        <v>41.8</v>
      </c>
      <c r="G118" s="105">
        <v>40.5</v>
      </c>
      <c r="H118" s="105">
        <v>37</v>
      </c>
      <c r="I118" s="105">
        <v>32.6</v>
      </c>
      <c r="J118" s="105"/>
      <c r="K118" s="105"/>
      <c r="L118" s="105">
        <v>25</v>
      </c>
      <c r="M118" s="105">
        <v>10.6</v>
      </c>
      <c r="N118" s="105">
        <v>14.2</v>
      </c>
      <c r="O118" s="105">
        <v>14.2</v>
      </c>
      <c r="P118" s="105">
        <v>18.399999999999999</v>
      </c>
      <c r="Q118" s="105">
        <v>19.399999999999999</v>
      </c>
      <c r="R118" s="105">
        <v>22.3</v>
      </c>
      <c r="S118" s="105">
        <v>24.9</v>
      </c>
      <c r="T118" s="105">
        <v>22.3</v>
      </c>
      <c r="U118" s="105">
        <v>25.7</v>
      </c>
      <c r="V118" s="105">
        <v>33</v>
      </c>
      <c r="W118" s="105">
        <v>28.5</v>
      </c>
      <c r="X118" s="105">
        <v>30.7</v>
      </c>
      <c r="Y118" s="105">
        <v>47.9</v>
      </c>
      <c r="Z118" s="105">
        <v>25.3</v>
      </c>
      <c r="AA118" s="105">
        <v>26.3</v>
      </c>
      <c r="AB118" s="105">
        <v>23</v>
      </c>
      <c r="AC118" s="105">
        <v>23</v>
      </c>
      <c r="AD118" s="105">
        <v>21</v>
      </c>
      <c r="AE118" s="105">
        <v>27.5</v>
      </c>
      <c r="AF118" s="105">
        <v>31.2</v>
      </c>
      <c r="AG118" s="118"/>
      <c r="AH118" s="47">
        <f t="shared" si="14"/>
        <v>47.9</v>
      </c>
      <c r="AI118" s="48">
        <f t="shared" si="15"/>
        <v>10.6</v>
      </c>
    </row>
    <row r="119" spans="1:37" x14ac:dyDescent="0.25">
      <c r="A119" s="120" t="s">
        <v>127</v>
      </c>
      <c r="B119" s="105">
        <v>99.8</v>
      </c>
      <c r="C119" s="105">
        <v>96</v>
      </c>
      <c r="D119" s="105">
        <v>87.9</v>
      </c>
      <c r="E119" s="105">
        <v>74</v>
      </c>
      <c r="F119" s="105">
        <v>89.9</v>
      </c>
      <c r="G119" s="105">
        <v>79.2</v>
      </c>
      <c r="H119" s="105">
        <v>70.400000000000006</v>
      </c>
      <c r="I119" s="105">
        <v>90</v>
      </c>
      <c r="J119" s="105"/>
      <c r="K119" s="105"/>
      <c r="L119" s="105">
        <v>0</v>
      </c>
      <c r="M119" s="105">
        <v>0</v>
      </c>
      <c r="N119" s="105">
        <v>0</v>
      </c>
      <c r="O119" s="105">
        <v>0</v>
      </c>
      <c r="P119" s="105">
        <v>0</v>
      </c>
      <c r="Q119" s="105">
        <v>0</v>
      </c>
      <c r="R119" s="105"/>
      <c r="S119" s="105">
        <v>0</v>
      </c>
      <c r="T119" s="105">
        <v>0</v>
      </c>
      <c r="U119" s="105">
        <v>0</v>
      </c>
      <c r="V119" s="105">
        <v>0</v>
      </c>
      <c r="W119" s="105">
        <v>0</v>
      </c>
      <c r="X119" s="105">
        <v>0</v>
      </c>
      <c r="Y119" s="105">
        <v>15.7</v>
      </c>
      <c r="Z119" s="105">
        <v>30.1</v>
      </c>
      <c r="AA119" s="105">
        <v>39.799999999999997</v>
      </c>
      <c r="AB119" s="105">
        <v>51</v>
      </c>
      <c r="AC119" s="105">
        <v>51</v>
      </c>
      <c r="AD119" s="105">
        <v>55.3</v>
      </c>
      <c r="AE119" s="105">
        <v>76.099999999999994</v>
      </c>
      <c r="AF119" s="105">
        <v>77.099999999999994</v>
      </c>
      <c r="AG119" s="118"/>
      <c r="AH119" s="47">
        <f t="shared" si="14"/>
        <v>99.8</v>
      </c>
      <c r="AI119" s="48">
        <f t="shared" si="15"/>
        <v>0</v>
      </c>
    </row>
    <row r="120" spans="1:37" ht="15.75" thickBot="1" x14ac:dyDescent="0.3">
      <c r="A120" s="119" t="s">
        <v>128</v>
      </c>
      <c r="B120" s="105">
        <v>51.7</v>
      </c>
      <c r="C120" s="105">
        <v>51.7</v>
      </c>
      <c r="D120" s="105">
        <v>43.2</v>
      </c>
      <c r="E120" s="105">
        <v>40</v>
      </c>
      <c r="F120" s="105">
        <v>35</v>
      </c>
      <c r="G120" s="105">
        <v>34</v>
      </c>
      <c r="H120" s="105">
        <v>25.6</v>
      </c>
      <c r="I120" s="105">
        <v>22.3</v>
      </c>
      <c r="J120" s="105"/>
      <c r="K120" s="105"/>
      <c r="L120" s="105">
        <v>19.100000000000001</v>
      </c>
      <c r="M120" s="105">
        <v>24.3</v>
      </c>
      <c r="N120" s="105">
        <v>26.5</v>
      </c>
      <c r="O120" s="105">
        <v>26.5</v>
      </c>
      <c r="P120" s="105">
        <v>55.5</v>
      </c>
      <c r="Q120" s="105">
        <v>35.4</v>
      </c>
      <c r="R120" s="105">
        <v>76.7</v>
      </c>
      <c r="S120" s="105">
        <v>70</v>
      </c>
      <c r="T120" s="105">
        <v>52.7</v>
      </c>
      <c r="U120" s="105">
        <v>41.4</v>
      </c>
      <c r="V120" s="105">
        <v>22.7</v>
      </c>
      <c r="W120" s="105">
        <v>21.9</v>
      </c>
      <c r="X120" s="105">
        <v>19</v>
      </c>
      <c r="Y120" s="105">
        <v>14.2</v>
      </c>
      <c r="Z120" s="105">
        <v>31.1</v>
      </c>
      <c r="AA120" s="105">
        <v>35.1</v>
      </c>
      <c r="AB120" s="105">
        <v>46</v>
      </c>
      <c r="AC120" s="105">
        <v>46</v>
      </c>
      <c r="AD120" s="105">
        <v>45</v>
      </c>
      <c r="AE120" s="105">
        <v>45.6</v>
      </c>
      <c r="AF120" s="105">
        <v>50.5</v>
      </c>
      <c r="AG120" s="118"/>
      <c r="AH120" s="47">
        <f t="shared" si="14"/>
        <v>76.7</v>
      </c>
      <c r="AI120" s="48">
        <f t="shared" si="15"/>
        <v>14.2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94" t="s">
        <v>259</v>
      </c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25">SUM(B122:B226)</f>
        <v>0</v>
      </c>
      <c r="C227" s="136">
        <f t="shared" si="25"/>
        <v>0</v>
      </c>
      <c r="D227" s="136">
        <f t="shared" si="25"/>
        <v>0</v>
      </c>
      <c r="E227" s="136">
        <f t="shared" si="25"/>
        <v>0</v>
      </c>
      <c r="F227" s="136">
        <f t="shared" si="25"/>
        <v>0</v>
      </c>
      <c r="G227" s="136">
        <f t="shared" si="25"/>
        <v>0</v>
      </c>
      <c r="H227" s="136">
        <f t="shared" si="25"/>
        <v>0</v>
      </c>
      <c r="I227" s="136">
        <f t="shared" si="25"/>
        <v>0</v>
      </c>
      <c r="J227" s="136">
        <f t="shared" si="25"/>
        <v>0</v>
      </c>
      <c r="K227" s="136">
        <f t="shared" si="25"/>
        <v>0</v>
      </c>
      <c r="L227" s="136">
        <f t="shared" si="25"/>
        <v>0</v>
      </c>
      <c r="M227" s="136">
        <f t="shared" si="25"/>
        <v>0</v>
      </c>
      <c r="N227" s="136">
        <f t="shared" si="25"/>
        <v>0</v>
      </c>
      <c r="O227" s="136">
        <f t="shared" si="25"/>
        <v>0</v>
      </c>
      <c r="P227" s="136">
        <f t="shared" si="25"/>
        <v>0</v>
      </c>
      <c r="Q227" s="136">
        <f t="shared" si="25"/>
        <v>0</v>
      </c>
      <c r="R227" s="136">
        <f t="shared" si="25"/>
        <v>0</v>
      </c>
      <c r="S227" s="136">
        <f t="shared" si="25"/>
        <v>0</v>
      </c>
      <c r="T227" s="136">
        <f t="shared" si="25"/>
        <v>0</v>
      </c>
      <c r="U227" s="136">
        <f t="shared" si="25"/>
        <v>0</v>
      </c>
      <c r="V227" s="136">
        <f t="shared" si="25"/>
        <v>0</v>
      </c>
      <c r="W227" s="136">
        <f t="shared" si="25"/>
        <v>0</v>
      </c>
      <c r="X227" s="136">
        <f t="shared" si="25"/>
        <v>0</v>
      </c>
      <c r="Y227" s="136">
        <f t="shared" si="25"/>
        <v>0</v>
      </c>
      <c r="Z227" s="136">
        <f t="shared" si="25"/>
        <v>0</v>
      </c>
      <c r="AA227" s="136">
        <f t="shared" si="25"/>
        <v>0</v>
      </c>
      <c r="AB227" s="136">
        <f t="shared" si="25"/>
        <v>0</v>
      </c>
      <c r="AC227" s="136">
        <f t="shared" si="25"/>
        <v>0</v>
      </c>
      <c r="AD227" s="136">
        <f t="shared" si="25"/>
        <v>0</v>
      </c>
      <c r="AE227" s="136">
        <f t="shared" si="25"/>
        <v>0</v>
      </c>
      <c r="AF227" s="137">
        <f t="shared" si="25"/>
        <v>0</v>
      </c>
      <c r="AG227" s="138">
        <f t="shared" si="25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26">AF229</f>
        <v>0</v>
      </c>
      <c r="C229" s="140">
        <v>0.3</v>
      </c>
      <c r="D229" s="140">
        <f t="shared" ref="D229:P234" si="27">C229</f>
        <v>0.3</v>
      </c>
      <c r="E229" s="140">
        <f t="shared" si="27"/>
        <v>0.3</v>
      </c>
      <c r="F229" s="140">
        <f t="shared" si="27"/>
        <v>0.3</v>
      </c>
      <c r="G229" s="140">
        <f t="shared" si="27"/>
        <v>0.3</v>
      </c>
      <c r="H229" s="140">
        <f t="shared" si="27"/>
        <v>0.3</v>
      </c>
      <c r="I229" s="140">
        <f t="shared" si="27"/>
        <v>0.3</v>
      </c>
      <c r="J229" s="140">
        <f t="shared" si="27"/>
        <v>0.3</v>
      </c>
      <c r="K229" s="140">
        <f t="shared" si="27"/>
        <v>0.3</v>
      </c>
      <c r="L229" s="140">
        <f t="shared" si="27"/>
        <v>0.3</v>
      </c>
      <c r="M229" s="140">
        <f t="shared" si="27"/>
        <v>0.3</v>
      </c>
      <c r="N229" s="140">
        <f t="shared" si="27"/>
        <v>0.3</v>
      </c>
      <c r="O229" s="140">
        <f t="shared" si="27"/>
        <v>0.3</v>
      </c>
      <c r="P229" s="140">
        <f t="shared" si="27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26"/>
        <v>0</v>
      </c>
      <c r="C230" s="128">
        <v>0.4</v>
      </c>
      <c r="D230" s="128">
        <f t="shared" si="27"/>
        <v>0.4</v>
      </c>
      <c r="E230" s="128">
        <f t="shared" si="27"/>
        <v>0.4</v>
      </c>
      <c r="F230" s="128">
        <f t="shared" si="27"/>
        <v>0.4</v>
      </c>
      <c r="G230" s="128">
        <f t="shared" si="27"/>
        <v>0.4</v>
      </c>
      <c r="H230" s="128">
        <f t="shared" si="27"/>
        <v>0.4</v>
      </c>
      <c r="I230" s="128">
        <f t="shared" si="27"/>
        <v>0.4</v>
      </c>
      <c r="J230" s="128">
        <f t="shared" si="27"/>
        <v>0.4</v>
      </c>
      <c r="K230" s="128">
        <f t="shared" si="27"/>
        <v>0.4</v>
      </c>
      <c r="L230" s="128">
        <f t="shared" si="27"/>
        <v>0.4</v>
      </c>
      <c r="M230" s="128">
        <f t="shared" si="27"/>
        <v>0.4</v>
      </c>
      <c r="N230" s="128">
        <f t="shared" si="27"/>
        <v>0.4</v>
      </c>
      <c r="O230" s="128">
        <f t="shared" si="27"/>
        <v>0.4</v>
      </c>
      <c r="P230" s="128">
        <f t="shared" si="27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26"/>
        <v>0</v>
      </c>
      <c r="C231" s="128">
        <v>1.5</v>
      </c>
      <c r="D231" s="128">
        <f t="shared" si="27"/>
        <v>1.5</v>
      </c>
      <c r="E231" s="128">
        <f t="shared" si="27"/>
        <v>1.5</v>
      </c>
      <c r="F231" s="128">
        <f t="shared" si="27"/>
        <v>1.5</v>
      </c>
      <c r="G231" s="128">
        <f t="shared" si="27"/>
        <v>1.5</v>
      </c>
      <c r="H231" s="128">
        <f t="shared" si="27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27"/>
        <v>123.21900000000009</v>
      </c>
      <c r="K231" s="128">
        <f t="shared" ca="1" si="27"/>
        <v>123.21900000000009</v>
      </c>
      <c r="L231" s="128">
        <f t="shared" ca="1" si="27"/>
        <v>123.21900000000009</v>
      </c>
      <c r="M231" s="128">
        <f t="shared" ca="1" si="27"/>
        <v>119.19900000000008</v>
      </c>
      <c r="N231" s="128">
        <f t="shared" ca="1" si="27"/>
        <v>119.19900000000008</v>
      </c>
      <c r="O231" s="128">
        <f t="shared" ca="1" si="27"/>
        <v>119.19900000000008</v>
      </c>
      <c r="P231" s="128">
        <f t="shared" ca="1" si="27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26"/>
        <v>0</v>
      </c>
      <c r="C232" s="128">
        <v>0.3</v>
      </c>
      <c r="D232" s="128">
        <f t="shared" si="27"/>
        <v>0.3</v>
      </c>
      <c r="E232" s="128">
        <f t="shared" si="27"/>
        <v>0.3</v>
      </c>
      <c r="F232" s="128">
        <f t="shared" si="27"/>
        <v>0.3</v>
      </c>
      <c r="G232" s="128">
        <f t="shared" si="27"/>
        <v>0.3</v>
      </c>
      <c r="H232" s="128">
        <f t="shared" si="27"/>
        <v>0.3</v>
      </c>
      <c r="I232" s="128">
        <f t="shared" si="27"/>
        <v>0.3</v>
      </c>
      <c r="J232" s="128">
        <f t="shared" si="27"/>
        <v>0.3</v>
      </c>
      <c r="K232" s="128">
        <f t="shared" si="27"/>
        <v>0.3</v>
      </c>
      <c r="L232" s="128">
        <f t="shared" si="27"/>
        <v>0.3</v>
      </c>
      <c r="M232" s="128">
        <f t="shared" si="27"/>
        <v>0.3</v>
      </c>
      <c r="N232" s="128">
        <f t="shared" si="27"/>
        <v>0.3</v>
      </c>
      <c r="O232" s="128">
        <f t="shared" si="27"/>
        <v>0.3</v>
      </c>
      <c r="P232" s="128">
        <f t="shared" si="27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26"/>
        <v>0</v>
      </c>
      <c r="C233" s="128">
        <v>0.4</v>
      </c>
      <c r="D233" s="128">
        <f t="shared" si="27"/>
        <v>0.4</v>
      </c>
      <c r="E233" s="128">
        <f t="shared" si="27"/>
        <v>0.4</v>
      </c>
      <c r="F233" s="128">
        <f t="shared" si="27"/>
        <v>0.4</v>
      </c>
      <c r="G233" s="128">
        <f t="shared" si="27"/>
        <v>0.4</v>
      </c>
      <c r="H233" s="128">
        <f t="shared" si="27"/>
        <v>0.4</v>
      </c>
      <c r="I233" s="128">
        <f t="shared" si="27"/>
        <v>0.4</v>
      </c>
      <c r="J233" s="128">
        <f t="shared" si="27"/>
        <v>0.4</v>
      </c>
      <c r="K233" s="128">
        <f t="shared" si="27"/>
        <v>0.4</v>
      </c>
      <c r="L233" s="128">
        <f t="shared" si="27"/>
        <v>0.4</v>
      </c>
      <c r="M233" s="128">
        <f t="shared" si="27"/>
        <v>0.4</v>
      </c>
      <c r="N233" s="128">
        <f t="shared" si="27"/>
        <v>0.4</v>
      </c>
      <c r="O233" s="128">
        <f t="shared" si="27"/>
        <v>0.4</v>
      </c>
      <c r="P233" s="128">
        <f t="shared" si="27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26"/>
        <v>0</v>
      </c>
      <c r="C234" s="132">
        <v>0.64</v>
      </c>
      <c r="D234" s="132">
        <f t="shared" si="27"/>
        <v>0.64</v>
      </c>
      <c r="E234" s="132">
        <f t="shared" si="27"/>
        <v>0.64</v>
      </c>
      <c r="F234" s="132">
        <f t="shared" si="27"/>
        <v>0.64</v>
      </c>
      <c r="G234" s="132">
        <f t="shared" si="27"/>
        <v>0.64</v>
      </c>
      <c r="H234" s="132">
        <f t="shared" si="27"/>
        <v>0.64</v>
      </c>
      <c r="I234" s="132">
        <f t="shared" si="27"/>
        <v>0.64</v>
      </c>
      <c r="J234" s="132">
        <f t="shared" si="27"/>
        <v>0.64</v>
      </c>
      <c r="K234" s="132">
        <f t="shared" si="27"/>
        <v>0.64</v>
      </c>
      <c r="L234" s="132">
        <f t="shared" si="27"/>
        <v>0.64</v>
      </c>
      <c r="M234" s="132">
        <f t="shared" si="27"/>
        <v>0.64</v>
      </c>
      <c r="N234" s="132">
        <f t="shared" si="27"/>
        <v>0.64</v>
      </c>
      <c r="O234" s="132">
        <f t="shared" si="27"/>
        <v>0.64</v>
      </c>
      <c r="P234" s="132">
        <f t="shared" si="27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28">SUM(B229:B234)</f>
        <v>0</v>
      </c>
      <c r="C235" s="136">
        <f t="shared" si="28"/>
        <v>3.54</v>
      </c>
      <c r="D235" s="136">
        <f t="shared" si="28"/>
        <v>3.54</v>
      </c>
      <c r="E235" s="136">
        <f t="shared" si="28"/>
        <v>3.54</v>
      </c>
      <c r="F235" s="136">
        <f t="shared" si="28"/>
        <v>3.54</v>
      </c>
      <c r="G235" s="136">
        <f t="shared" si="28"/>
        <v>3.54</v>
      </c>
      <c r="H235" s="136">
        <f t="shared" si="28"/>
        <v>3.54</v>
      </c>
      <c r="I235" s="136">
        <f t="shared" ca="1" si="28"/>
        <v>121.23900000000009</v>
      </c>
      <c r="J235" s="136">
        <f t="shared" ca="1" si="28"/>
        <v>121.23900000000009</v>
      </c>
      <c r="K235" s="136">
        <f t="shared" ca="1" si="28"/>
        <v>121.23900000000009</v>
      </c>
      <c r="L235" s="136">
        <f t="shared" ca="1" si="28"/>
        <v>125.2590000000001</v>
      </c>
      <c r="M235" s="136">
        <f t="shared" ca="1" si="28"/>
        <v>121.23900000000009</v>
      </c>
      <c r="N235" s="136">
        <f t="shared" ca="1" si="28"/>
        <v>121.23900000000009</v>
      </c>
      <c r="O235" s="136">
        <f t="shared" ca="1" si="28"/>
        <v>121.23900000000009</v>
      </c>
      <c r="P235" s="136">
        <f t="shared" ca="1" si="28"/>
        <v>121.23900000000009</v>
      </c>
      <c r="Q235" s="136">
        <f t="shared" si="28"/>
        <v>0</v>
      </c>
      <c r="R235" s="136">
        <f t="shared" si="28"/>
        <v>0</v>
      </c>
      <c r="S235" s="136">
        <f t="shared" si="28"/>
        <v>0</v>
      </c>
      <c r="T235" s="136">
        <f t="shared" si="28"/>
        <v>0</v>
      </c>
      <c r="U235" s="136">
        <f t="shared" si="28"/>
        <v>0</v>
      </c>
      <c r="V235" s="136">
        <f t="shared" si="28"/>
        <v>0</v>
      </c>
      <c r="W235" s="136">
        <f t="shared" si="28"/>
        <v>0</v>
      </c>
      <c r="X235" s="136">
        <f t="shared" si="28"/>
        <v>0</v>
      </c>
      <c r="Y235" s="136">
        <f t="shared" si="28"/>
        <v>0</v>
      </c>
      <c r="Z235" s="136">
        <f t="shared" si="28"/>
        <v>0</v>
      </c>
      <c r="AA235" s="136">
        <f t="shared" si="28"/>
        <v>0</v>
      </c>
      <c r="AB235" s="136">
        <f t="shared" si="28"/>
        <v>0</v>
      </c>
      <c r="AC235" s="136">
        <f t="shared" si="28"/>
        <v>0</v>
      </c>
      <c r="AD235" s="136">
        <f t="shared" si="28"/>
        <v>0</v>
      </c>
      <c r="AE235" s="136">
        <f t="shared" si="28"/>
        <v>0</v>
      </c>
      <c r="AF235" s="136">
        <f t="shared" si="28"/>
        <v>0</v>
      </c>
      <c r="AG235" s="145">
        <f t="shared" si="28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1944.64</v>
      </c>
      <c r="C244" s="161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6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2080/04/6)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2080/04/6)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29">B91</f>
        <v>1989.0400000000002</v>
      </c>
      <c r="U249" s="170">
        <f t="shared" si="29"/>
        <v>1848.04</v>
      </c>
      <c r="V249" s="170">
        <f t="shared" si="29"/>
        <v>1894.64</v>
      </c>
      <c r="W249" s="170">
        <f t="shared" si="29"/>
        <v>1906.74</v>
      </c>
      <c r="X249" s="170">
        <f t="shared" si="29"/>
        <v>1936.24</v>
      </c>
      <c r="Y249" s="170">
        <f t="shared" si="29"/>
        <v>1920.04</v>
      </c>
      <c r="Z249" s="170">
        <f t="shared" si="29"/>
        <v>1914.94</v>
      </c>
      <c r="AA249" s="170">
        <f t="shared" si="29"/>
        <v>1916.84</v>
      </c>
      <c r="AB249" s="170">
        <f t="shared" si="29"/>
        <v>3.54</v>
      </c>
      <c r="AC249" s="170">
        <f t="shared" si="29"/>
        <v>3.54</v>
      </c>
      <c r="AD249" s="170">
        <f t="shared" si="29"/>
        <v>1944.64</v>
      </c>
      <c r="AE249" s="170">
        <f t="shared" si="29"/>
        <v>1890.64</v>
      </c>
      <c r="AF249" s="170">
        <f t="shared" si="29"/>
        <v>1916.0400000000002</v>
      </c>
      <c r="AG249" s="170">
        <f t="shared" si="29"/>
        <v>1864.0400000000002</v>
      </c>
      <c r="AH249" s="170">
        <f t="shared" si="29"/>
        <v>1826.84</v>
      </c>
      <c r="AI249" s="170">
        <f t="shared" si="29"/>
        <v>1855.74</v>
      </c>
      <c r="AJ249" s="170">
        <f t="shared" si="29"/>
        <v>1908.54</v>
      </c>
      <c r="AK249" s="170">
        <f t="shared" si="29"/>
        <v>1914.74</v>
      </c>
      <c r="AL249" s="170">
        <f t="shared" si="29"/>
        <v>1910.0400000000002</v>
      </c>
      <c r="AM249" s="170">
        <f t="shared" si="29"/>
        <v>1919.3400000000001</v>
      </c>
      <c r="AN249" s="170">
        <f t="shared" si="29"/>
        <v>1906.7400000000002</v>
      </c>
      <c r="AO249" s="170">
        <f t="shared" si="29"/>
        <v>1928.1400000000003</v>
      </c>
      <c r="AP249" s="170">
        <f t="shared" si="29"/>
        <v>1911.0400000000002</v>
      </c>
      <c r="AQ249" s="170">
        <f t="shared" si="29"/>
        <v>1891.8400000000001</v>
      </c>
      <c r="AR249" s="170">
        <f t="shared" si="29"/>
        <v>1926.8400000000001</v>
      </c>
      <c r="AS249" s="170">
        <f t="shared" si="29"/>
        <v>2041.24</v>
      </c>
      <c r="AT249" s="170">
        <f t="shared" si="29"/>
        <v>2003.54</v>
      </c>
      <c r="AU249" s="170">
        <f t="shared" si="29"/>
        <v>1936.94</v>
      </c>
      <c r="AV249" s="170">
        <f t="shared" si="29"/>
        <v>1937.04</v>
      </c>
      <c r="AW249" s="170">
        <f t="shared" si="29"/>
        <v>1907.3400000000001</v>
      </c>
      <c r="AX249" s="170">
        <f t="shared" si="29"/>
        <v>1898.8400000000001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30">C234</f>
        <v>0.64</v>
      </c>
      <c r="C270" s="173">
        <f t="shared" si="30"/>
        <v>0.64</v>
      </c>
      <c r="D270" s="173">
        <f t="shared" si="30"/>
        <v>0.64</v>
      </c>
      <c r="E270" s="173">
        <f t="shared" si="30"/>
        <v>0.64</v>
      </c>
      <c r="F270" s="173">
        <f t="shared" si="30"/>
        <v>0.64</v>
      </c>
      <c r="G270" s="173">
        <f t="shared" si="30"/>
        <v>0.64</v>
      </c>
      <c r="H270" s="173">
        <f t="shared" si="30"/>
        <v>0.64</v>
      </c>
      <c r="I270" s="173">
        <f t="shared" si="30"/>
        <v>0.64</v>
      </c>
      <c r="J270" s="173">
        <f t="shared" si="30"/>
        <v>0.64</v>
      </c>
      <c r="K270" s="173">
        <f t="shared" si="30"/>
        <v>0.64</v>
      </c>
      <c r="L270" s="173">
        <f t="shared" si="30"/>
        <v>0.64</v>
      </c>
      <c r="M270" s="173">
        <f t="shared" si="30"/>
        <v>0.64</v>
      </c>
      <c r="N270" s="173">
        <f t="shared" si="30"/>
        <v>0.64</v>
      </c>
      <c r="O270" s="173">
        <f t="shared" si="30"/>
        <v>0.64</v>
      </c>
      <c r="P270" s="173">
        <f t="shared" si="30"/>
        <v>0</v>
      </c>
      <c r="Q270" s="173">
        <f t="shared" si="30"/>
        <v>0</v>
      </c>
      <c r="R270" s="173">
        <f t="shared" si="30"/>
        <v>0</v>
      </c>
      <c r="S270" s="173">
        <f t="shared" si="30"/>
        <v>0</v>
      </c>
      <c r="T270" s="173">
        <f t="shared" si="30"/>
        <v>0</v>
      </c>
      <c r="U270" s="173">
        <f t="shared" si="30"/>
        <v>0</v>
      </c>
      <c r="V270" s="173">
        <f t="shared" si="30"/>
        <v>0</v>
      </c>
      <c r="W270" s="173">
        <f t="shared" si="30"/>
        <v>0</v>
      </c>
      <c r="X270" s="173">
        <f t="shared" si="30"/>
        <v>0</v>
      </c>
      <c r="Y270" s="173">
        <f t="shared" si="30"/>
        <v>0</v>
      </c>
      <c r="Z270" s="173">
        <f t="shared" si="30"/>
        <v>0</v>
      </c>
      <c r="AA270" s="173">
        <f t="shared" si="30"/>
        <v>0</v>
      </c>
      <c r="AB270" s="173">
        <f t="shared" si="30"/>
        <v>0</v>
      </c>
      <c r="AC270" s="173">
        <f t="shared" si="30"/>
        <v>0</v>
      </c>
      <c r="AD270" s="173">
        <f t="shared" si="30"/>
        <v>0</v>
      </c>
      <c r="AE270" s="173">
        <f t="shared" si="30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31">IF(B238&lt;100,"",B238-520)</f>
        <v/>
      </c>
      <c r="C271" s="174" t="str">
        <f t="shared" si="31"/>
        <v/>
      </c>
      <c r="D271" s="174" t="str">
        <f t="shared" si="31"/>
        <v/>
      </c>
      <c r="E271" s="174" t="str">
        <f t="shared" si="31"/>
        <v/>
      </c>
      <c r="F271" s="174" t="str">
        <f t="shared" si="31"/>
        <v/>
      </c>
      <c r="G271" s="174" t="str">
        <f t="shared" si="31"/>
        <v/>
      </c>
      <c r="H271" s="174" t="str">
        <f t="shared" si="31"/>
        <v/>
      </c>
      <c r="I271" s="174" t="str">
        <f t="shared" si="31"/>
        <v/>
      </c>
      <c r="J271" s="174" t="str">
        <f t="shared" si="31"/>
        <v/>
      </c>
      <c r="K271" s="174" t="str">
        <f t="shared" si="31"/>
        <v/>
      </c>
      <c r="L271" s="174" t="str">
        <f t="shared" si="31"/>
        <v/>
      </c>
      <c r="M271" s="174" t="str">
        <f t="shared" si="31"/>
        <v/>
      </c>
      <c r="N271" s="174" t="str">
        <f t="shared" si="31"/>
        <v/>
      </c>
      <c r="O271" s="174" t="str">
        <f t="shared" si="31"/>
        <v/>
      </c>
      <c r="P271" s="174" t="str">
        <f t="shared" si="31"/>
        <v/>
      </c>
      <c r="Q271" s="174" t="str">
        <f t="shared" si="31"/>
        <v/>
      </c>
      <c r="R271" s="174" t="str">
        <f t="shared" si="31"/>
        <v/>
      </c>
      <c r="S271" s="174" t="str">
        <f t="shared" si="31"/>
        <v/>
      </c>
      <c r="T271" s="174" t="str">
        <f t="shared" si="31"/>
        <v/>
      </c>
      <c r="U271" s="174" t="str">
        <f t="shared" si="31"/>
        <v/>
      </c>
      <c r="V271" s="174" t="str">
        <f t="shared" si="31"/>
        <v/>
      </c>
      <c r="W271" s="174" t="str">
        <f t="shared" si="31"/>
        <v/>
      </c>
      <c r="X271" s="174" t="str">
        <f t="shared" si="31"/>
        <v/>
      </c>
      <c r="Y271" s="174" t="str">
        <f t="shared" si="31"/>
        <v/>
      </c>
      <c r="Z271" s="174" t="str">
        <f t="shared" si="31"/>
        <v/>
      </c>
      <c r="AA271" s="174" t="str">
        <f t="shared" si="31"/>
        <v/>
      </c>
      <c r="AB271" s="174" t="str">
        <f t="shared" si="31"/>
        <v/>
      </c>
      <c r="AC271" s="174" t="str">
        <f t="shared" si="31"/>
        <v/>
      </c>
      <c r="AD271" s="174" t="str">
        <f t="shared" si="31"/>
        <v/>
      </c>
      <c r="AE271" s="174" t="str">
        <f t="shared" si="31"/>
        <v/>
      </c>
      <c r="AF271" s="174" t="str">
        <f t="shared" si="31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32">IF(B239&lt;100,"",B239-620)</f>
        <v/>
      </c>
      <c r="C272" s="174" t="str">
        <f t="shared" si="32"/>
        <v/>
      </c>
      <c r="D272" s="174" t="str">
        <f t="shared" si="32"/>
        <v/>
      </c>
      <c r="E272" s="174" t="str">
        <f t="shared" si="32"/>
        <v/>
      </c>
      <c r="F272" s="174" t="str">
        <f t="shared" si="32"/>
        <v/>
      </c>
      <c r="G272" s="174" t="str">
        <f t="shared" si="32"/>
        <v/>
      </c>
      <c r="H272" s="174" t="str">
        <f t="shared" si="32"/>
        <v/>
      </c>
      <c r="I272" s="174" t="str">
        <f t="shared" si="32"/>
        <v/>
      </c>
      <c r="J272" s="174" t="str">
        <f t="shared" si="32"/>
        <v/>
      </c>
      <c r="K272" s="174" t="str">
        <f t="shared" si="32"/>
        <v/>
      </c>
      <c r="L272" s="174" t="str">
        <f t="shared" si="32"/>
        <v/>
      </c>
      <c r="M272" s="174" t="str">
        <f t="shared" si="32"/>
        <v/>
      </c>
      <c r="N272" s="174" t="str">
        <f t="shared" si="32"/>
        <v/>
      </c>
      <c r="O272" s="174" t="str">
        <f t="shared" si="32"/>
        <v/>
      </c>
      <c r="P272" s="174" t="str">
        <f t="shared" si="32"/>
        <v/>
      </c>
      <c r="Q272" s="174" t="str">
        <f t="shared" si="32"/>
        <v/>
      </c>
      <c r="R272" s="174" t="str">
        <f t="shared" si="32"/>
        <v/>
      </c>
      <c r="S272" s="174" t="str">
        <f t="shared" si="32"/>
        <v/>
      </c>
      <c r="T272" s="174" t="str">
        <f t="shared" si="32"/>
        <v/>
      </c>
      <c r="U272" s="174" t="str">
        <f t="shared" si="32"/>
        <v/>
      </c>
      <c r="V272" s="174" t="str">
        <f t="shared" si="32"/>
        <v/>
      </c>
      <c r="W272" s="174" t="str">
        <f t="shared" si="32"/>
        <v/>
      </c>
      <c r="X272" s="174" t="str">
        <f t="shared" si="32"/>
        <v/>
      </c>
      <c r="Y272" s="174" t="str">
        <f t="shared" si="32"/>
        <v/>
      </c>
      <c r="Z272" s="174" t="str">
        <f t="shared" si="32"/>
        <v/>
      </c>
      <c r="AA272" s="174" t="str">
        <f t="shared" si="32"/>
        <v/>
      </c>
      <c r="AB272" s="174" t="str">
        <f t="shared" si="32"/>
        <v/>
      </c>
      <c r="AC272" s="174" t="str">
        <f t="shared" si="32"/>
        <v/>
      </c>
      <c r="AD272" s="174" t="str">
        <f t="shared" si="32"/>
        <v/>
      </c>
      <c r="AE272" s="174" t="str">
        <f t="shared" si="32"/>
        <v/>
      </c>
      <c r="AF272" s="174" t="str">
        <f t="shared" si="32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33">IF(B240&lt;100,"",B240-330)</f>
        <v/>
      </c>
      <c r="C273" s="174" t="str">
        <f t="shared" si="33"/>
        <v/>
      </c>
      <c r="D273" s="174" t="str">
        <f t="shared" si="33"/>
        <v/>
      </c>
      <c r="E273" s="174" t="str">
        <f t="shared" si="33"/>
        <v/>
      </c>
      <c r="F273" s="174" t="str">
        <f t="shared" si="33"/>
        <v/>
      </c>
      <c r="G273" s="174" t="str">
        <f t="shared" si="33"/>
        <v/>
      </c>
      <c r="H273" s="174" t="str">
        <f t="shared" si="33"/>
        <v/>
      </c>
      <c r="I273" s="174" t="str">
        <f t="shared" si="33"/>
        <v/>
      </c>
      <c r="J273" s="174" t="str">
        <f t="shared" si="33"/>
        <v/>
      </c>
      <c r="K273" s="174" t="str">
        <f t="shared" si="33"/>
        <v/>
      </c>
      <c r="L273" s="174" t="str">
        <f t="shared" si="33"/>
        <v/>
      </c>
      <c r="M273" s="174" t="str">
        <f t="shared" si="33"/>
        <v/>
      </c>
      <c r="N273" s="174" t="str">
        <f t="shared" si="33"/>
        <v/>
      </c>
      <c r="O273" s="174" t="str">
        <f t="shared" si="33"/>
        <v/>
      </c>
      <c r="P273" s="174" t="str">
        <f t="shared" si="33"/>
        <v/>
      </c>
      <c r="Q273" s="174" t="str">
        <f t="shared" si="33"/>
        <v/>
      </c>
      <c r="R273" s="174" t="str">
        <f t="shared" si="33"/>
        <v/>
      </c>
      <c r="S273" s="174" t="str">
        <f t="shared" si="33"/>
        <v/>
      </c>
      <c r="T273" s="174" t="str">
        <f t="shared" si="33"/>
        <v/>
      </c>
      <c r="U273" s="174" t="str">
        <f t="shared" si="33"/>
        <v/>
      </c>
      <c r="V273" s="174" t="str">
        <f t="shared" si="33"/>
        <v/>
      </c>
      <c r="W273" s="174" t="str">
        <f t="shared" si="33"/>
        <v/>
      </c>
      <c r="X273" s="174" t="str">
        <f t="shared" si="33"/>
        <v/>
      </c>
      <c r="Y273" s="174" t="str">
        <f t="shared" si="33"/>
        <v/>
      </c>
      <c r="Z273" s="174" t="str">
        <f t="shared" si="33"/>
        <v/>
      </c>
      <c r="AA273" s="174" t="str">
        <f t="shared" si="33"/>
        <v/>
      </c>
      <c r="AB273" s="174" t="str">
        <f t="shared" si="33"/>
        <v/>
      </c>
      <c r="AC273" s="174" t="str">
        <f t="shared" si="33"/>
        <v/>
      </c>
      <c r="AD273" s="174" t="str">
        <f t="shared" si="33"/>
        <v/>
      </c>
      <c r="AE273" s="174" t="str">
        <f t="shared" si="33"/>
        <v/>
      </c>
      <c r="AF273" s="174" t="str">
        <f t="shared" si="33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34">IF(B241&lt;100,"",B241-1500)</f>
        <v/>
      </c>
      <c r="C274" s="174" t="str">
        <f t="shared" si="34"/>
        <v/>
      </c>
      <c r="D274" s="174" t="str">
        <f t="shared" si="34"/>
        <v/>
      </c>
      <c r="E274" s="174" t="str">
        <f t="shared" si="34"/>
        <v/>
      </c>
      <c r="F274" s="174" t="str">
        <f t="shared" si="34"/>
        <v/>
      </c>
      <c r="G274" s="174" t="str">
        <f t="shared" si="34"/>
        <v/>
      </c>
      <c r="H274" s="174" t="str">
        <f t="shared" si="34"/>
        <v/>
      </c>
      <c r="I274" s="174" t="str">
        <f t="shared" si="34"/>
        <v/>
      </c>
      <c r="J274" s="174" t="str">
        <f t="shared" si="34"/>
        <v/>
      </c>
      <c r="K274" s="174" t="str">
        <f t="shared" si="34"/>
        <v/>
      </c>
      <c r="L274" s="174" t="str">
        <f t="shared" si="34"/>
        <v/>
      </c>
      <c r="M274" s="174" t="str">
        <f t="shared" si="34"/>
        <v/>
      </c>
      <c r="N274" s="174" t="str">
        <f t="shared" si="34"/>
        <v/>
      </c>
      <c r="O274" s="174" t="str">
        <f t="shared" si="34"/>
        <v/>
      </c>
      <c r="P274" s="174" t="str">
        <f t="shared" si="34"/>
        <v/>
      </c>
      <c r="Q274" s="174" t="str">
        <f t="shared" si="34"/>
        <v/>
      </c>
      <c r="R274" s="174" t="str">
        <f t="shared" si="34"/>
        <v/>
      </c>
      <c r="S274" s="174" t="str">
        <f t="shared" si="34"/>
        <v/>
      </c>
      <c r="T274" s="174" t="str">
        <f t="shared" si="34"/>
        <v/>
      </c>
      <c r="U274" s="174" t="str">
        <f t="shared" si="34"/>
        <v/>
      </c>
      <c r="V274" s="174" t="str">
        <f t="shared" si="34"/>
        <v/>
      </c>
      <c r="W274" s="174" t="str">
        <f t="shared" si="34"/>
        <v/>
      </c>
      <c r="X274" s="174" t="str">
        <f t="shared" si="34"/>
        <v/>
      </c>
      <c r="Y274" s="174" t="str">
        <f t="shared" si="34"/>
        <v/>
      </c>
      <c r="Z274" s="174" t="str">
        <f t="shared" si="34"/>
        <v/>
      </c>
      <c r="AA274" s="174" t="str">
        <f t="shared" si="34"/>
        <v/>
      </c>
      <c r="AB274" s="174" t="str">
        <f t="shared" si="34"/>
        <v/>
      </c>
      <c r="AC274" s="174" t="str">
        <f t="shared" si="34"/>
        <v/>
      </c>
      <c r="AD274" s="174" t="str">
        <f t="shared" si="34"/>
        <v/>
      </c>
      <c r="AE274" s="174" t="str">
        <f t="shared" si="34"/>
        <v/>
      </c>
      <c r="AF274" s="174" t="str">
        <f t="shared" si="34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2459" priority="79">
      <formula>$AH11=0</formula>
    </cfRule>
  </conditionalFormatting>
  <conditionalFormatting sqref="B8 M8 S8 AB8">
    <cfRule type="expression" dxfId="2458" priority="130">
      <formula>AND(C$9&gt;=14/24,C$9&lt;20/24)</formula>
    </cfRule>
    <cfRule type="expression" dxfId="2457" priority="132">
      <formula>C$9&lt;8/24</formula>
    </cfRule>
    <cfRule type="expression" dxfId="2456" priority="131">
      <formula>AND(C$9&gt;=8/24,C$9&lt;14/24)</formula>
    </cfRule>
  </conditionalFormatting>
  <conditionalFormatting sqref="B55:D59">
    <cfRule type="expression" dxfId="2455" priority="76">
      <formula>AND(B$9&gt;=14/24,B$9&lt;20/24)</formula>
    </cfRule>
    <cfRule type="expression" dxfId="2454" priority="75">
      <formula>B$9&gt;=20/24</formula>
    </cfRule>
    <cfRule type="expression" dxfId="2453" priority="78">
      <formula>B$9&lt;8/24</formula>
    </cfRule>
    <cfRule type="expression" dxfId="2452" priority="77">
      <formula>AND(B$9&gt;=8/24,B$9&lt;14/24)</formula>
    </cfRule>
  </conditionalFormatting>
  <conditionalFormatting sqref="B9:AF45">
    <cfRule type="expression" dxfId="2451" priority="13">
      <formula>B$9&lt;8/24</formula>
    </cfRule>
    <cfRule type="expression" dxfId="2450" priority="10">
      <formula>B$9&gt;=20/24</formula>
    </cfRule>
    <cfRule type="expression" dxfId="2449" priority="11">
      <formula>AND(B$9&gt;=14/24,B$9&lt;20/24)</formula>
    </cfRule>
    <cfRule type="expression" dxfId="2448" priority="12">
      <formula>AND(B$9&gt;=8/24,B$9&lt;14/24)</formula>
    </cfRule>
  </conditionalFormatting>
  <conditionalFormatting sqref="B11:AF47 B55:AF66">
    <cfRule type="expression" dxfId="2447" priority="9">
      <formula>B11&gt;$AG11</formula>
    </cfRule>
  </conditionalFormatting>
  <conditionalFormatting sqref="B46:AF46">
    <cfRule type="expression" dxfId="2446" priority="2">
      <formula>B$9&gt;=20/24</formula>
    </cfRule>
    <cfRule type="expression" dxfId="2445" priority="3">
      <formula>AND(B$9&gt;=14/24,B$9&lt;20/24)</formula>
    </cfRule>
  </conditionalFormatting>
  <conditionalFormatting sqref="B46:AF49">
    <cfRule type="expression" dxfId="2444" priority="7">
      <formula>AND(B$9&gt;=8/24,B$9&lt;14/24)</formula>
    </cfRule>
    <cfRule type="expression" dxfId="2443" priority="8">
      <formula>B$9&lt;8/24</formula>
    </cfRule>
  </conditionalFormatting>
  <conditionalFormatting sqref="B47:AF49">
    <cfRule type="expression" dxfId="2442" priority="5">
      <formula>B$9&gt;=20/24</formula>
    </cfRule>
    <cfRule type="expression" dxfId="2441" priority="6">
      <formula>AND(B$9&gt;=14/24,B$9&lt;20/24)</formula>
    </cfRule>
  </conditionalFormatting>
  <conditionalFormatting sqref="B48:AF53">
    <cfRule type="expression" dxfId="2440" priority="4">
      <formula>B48&gt;$AG48</formula>
    </cfRule>
  </conditionalFormatting>
  <conditionalFormatting sqref="B51:AF53">
    <cfRule type="expression" dxfId="2439" priority="62">
      <formula>B$9&gt;=20/24</formula>
    </cfRule>
    <cfRule type="expression" dxfId="2438" priority="63">
      <formula>AND(B$9&gt;=14/24,B$9&lt;20/24)</formula>
    </cfRule>
    <cfRule type="expression" dxfId="2437" priority="64">
      <formula>AND(B$9&gt;=8/24,B$9&lt;14/24)</formula>
    </cfRule>
    <cfRule type="expression" dxfId="2436" priority="65">
      <formula>B$9&lt;8/24</formula>
    </cfRule>
  </conditionalFormatting>
  <conditionalFormatting sqref="B60:AF66">
    <cfRule type="expression" dxfId="2435" priority="66">
      <formula>B$9&gt;=20/24</formula>
    </cfRule>
    <cfRule type="expression" dxfId="2434" priority="67">
      <formula>AND(B$9&gt;=14/24,B$9&lt;20/24)</formula>
    </cfRule>
    <cfRule type="expression" dxfId="2433" priority="68">
      <formula>AND(B$9&gt;=8/24,B$9&lt;14/24)</formula>
    </cfRule>
    <cfRule type="expression" dxfId="2432" priority="69">
      <formula>B$9&lt;8/24</formula>
    </cfRule>
  </conditionalFormatting>
  <conditionalFormatting sqref="B69:AF71">
    <cfRule type="expression" dxfId="2431" priority="70">
      <formula>B69&gt;$AG69</formula>
    </cfRule>
    <cfRule type="expression" dxfId="2430" priority="72">
      <formula>AND(B$9&gt;=14/24,B$9&lt;20/24)</formula>
    </cfRule>
    <cfRule type="expression" dxfId="2429" priority="73">
      <formula>AND(B$9&gt;=8/24,B$9&lt;14/24)</formula>
    </cfRule>
    <cfRule type="expression" dxfId="2428" priority="74">
      <formula>B$9&lt;8/24</formula>
    </cfRule>
    <cfRule type="expression" dxfId="2427" priority="71">
      <formula>B$9&gt;=20/24</formula>
    </cfRule>
  </conditionalFormatting>
  <conditionalFormatting sqref="B73:AF91">
    <cfRule type="expression" dxfId="2426" priority="18">
      <formula>AND(B$9&gt;=8/24,B$9&lt;14/24)</formula>
    </cfRule>
    <cfRule type="expression" dxfId="2425" priority="16">
      <formula>B$9&gt;=20/24</formula>
    </cfRule>
    <cfRule type="expression" dxfId="2424" priority="17">
      <formula>AND(B$9&gt;=14/24,B$9&lt;20/24)</formula>
    </cfRule>
    <cfRule type="expression" dxfId="2423" priority="19">
      <formula>B$9&lt;8/24</formula>
    </cfRule>
  </conditionalFormatting>
  <conditionalFormatting sqref="B111:AF120">
    <cfRule type="expression" dxfId="2422" priority="32">
      <formula>B$9&lt;8/24</formula>
    </cfRule>
    <cfRule type="expression" dxfId="2421" priority="30">
      <formula>AND(B$9&gt;=14/24,B$9&lt;20/24)</formula>
    </cfRule>
    <cfRule type="expression" dxfId="2420" priority="29">
      <formula>B$9&gt;=20/24</formula>
    </cfRule>
    <cfRule type="expression" dxfId="2419" priority="31">
      <formula>AND(B$9&gt;=8/24,B$9&lt;14/24)</formula>
    </cfRule>
  </conditionalFormatting>
  <conditionalFormatting sqref="B227:AF227 D229:AF230 B229:B235 D231:H231 J231:AF231 D232:AF235 U248:AF248">
    <cfRule type="expression" dxfId="2418" priority="126">
      <formula>B$9&lt;8/24</formula>
    </cfRule>
    <cfRule type="expression" dxfId="2417" priority="125">
      <formula>AND(B$9&gt;=8/24,B$9&lt;14/24)</formula>
    </cfRule>
    <cfRule type="expression" dxfId="2416" priority="124">
      <formula>AND(B$9&gt;=14/24,B$9&lt;20/24)</formula>
    </cfRule>
    <cfRule type="expression" dxfId="2415" priority="123">
      <formula>B$9&gt;=20/24</formula>
    </cfRule>
  </conditionalFormatting>
  <conditionalFormatting sqref="B54:AG54 F61:I66">
    <cfRule type="expression" dxfId="2414" priority="48">
      <formula>B54&gt;$AG54</formula>
    </cfRule>
  </conditionalFormatting>
  <conditionalFormatting sqref="B54:AG54">
    <cfRule type="expression" dxfId="2413" priority="53">
      <formula>B$9&gt;=20/24</formula>
    </cfRule>
    <cfRule type="expression" dxfId="2412" priority="54">
      <formula>AND(B$9&gt;=14/24,B$9&lt;20/24)</formula>
    </cfRule>
    <cfRule type="expression" dxfId="2411" priority="55">
      <formula>AND(B$9&gt;=8/24,B$9&lt;14/24)</formula>
    </cfRule>
    <cfRule type="expression" dxfId="2410" priority="56">
      <formula>B$9&lt;8/24</formula>
    </cfRule>
  </conditionalFormatting>
  <conditionalFormatting sqref="B67:AG68 B72:AG72">
    <cfRule type="expression" dxfId="2409" priority="57">
      <formula>B67&gt;$AG67</formula>
    </cfRule>
  </conditionalFormatting>
  <conditionalFormatting sqref="B72:AG72 B93:AF109">
    <cfRule type="expression" dxfId="2408" priority="58">
      <formula>B$9&gt;=20/24</formula>
    </cfRule>
    <cfRule type="expression" dxfId="2407" priority="59">
      <formula>AND(B$9&gt;=14/24,B$9&lt;20/24)</formula>
    </cfRule>
    <cfRule type="expression" dxfId="2406" priority="60">
      <formula>AND(B$9&gt;=8/24,B$9&lt;14/24)</formula>
    </cfRule>
    <cfRule type="expression" dxfId="2405" priority="61">
      <formula>B$9&lt;8/24</formula>
    </cfRule>
  </conditionalFormatting>
  <conditionalFormatting sqref="E55:AF57">
    <cfRule type="expression" dxfId="2404" priority="106">
      <formula>AND(E$9&gt;=8/24,E$9&lt;14/24)</formula>
    </cfRule>
    <cfRule type="expression" dxfId="2403" priority="107">
      <formula>E$9&lt;8/24</formula>
    </cfRule>
    <cfRule type="expression" dxfId="2402" priority="104">
      <formula>E$9&gt;=20/24</formula>
    </cfRule>
    <cfRule type="expression" dxfId="2401" priority="105">
      <formula>AND(E$9&gt;=14/24,E$9&lt;20/24)</formula>
    </cfRule>
  </conditionalFormatting>
  <conditionalFormatting sqref="L61:AF66">
    <cfRule type="expression" dxfId="2400" priority="1">
      <formula>L61&gt;$AG61</formula>
    </cfRule>
  </conditionalFormatting>
  <conditionalFormatting sqref="M55:AF59">
    <cfRule type="expression" dxfId="2399" priority="108">
      <formula>M$9&gt;=20/24</formula>
    </cfRule>
    <cfRule type="expression" dxfId="2398" priority="109">
      <formula>AND(M$9&gt;=14/24,M$9&lt;20/24)</formula>
    </cfRule>
    <cfRule type="expression" dxfId="2397" priority="110">
      <formula>AND(M$9&gt;=8/24,M$9&lt;14/24)</formula>
    </cfRule>
    <cfRule type="expression" dxfId="2396" priority="111">
      <formula>M$9&lt;8/24</formula>
    </cfRule>
  </conditionalFormatting>
  <conditionalFormatting sqref="O3:P3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395" priority="129">
      <formula>C$9&gt;=20/24</formula>
    </cfRule>
  </conditionalFormatting>
  <conditionalFormatting sqref="S8">
    <cfRule type="expression" dxfId="2394" priority="118">
      <formula>AND(U$9&gt;=8/24,U$9&lt;14/24)</formula>
    </cfRule>
    <cfRule type="expression" dxfId="2393" priority="116">
      <formula>U$9&gt;=20/24</formula>
    </cfRule>
    <cfRule type="expression" dxfId="2392" priority="117">
      <formula>AND(U$9&gt;=14/24,U$9&lt;20/24)</formula>
    </cfRule>
    <cfRule type="expression" dxfId="2391" priority="119">
      <formula>U$9&lt;8/24</formula>
    </cfRule>
  </conditionalFormatting>
  <conditionalFormatting sqref="S55:AF60">
    <cfRule type="expression" dxfId="2390" priority="25">
      <formula>S$9&gt;=20/24</formula>
    </cfRule>
    <cfRule type="expression" dxfId="2389" priority="26">
      <formula>AND(S$9&gt;=14/24,S$9&lt;20/24)</formula>
    </cfRule>
    <cfRule type="expression" dxfId="2388" priority="27">
      <formula>AND(S$9&gt;=8/24,S$9&lt;14/24)</formula>
    </cfRule>
    <cfRule type="expression" dxfId="2387" priority="28">
      <formula>S$9&lt;8/24</formula>
    </cfRule>
  </conditionalFormatting>
  <conditionalFormatting sqref="T248">
    <cfRule type="expression" dxfId="2386" priority="143">
      <formula>AND(AX$9&gt;=8/24,AX$9&lt;14/24)</formula>
    </cfRule>
    <cfRule type="expression" dxfId="2385" priority="141">
      <formula>AX$9&gt;=20/24</formula>
    </cfRule>
    <cfRule type="expression" dxfId="2384" priority="142">
      <formula>AND(AX$9&gt;=14/24,AX$9&lt;20/24)</formula>
    </cfRule>
    <cfRule type="expression" dxfId="2383" priority="144">
      <formula>AX$9&lt;8/24</formula>
    </cfRule>
  </conditionalFormatting>
  <conditionalFormatting sqref="V3 AB3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382" priority="115">
      <formula>AD$9&lt;8/24</formula>
    </cfRule>
    <cfRule type="expression" dxfId="2381" priority="112">
      <formula>AD$9&gt;=20/24</formula>
    </cfRule>
    <cfRule type="expression" dxfId="2380" priority="113">
      <formula>AND(AD$9&gt;=14/24,AD$9&lt;20/24)</formula>
    </cfRule>
    <cfRule type="expression" dxfId="2379" priority="114">
      <formula>AND(AD$9&gt;=8/24,AD$9&lt;14/24)</formula>
    </cfRule>
  </conditionalFormatting>
  <conditionalFormatting sqref="AE61:AF66">
    <cfRule type="expression" dxfId="2378" priority="21">
      <formula>AE$9&gt;=20/24</formula>
    </cfRule>
    <cfRule type="expression" dxfId="2377" priority="22">
      <formula>AND(AE$9&gt;=14/24,AE$9&lt;20/24)</formula>
    </cfRule>
    <cfRule type="expression" dxfId="2376" priority="23">
      <formula>AND(AE$9&gt;=8/24,AE$9&lt;14/24)</formula>
    </cfRule>
    <cfRule type="expression" dxfId="2375" priority="24">
      <formula>AE$9&lt;8/24</formula>
    </cfRule>
  </conditionalFormatting>
  <conditionalFormatting sqref="AG50">
    <cfRule type="expression" dxfId="2374" priority="99">
      <formula>AG50&gt;$AG50</formula>
    </cfRule>
  </conditionalFormatting>
  <conditionalFormatting sqref="AG89">
    <cfRule type="expression" dxfId="2373" priority="102">
      <formula>AND(AG$9&gt;=8/24,AG$9&lt;14/24)</formula>
    </cfRule>
    <cfRule type="expression" dxfId="2372" priority="103">
      <formula>AG$9&lt;8/24</formula>
    </cfRule>
    <cfRule type="expression" dxfId="2371" priority="101">
      <formula>AND(AG$9&gt;=14/24,AG$9&lt;20/24)</formula>
    </cfRule>
    <cfRule type="expression" dxfId="2370" priority="100">
      <formula>AG$9&gt;=20/24</formula>
    </cfRule>
  </conditionalFormatting>
  <conditionalFormatting sqref="AG248">
    <cfRule type="expression" dxfId="2369" priority="133">
      <formula>B$9&gt;=20/24</formula>
    </cfRule>
    <cfRule type="expression" dxfId="2368" priority="134">
      <formula>AND(B$9&gt;=14/24,B$9&lt;20/24)</formula>
    </cfRule>
    <cfRule type="expression" dxfId="2367" priority="136">
      <formula>B$9&lt;8/24</formula>
    </cfRule>
    <cfRule type="expression" dxfId="2366" priority="135">
      <formula>AND(B$9&gt;=8/24,B$9&lt;14/24)</formula>
    </cfRule>
  </conditionalFormatting>
  <conditionalFormatting sqref="AH248:AX248">
    <cfRule type="expression" dxfId="2365" priority="137">
      <formula>AG$9&gt;=20/24</formula>
    </cfRule>
    <cfRule type="expression" dxfId="2364" priority="138">
      <formula>AND(AG$9&gt;=14/24,AG$9&lt;20/24)</formula>
    </cfRule>
    <cfRule type="expression" dxfId="2363" priority="139">
      <formula>AND(AG$9&gt;=8/24,AG$9&lt;14/24)</formula>
    </cfRule>
    <cfRule type="expression" dxfId="2362" priority="140">
      <formula>AG$9&lt;8/24</formula>
    </cfRule>
  </conditionalFormatting>
  <conditionalFormatting sqref="AL4:AL6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97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96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9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361" priority="146">
      <formula>AJ$9&gt;=20/24</formula>
    </cfRule>
    <cfRule type="expression" dxfId="2360" priority="147">
      <formula>AND(AJ$9&gt;=14/24,AJ$9&lt;20/24)</formula>
    </cfRule>
    <cfRule type="expression" dxfId="2359" priority="148">
      <formula>AND(AJ$9&gt;=8/24,AJ$9&lt;14/24)</formula>
    </cfRule>
    <cfRule type="expression" dxfId="2358" priority="149">
      <formula>AJ$9&lt;8/24</formula>
    </cfRule>
  </conditionalFormatting>
  <conditionalFormatting sqref="AL80:AN80 AL86:AN86">
    <cfRule type="expression" dxfId="2357" priority="89">
      <formula>AND(AL$9&gt;=8/24,AL$9&lt;14/24)</formula>
    </cfRule>
    <cfRule type="expression" dxfId="2356" priority="90">
      <formula>AL$9&lt;8/24</formula>
    </cfRule>
    <cfRule type="expression" dxfId="2355" priority="88">
      <formula>AND(AL$9&gt;=14/24,AL$9&lt;20/24)</formula>
    </cfRule>
    <cfRule type="expression" dxfId="2354" priority="87">
      <formula>AL$9&gt;=20/24</formula>
    </cfRule>
  </conditionalFormatting>
  <conditionalFormatting sqref="AN81:AN84">
    <cfRule type="expression" dxfId="2353" priority="83">
      <formula>AN$9&gt;=20/24</formula>
    </cfRule>
    <cfRule type="expression" dxfId="2352" priority="86">
      <formula>AN$9&lt;8/24</formula>
    </cfRule>
    <cfRule type="expression" dxfId="2351" priority="85">
      <formula>AND(AN$9&gt;=8/24,AN$9&lt;14/24)</formula>
    </cfRule>
    <cfRule type="expression" dxfId="2350" priority="84">
      <formula>AND(AN$9&gt;=14/24,AN$9&lt;20/24)</formula>
    </cfRule>
  </conditionalFormatting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5085-3D9C-4A47-BB01-CBB403E061BA}">
  <dimension ref="A1:CJ281"/>
  <sheetViews>
    <sheetView zoomScale="112" zoomScaleNormal="112" workbookViewId="0">
      <pane xSplit="1" ySplit="10" topLeftCell="B13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K13" sqref="K1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2080/04/7</v>
      </c>
      <c r="C4" s="203"/>
      <c r="D4" s="203"/>
      <c r="E4" s="204" t="str">
        <f ca="1">"2079/"&amp;"12/"&amp;INT(MID(CELL("filename",G6),FIND("]",CELL("filename",G6))+1,200))</f>
        <v>2079/12/7</v>
      </c>
      <c r="F4" s="204"/>
      <c r="G4" s="204"/>
      <c r="H4" s="204" t="str">
        <f ca="1">TEXT(E4,"dddd")</f>
        <v>Thursday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46.8</v>
      </c>
      <c r="C5" s="30">
        <f t="shared" si="0"/>
        <v>46.8</v>
      </c>
      <c r="D5" s="30">
        <f t="shared" si="0"/>
        <v>43.6</v>
      </c>
      <c r="E5" s="30">
        <f t="shared" si="0"/>
        <v>0</v>
      </c>
      <c r="F5" s="30">
        <f t="shared" si="0"/>
        <v>58.2</v>
      </c>
      <c r="G5" s="30">
        <f t="shared" si="0"/>
        <v>28.2</v>
      </c>
      <c r="H5" s="30">
        <f t="shared" si="0"/>
        <v>15.6</v>
      </c>
      <c r="I5" s="30">
        <f t="shared" si="0"/>
        <v>14</v>
      </c>
      <c r="J5" s="30">
        <f t="shared" si="0"/>
        <v>0</v>
      </c>
      <c r="K5" s="30">
        <f t="shared" si="0"/>
        <v>0</v>
      </c>
      <c r="L5" s="30">
        <f t="shared" si="0"/>
        <v>48.9</v>
      </c>
      <c r="M5" s="30">
        <f t="shared" si="0"/>
        <v>63.8</v>
      </c>
      <c r="N5" s="30">
        <f t="shared" si="0"/>
        <v>54.6</v>
      </c>
      <c r="O5" s="30">
        <f t="shared" si="0"/>
        <v>42.9</v>
      </c>
      <c r="P5" s="30">
        <f t="shared" si="0"/>
        <v>72</v>
      </c>
      <c r="Q5" s="30">
        <f t="shared" si="0"/>
        <v>79.8</v>
      </c>
      <c r="R5" s="30">
        <f t="shared" si="0"/>
        <v>53.5</v>
      </c>
      <c r="S5" s="30">
        <f t="shared" si="0"/>
        <v>70.099999999999994</v>
      </c>
      <c r="T5" s="30">
        <f t="shared" si="0"/>
        <v>65.900000000000006</v>
      </c>
      <c r="U5" s="30">
        <f t="shared" si="0"/>
        <v>48.5</v>
      </c>
      <c r="V5" s="30">
        <f t="shared" si="0"/>
        <v>53.7</v>
      </c>
      <c r="W5" s="30">
        <f t="shared" si="0"/>
        <v>51.2</v>
      </c>
      <c r="X5" s="30">
        <f t="shared" si="0"/>
        <v>0</v>
      </c>
      <c r="Y5" s="30">
        <f t="shared" si="0"/>
        <v>45.9</v>
      </c>
      <c r="Z5" s="30">
        <f t="shared" si="0"/>
        <v>64.3</v>
      </c>
      <c r="AA5" s="30">
        <f t="shared" si="0"/>
        <v>64.3</v>
      </c>
      <c r="AB5" s="30">
        <f t="shared" si="0"/>
        <v>51</v>
      </c>
      <c r="AC5" s="30">
        <f t="shared" si="0"/>
        <v>51</v>
      </c>
      <c r="AD5" s="30">
        <f t="shared" si="0"/>
        <v>44</v>
      </c>
      <c r="AE5" s="30">
        <f t="shared" si="0"/>
        <v>51</v>
      </c>
      <c r="AF5" s="30">
        <f>B84</f>
        <v>39.4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2030MW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1916.2400000000002</v>
      </c>
      <c r="C7" s="35">
        <f t="shared" si="1"/>
        <v>1891.64</v>
      </c>
      <c r="D7" s="35">
        <f t="shared" si="1"/>
        <v>1890.64</v>
      </c>
      <c r="E7" s="35">
        <f t="shared" si="1"/>
        <v>1881.14</v>
      </c>
      <c r="F7" s="35">
        <f t="shared" si="1"/>
        <v>946.54</v>
      </c>
      <c r="G7" s="35">
        <f t="shared" si="1"/>
        <v>1868.6400000000003</v>
      </c>
      <c r="H7" s="35">
        <f t="shared" si="1"/>
        <v>1858.9400000000003</v>
      </c>
      <c r="I7" s="35">
        <f t="shared" si="1"/>
        <v>1854.3400000000001</v>
      </c>
      <c r="J7" s="35">
        <f t="shared" si="1"/>
        <v>1888.7400000000002</v>
      </c>
      <c r="K7" s="35">
        <f t="shared" si="1"/>
        <v>3.54</v>
      </c>
      <c r="L7" s="35">
        <f t="shared" si="1"/>
        <v>3.54</v>
      </c>
      <c r="M7" s="35">
        <f t="shared" si="1"/>
        <v>2003.0400000000004</v>
      </c>
      <c r="N7" s="35">
        <f>N91</f>
        <v>2030.04</v>
      </c>
      <c r="O7" s="35">
        <f t="shared" si="1"/>
        <v>2066.7399999999998</v>
      </c>
      <c r="P7" s="35">
        <f t="shared" si="1"/>
        <v>2066.04</v>
      </c>
      <c r="Q7" s="35">
        <f t="shared" si="1"/>
        <v>2093.84</v>
      </c>
      <c r="R7" s="35">
        <f t="shared" si="1"/>
        <v>2091.34</v>
      </c>
      <c r="S7" s="35">
        <f t="shared" si="1"/>
        <v>2092.04</v>
      </c>
      <c r="T7" s="35">
        <f t="shared" si="1"/>
        <v>2077.44</v>
      </c>
      <c r="U7" s="35">
        <f t="shared" si="1"/>
        <v>1977.3400000000001</v>
      </c>
      <c r="V7" s="35">
        <f t="shared" si="1"/>
        <v>1961.6400000000003</v>
      </c>
      <c r="W7" s="35">
        <f t="shared" si="1"/>
        <v>1961.14</v>
      </c>
      <c r="X7" s="35">
        <f t="shared" si="1"/>
        <v>1948.7400000000002</v>
      </c>
      <c r="Y7" s="35">
        <f t="shared" si="1"/>
        <v>3.54</v>
      </c>
      <c r="Z7" s="35">
        <f t="shared" si="1"/>
        <v>1922.2400000000002</v>
      </c>
      <c r="AA7" s="35">
        <f t="shared" si="1"/>
        <v>2007.64</v>
      </c>
      <c r="AB7" s="35">
        <f t="shared" si="1"/>
        <v>2062.14</v>
      </c>
      <c r="AC7" s="35">
        <f t="shared" si="1"/>
        <v>2087.7399999999998</v>
      </c>
      <c r="AD7" s="35">
        <f t="shared" si="1"/>
        <v>2087.7399999999998</v>
      </c>
      <c r="AE7" s="35">
        <f t="shared" si="1"/>
        <v>2084.7399999999998</v>
      </c>
      <c r="AF7" s="35">
        <f t="shared" si="1"/>
        <v>2031.4399999999998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</v>
      </c>
      <c r="C11" s="45">
        <v>90</v>
      </c>
      <c r="D11" s="45">
        <v>90</v>
      </c>
      <c r="E11" s="45">
        <v>90</v>
      </c>
      <c r="F11" s="45"/>
      <c r="G11" s="45">
        <v>90</v>
      </c>
      <c r="H11" s="45">
        <v>90</v>
      </c>
      <c r="I11" s="45">
        <v>90</v>
      </c>
      <c r="J11" s="45">
        <v>90</v>
      </c>
      <c r="K11" s="45" t="s">
        <v>260</v>
      </c>
      <c r="L11" s="45" t="s">
        <v>260</v>
      </c>
      <c r="M11" s="45">
        <v>90</v>
      </c>
      <c r="N11" s="45">
        <v>90</v>
      </c>
      <c r="O11" s="45">
        <v>90</v>
      </c>
      <c r="P11" s="45">
        <v>90</v>
      </c>
      <c r="Q11" s="45">
        <v>90</v>
      </c>
      <c r="R11" s="45">
        <v>90</v>
      </c>
      <c r="S11" s="45">
        <v>90</v>
      </c>
      <c r="T11" s="45">
        <v>90</v>
      </c>
      <c r="U11" s="45">
        <v>90</v>
      </c>
      <c r="V11" s="45">
        <v>90</v>
      </c>
      <c r="W11" s="45">
        <v>90</v>
      </c>
      <c r="X11" s="45">
        <v>90</v>
      </c>
      <c r="Y11" s="45" t="s">
        <v>260</v>
      </c>
      <c r="Z11" s="45">
        <v>90</v>
      </c>
      <c r="AA11" s="45">
        <v>90</v>
      </c>
      <c r="AB11" s="45">
        <v>90</v>
      </c>
      <c r="AC11" s="45">
        <v>90</v>
      </c>
      <c r="AD11" s="45">
        <v>90</v>
      </c>
      <c r="AE11" s="45">
        <v>90</v>
      </c>
      <c r="AF11" s="45">
        <v>90</v>
      </c>
      <c r="AG11" s="46">
        <v>86</v>
      </c>
      <c r="AH11" s="47">
        <f t="shared" ref="AH11:AH76" si="2">MAX(B11:AF11)</f>
        <v>90</v>
      </c>
      <c r="AI11" s="48">
        <f t="shared" ref="AI11:AI76" si="3">MIN(B11:AF11)</f>
        <v>90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15</v>
      </c>
      <c r="C12" s="45">
        <v>0</v>
      </c>
      <c r="D12" s="45">
        <v>0</v>
      </c>
      <c r="E12" s="45">
        <v>0</v>
      </c>
      <c r="F12" s="45"/>
      <c r="G12" s="45">
        <v>0</v>
      </c>
      <c r="H12" s="45">
        <v>0</v>
      </c>
      <c r="I12" s="45">
        <v>0</v>
      </c>
      <c r="J12" s="45">
        <v>0</v>
      </c>
      <c r="K12" s="45" t="s">
        <v>280</v>
      </c>
      <c r="L12" s="45" t="s">
        <v>280</v>
      </c>
      <c r="M12" s="45">
        <v>10</v>
      </c>
      <c r="N12" s="45">
        <v>10</v>
      </c>
      <c r="O12" s="45">
        <v>13</v>
      </c>
      <c r="P12" s="45">
        <v>20</v>
      </c>
      <c r="Q12" s="45">
        <v>26</v>
      </c>
      <c r="R12" s="45">
        <v>26</v>
      </c>
      <c r="S12" s="45">
        <v>26</v>
      </c>
      <c r="T12" s="45">
        <v>26</v>
      </c>
      <c r="U12" s="45">
        <v>8</v>
      </c>
      <c r="V12" s="45">
        <v>8</v>
      </c>
      <c r="W12" s="45">
        <v>8</v>
      </c>
      <c r="X12" s="45">
        <v>0</v>
      </c>
      <c r="Y12" s="45" t="s">
        <v>280</v>
      </c>
      <c r="Z12" s="45">
        <v>0</v>
      </c>
      <c r="AA12" s="45">
        <v>8</v>
      </c>
      <c r="AB12" s="45">
        <v>8</v>
      </c>
      <c r="AC12" s="45">
        <v>8</v>
      </c>
      <c r="AD12" s="45">
        <v>8</v>
      </c>
      <c r="AE12" s="45">
        <v>8</v>
      </c>
      <c r="AF12" s="45">
        <v>15</v>
      </c>
      <c r="AG12" s="49">
        <v>54</v>
      </c>
      <c r="AH12" s="47">
        <f t="shared" si="2"/>
        <v>26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54.5</v>
      </c>
      <c r="C13" s="45">
        <v>54.5</v>
      </c>
      <c r="D13" s="45">
        <v>54.5</v>
      </c>
      <c r="E13" s="45">
        <v>54.5</v>
      </c>
      <c r="F13" s="45"/>
      <c r="G13" s="45">
        <v>54.5</v>
      </c>
      <c r="H13" s="45">
        <v>54.5</v>
      </c>
      <c r="I13" s="45">
        <v>54.5</v>
      </c>
      <c r="J13" s="45">
        <v>54.5</v>
      </c>
      <c r="K13" s="45" t="s">
        <v>260</v>
      </c>
      <c r="L13" s="45" t="s">
        <v>260</v>
      </c>
      <c r="M13" s="45">
        <v>54.5</v>
      </c>
      <c r="N13" s="45">
        <v>54.5</v>
      </c>
      <c r="O13" s="45">
        <v>54.5</v>
      </c>
      <c r="P13" s="45">
        <v>54.5</v>
      </c>
      <c r="Q13" s="45">
        <v>54.5</v>
      </c>
      <c r="R13" s="45">
        <v>54.5</v>
      </c>
      <c r="S13" s="45">
        <v>54.9</v>
      </c>
      <c r="T13" s="45">
        <v>54.9</v>
      </c>
      <c r="U13" s="45">
        <v>54.9</v>
      </c>
      <c r="V13" s="45">
        <v>54.9</v>
      </c>
      <c r="W13" s="45">
        <v>54.9</v>
      </c>
      <c r="X13" s="45">
        <v>54.9</v>
      </c>
      <c r="Y13" s="45" t="s">
        <v>260</v>
      </c>
      <c r="Z13" s="45">
        <v>55.1</v>
      </c>
      <c r="AA13" s="45">
        <v>55.1</v>
      </c>
      <c r="AB13" s="45">
        <v>54.9</v>
      </c>
      <c r="AC13" s="45">
        <v>54.9</v>
      </c>
      <c r="AD13" s="45">
        <v>54.9</v>
      </c>
      <c r="AE13" s="45">
        <v>54.9</v>
      </c>
      <c r="AF13" s="45">
        <v>54.9</v>
      </c>
      <c r="AG13" s="46">
        <v>52.4</v>
      </c>
      <c r="AH13" s="47">
        <f t="shared" si="2"/>
        <v>55.1</v>
      </c>
      <c r="AI13" s="48">
        <f t="shared" si="3"/>
        <v>54.5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50.3</v>
      </c>
      <c r="C14" s="58">
        <v>50.3</v>
      </c>
      <c r="D14" s="58">
        <v>50.3</v>
      </c>
      <c r="E14" s="58">
        <v>50.3</v>
      </c>
      <c r="F14" s="58"/>
      <c r="G14" s="58">
        <v>50.3</v>
      </c>
      <c r="H14" s="58">
        <v>50.3</v>
      </c>
      <c r="I14" s="58">
        <v>50.3</v>
      </c>
      <c r="J14" s="58">
        <v>50.3</v>
      </c>
      <c r="K14" s="58" t="s">
        <v>279</v>
      </c>
      <c r="L14" s="58" t="s">
        <v>279</v>
      </c>
      <c r="M14" s="58">
        <v>50.3</v>
      </c>
      <c r="N14" s="58">
        <v>50.3</v>
      </c>
      <c r="O14" s="58">
        <v>50.3</v>
      </c>
      <c r="P14" s="58">
        <v>50.3</v>
      </c>
      <c r="Q14" s="58">
        <v>50.3</v>
      </c>
      <c r="R14" s="58">
        <v>50.3</v>
      </c>
      <c r="S14" s="58">
        <v>50.6</v>
      </c>
      <c r="T14" s="58">
        <v>50.6</v>
      </c>
      <c r="U14" s="58">
        <v>50.6</v>
      </c>
      <c r="V14" s="58">
        <v>50.6</v>
      </c>
      <c r="W14" s="58">
        <v>50.6</v>
      </c>
      <c r="X14" s="58">
        <v>50.6</v>
      </c>
      <c r="Y14" s="58" t="s">
        <v>279</v>
      </c>
      <c r="Z14" s="58">
        <v>50.4</v>
      </c>
      <c r="AA14" s="58">
        <v>50.4</v>
      </c>
      <c r="AB14" s="58">
        <v>50.4</v>
      </c>
      <c r="AC14" s="58">
        <v>50.4</v>
      </c>
      <c r="AD14" s="58">
        <v>50.4</v>
      </c>
      <c r="AE14" s="58">
        <v>50.4</v>
      </c>
      <c r="AF14" s="58">
        <v>50.4</v>
      </c>
      <c r="AG14" s="49">
        <v>50</v>
      </c>
      <c r="AH14" s="47">
        <f t="shared" si="2"/>
        <v>50.6</v>
      </c>
      <c r="AI14" s="48">
        <f t="shared" si="3"/>
        <v>50.3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46.1</v>
      </c>
      <c r="C15" s="45">
        <v>46.1</v>
      </c>
      <c r="D15" s="45">
        <v>46.1</v>
      </c>
      <c r="E15" s="45">
        <v>46.1</v>
      </c>
      <c r="F15" s="45"/>
      <c r="G15" s="45">
        <v>37</v>
      </c>
      <c r="H15" s="45">
        <v>37</v>
      </c>
      <c r="I15" s="45">
        <v>37</v>
      </c>
      <c r="J15" s="45">
        <v>40</v>
      </c>
      <c r="K15" s="45" t="s">
        <v>281</v>
      </c>
      <c r="L15" s="45" t="s">
        <v>281</v>
      </c>
      <c r="M15" s="45">
        <v>45.9</v>
      </c>
      <c r="N15" s="45">
        <v>45.9</v>
      </c>
      <c r="O15" s="45">
        <v>45.9</v>
      </c>
      <c r="P15" s="45">
        <v>45.9</v>
      </c>
      <c r="Q15" s="45">
        <v>45.9</v>
      </c>
      <c r="R15" s="45">
        <v>45.9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 t="s">
        <v>281</v>
      </c>
      <c r="Z15" s="45">
        <v>46</v>
      </c>
      <c r="AA15" s="45">
        <v>46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46.1</v>
      </c>
      <c r="AI15" s="48">
        <f t="shared" si="3"/>
        <v>37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/>
      <c r="G16" s="45">
        <v>44</v>
      </c>
      <c r="H16" s="45">
        <v>44</v>
      </c>
      <c r="I16" s="45">
        <v>44</v>
      </c>
      <c r="J16" s="45">
        <v>44</v>
      </c>
      <c r="K16" s="45" t="s">
        <v>278</v>
      </c>
      <c r="L16" s="45" t="s">
        <v>278</v>
      </c>
      <c r="M16" s="45">
        <v>44</v>
      </c>
      <c r="N16" s="45">
        <v>44</v>
      </c>
      <c r="O16" s="45">
        <v>44</v>
      </c>
      <c r="P16" s="45">
        <v>30</v>
      </c>
      <c r="Q16" s="45">
        <v>30</v>
      </c>
      <c r="R16" s="45">
        <v>30</v>
      </c>
      <c r="S16" s="45">
        <v>30</v>
      </c>
      <c r="T16" s="45">
        <v>30</v>
      </c>
      <c r="U16" s="45">
        <v>30</v>
      </c>
      <c r="V16" s="45">
        <v>30</v>
      </c>
      <c r="W16" s="45">
        <v>30</v>
      </c>
      <c r="X16" s="45">
        <v>30</v>
      </c>
      <c r="Y16" s="45" t="s">
        <v>278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30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/>
      <c r="G17" s="45">
        <v>0</v>
      </c>
      <c r="H17" s="45">
        <v>28</v>
      </c>
      <c r="I17" s="45">
        <v>36</v>
      </c>
      <c r="J17" s="45">
        <v>36</v>
      </c>
      <c r="K17" s="45"/>
      <c r="L17" s="45"/>
      <c r="M17" s="45">
        <v>28</v>
      </c>
      <c r="N17" s="45">
        <v>30</v>
      </c>
      <c r="O17" s="45">
        <v>32</v>
      </c>
      <c r="P17" s="45">
        <v>32</v>
      </c>
      <c r="Q17" s="45">
        <v>36</v>
      </c>
      <c r="R17" s="45">
        <v>36</v>
      </c>
      <c r="S17" s="45">
        <v>30</v>
      </c>
      <c r="T17" s="45">
        <v>30</v>
      </c>
      <c r="U17" s="45">
        <v>29</v>
      </c>
      <c r="V17" s="45">
        <v>29</v>
      </c>
      <c r="W17" s="45">
        <v>29</v>
      </c>
      <c r="X17" s="45">
        <v>29</v>
      </c>
      <c r="Y17" s="45"/>
      <c r="Z17" s="45">
        <v>16</v>
      </c>
      <c r="AA17" s="45">
        <v>16</v>
      </c>
      <c r="AB17" s="45">
        <v>40</v>
      </c>
      <c r="AC17" s="45">
        <v>40</v>
      </c>
      <c r="AD17" s="45">
        <v>40</v>
      </c>
      <c r="AE17" s="45">
        <v>40</v>
      </c>
      <c r="AF17" s="45">
        <v>29</v>
      </c>
      <c r="AG17" s="49">
        <v>42</v>
      </c>
      <c r="AH17" s="47">
        <f t="shared" si="2"/>
        <v>40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38.799999999999997</v>
      </c>
      <c r="C18" s="45">
        <v>38.799999999999997</v>
      </c>
      <c r="D18" s="45">
        <v>38.799999999999997</v>
      </c>
      <c r="E18" s="45">
        <v>38.799999999999997</v>
      </c>
      <c r="F18" s="45"/>
      <c r="G18" s="45">
        <v>38.799999999999997</v>
      </c>
      <c r="H18" s="45">
        <v>38.799999999999997</v>
      </c>
      <c r="I18" s="45">
        <v>38.799999999999997</v>
      </c>
      <c r="J18" s="45">
        <v>38.799999999999997</v>
      </c>
      <c r="K18" s="45" t="s">
        <v>283</v>
      </c>
      <c r="L18" s="45" t="s">
        <v>283</v>
      </c>
      <c r="M18" s="45">
        <v>38.799999999999997</v>
      </c>
      <c r="N18" s="45">
        <v>38.799999999999997</v>
      </c>
      <c r="O18" s="45">
        <v>38.799999999999997</v>
      </c>
      <c r="P18" s="45">
        <v>38.799999999999997</v>
      </c>
      <c r="Q18" s="45">
        <v>38.799999999999997</v>
      </c>
      <c r="R18" s="45">
        <v>38.799999999999997</v>
      </c>
      <c r="S18" s="45">
        <v>38.799999999999997</v>
      </c>
      <c r="T18" s="45">
        <v>38.799999999999997</v>
      </c>
      <c r="U18" s="45">
        <v>38.799999999999997</v>
      </c>
      <c r="V18" s="45">
        <v>38.799999999999997</v>
      </c>
      <c r="W18" s="45">
        <v>38.799999999999997</v>
      </c>
      <c r="X18" s="45">
        <v>38.799999999999997</v>
      </c>
      <c r="Y18" s="45" t="s">
        <v>283</v>
      </c>
      <c r="Z18" s="45">
        <v>38.799999999999997</v>
      </c>
      <c r="AA18" s="45">
        <v>38.799999999999997</v>
      </c>
      <c r="AB18" s="45">
        <v>38.799999999999997</v>
      </c>
      <c r="AC18" s="45">
        <v>38.799999999999997</v>
      </c>
      <c r="AD18" s="45">
        <v>38.799999999999997</v>
      </c>
      <c r="AE18" s="45">
        <v>38.799999999999997</v>
      </c>
      <c r="AF18" s="45">
        <v>38.799999999999997</v>
      </c>
      <c r="AG18" s="49">
        <v>38.46</v>
      </c>
      <c r="AH18" s="47">
        <f t="shared" si="2"/>
        <v>38.799999999999997</v>
      </c>
      <c r="AI18" s="48">
        <f t="shared" si="3"/>
        <v>38.799999999999997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0</v>
      </c>
      <c r="C19" s="45">
        <v>0</v>
      </c>
      <c r="D19" s="45">
        <v>0</v>
      </c>
      <c r="E19" s="45">
        <v>0</v>
      </c>
      <c r="F19" s="45"/>
      <c r="G19" s="45">
        <v>0</v>
      </c>
      <c r="H19" s="45">
        <v>36</v>
      </c>
      <c r="I19" s="45">
        <v>36</v>
      </c>
      <c r="J19" s="45">
        <v>36</v>
      </c>
      <c r="K19" s="45" t="s">
        <v>284</v>
      </c>
      <c r="L19" s="45" t="s">
        <v>284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 t="s">
        <v>284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5</v>
      </c>
      <c r="C20" s="45">
        <v>0</v>
      </c>
      <c r="D20" s="45">
        <v>0</v>
      </c>
      <c r="E20" s="45">
        <v>0</v>
      </c>
      <c r="F20" s="45"/>
      <c r="G20" s="45">
        <v>0</v>
      </c>
      <c r="H20" s="45">
        <v>0</v>
      </c>
      <c r="I20" s="45">
        <v>0</v>
      </c>
      <c r="J20" s="45">
        <v>0</v>
      </c>
      <c r="K20" s="45" t="s">
        <v>277</v>
      </c>
      <c r="L20" s="45" t="s">
        <v>277</v>
      </c>
      <c r="M20" s="45">
        <v>5</v>
      </c>
      <c r="N20" s="45">
        <v>5</v>
      </c>
      <c r="O20" s="45">
        <v>10</v>
      </c>
      <c r="P20" s="45">
        <v>10</v>
      </c>
      <c r="Q20" s="45">
        <v>14.7</v>
      </c>
      <c r="R20" s="45">
        <v>14.7</v>
      </c>
      <c r="S20" s="45">
        <v>14.8</v>
      </c>
      <c r="T20" s="45">
        <v>14.8</v>
      </c>
      <c r="U20" s="45">
        <v>4.9000000000000004</v>
      </c>
      <c r="V20" s="45">
        <v>4.9000000000000004</v>
      </c>
      <c r="W20" s="45">
        <v>4.9000000000000004</v>
      </c>
      <c r="X20" s="45">
        <v>4.9000000000000004</v>
      </c>
      <c r="Y20" s="45" t="s">
        <v>277</v>
      </c>
      <c r="Z20" s="45">
        <v>14.8</v>
      </c>
      <c r="AA20" s="45">
        <v>14.8</v>
      </c>
      <c r="AB20" s="45">
        <v>14.8</v>
      </c>
      <c r="AC20" s="45">
        <v>28.3</v>
      </c>
      <c r="AD20" s="45">
        <v>28.3</v>
      </c>
      <c r="AE20" s="45">
        <v>28.3</v>
      </c>
      <c r="AF20" s="45">
        <v>5</v>
      </c>
      <c r="AG20" s="51">
        <v>30</v>
      </c>
      <c r="AH20" s="47">
        <f t="shared" si="2"/>
        <v>28.3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20.5</v>
      </c>
      <c r="C21" s="45">
        <v>20.5</v>
      </c>
      <c r="D21" s="45">
        <v>20.5</v>
      </c>
      <c r="E21" s="45">
        <v>20.5</v>
      </c>
      <c r="F21" s="45"/>
      <c r="G21" s="45">
        <v>20.5</v>
      </c>
      <c r="H21" s="45">
        <v>20.5</v>
      </c>
      <c r="I21" s="45">
        <v>20.5</v>
      </c>
      <c r="J21" s="45">
        <v>20.5</v>
      </c>
      <c r="K21" s="45" t="s">
        <v>277</v>
      </c>
      <c r="L21" s="45" t="s">
        <v>277</v>
      </c>
      <c r="M21" s="45">
        <v>20.5</v>
      </c>
      <c r="N21" s="45">
        <v>20.5</v>
      </c>
      <c r="O21" s="45">
        <v>20.5</v>
      </c>
      <c r="P21" s="45">
        <v>20.5</v>
      </c>
      <c r="Q21" s="45">
        <v>20.5</v>
      </c>
      <c r="R21" s="45">
        <v>20.5</v>
      </c>
      <c r="S21" s="45">
        <v>20.8</v>
      </c>
      <c r="T21" s="45">
        <v>20.8</v>
      </c>
      <c r="U21" s="45">
        <v>20.8</v>
      </c>
      <c r="V21" s="45">
        <v>20.8</v>
      </c>
      <c r="W21" s="45">
        <v>20.8</v>
      </c>
      <c r="X21" s="45">
        <v>20.8</v>
      </c>
      <c r="Y21" s="45" t="s">
        <v>277</v>
      </c>
      <c r="Z21" s="45">
        <v>20.8</v>
      </c>
      <c r="AA21" s="45">
        <v>20.8</v>
      </c>
      <c r="AB21" s="45">
        <v>20.8</v>
      </c>
      <c r="AC21" s="45">
        <v>20.8</v>
      </c>
      <c r="AD21" s="45">
        <v>20.8</v>
      </c>
      <c r="AE21" s="45">
        <v>20.8</v>
      </c>
      <c r="AF21" s="45">
        <v>20.8</v>
      </c>
      <c r="AG21" s="49">
        <v>24.2</v>
      </c>
      <c r="AH21" s="47">
        <f t="shared" si="2"/>
        <v>20.8</v>
      </c>
      <c r="AI21" s="48">
        <f t="shared" si="3"/>
        <v>20.5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20.5</v>
      </c>
      <c r="C22" s="45">
        <v>20.5</v>
      </c>
      <c r="D22" s="45">
        <v>20.5</v>
      </c>
      <c r="E22" s="45">
        <v>20.5</v>
      </c>
      <c r="F22" s="45"/>
      <c r="G22" s="45">
        <v>20.5</v>
      </c>
      <c r="H22" s="45">
        <v>20.5</v>
      </c>
      <c r="I22" s="45">
        <v>20.5</v>
      </c>
      <c r="J22" s="45">
        <v>20.5</v>
      </c>
      <c r="K22" s="45" t="s">
        <v>282</v>
      </c>
      <c r="L22" s="45" t="s">
        <v>282</v>
      </c>
      <c r="M22" s="45">
        <v>20.5</v>
      </c>
      <c r="N22" s="45">
        <v>20.5</v>
      </c>
      <c r="O22" s="45">
        <v>20.5</v>
      </c>
      <c r="P22" s="45">
        <v>20.5</v>
      </c>
      <c r="Q22" s="45">
        <v>20.5</v>
      </c>
      <c r="R22" s="45">
        <v>20.5</v>
      </c>
      <c r="S22" s="45">
        <v>20.5</v>
      </c>
      <c r="T22" s="45">
        <v>20.5</v>
      </c>
      <c r="U22" s="45">
        <v>20.5</v>
      </c>
      <c r="V22" s="45">
        <v>20.5</v>
      </c>
      <c r="W22" s="45">
        <v>20.5</v>
      </c>
      <c r="X22" s="45">
        <v>20.5</v>
      </c>
      <c r="Y22" s="45" t="s">
        <v>282</v>
      </c>
      <c r="Z22" s="45">
        <v>20.5</v>
      </c>
      <c r="AA22" s="45">
        <v>20.5</v>
      </c>
      <c r="AB22" s="45">
        <v>20.5</v>
      </c>
      <c r="AC22" s="45">
        <v>20.5</v>
      </c>
      <c r="AD22" s="45">
        <v>20.5</v>
      </c>
      <c r="AE22" s="45">
        <v>20.5</v>
      </c>
      <c r="AF22" s="45">
        <v>20.5</v>
      </c>
      <c r="AG22" s="49">
        <v>28</v>
      </c>
      <c r="AH22" s="47">
        <f t="shared" si="2"/>
        <v>20.5</v>
      </c>
      <c r="AI22" s="48">
        <f t="shared" si="3"/>
        <v>20.5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5</v>
      </c>
      <c r="C23" s="45">
        <v>0</v>
      </c>
      <c r="D23" s="45">
        <v>0</v>
      </c>
      <c r="E23" s="45">
        <v>0</v>
      </c>
      <c r="F23" s="45"/>
      <c r="G23" s="45">
        <v>0</v>
      </c>
      <c r="H23" s="45">
        <v>0</v>
      </c>
      <c r="I23" s="45">
        <v>0</v>
      </c>
      <c r="J23" s="45">
        <v>0</v>
      </c>
      <c r="K23" s="45" t="s">
        <v>285</v>
      </c>
      <c r="L23" s="45" t="s">
        <v>285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4</v>
      </c>
      <c r="W23" s="45">
        <v>4</v>
      </c>
      <c r="X23" s="45">
        <v>4</v>
      </c>
      <c r="Y23" s="45" t="s">
        <v>285</v>
      </c>
      <c r="Z23" s="45">
        <v>4</v>
      </c>
      <c r="AA23" s="45">
        <v>4</v>
      </c>
      <c r="AB23" s="45">
        <v>4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24.3</v>
      </c>
      <c r="C24" s="45">
        <v>24.3</v>
      </c>
      <c r="D24" s="45">
        <v>24.3</v>
      </c>
      <c r="E24" s="45">
        <v>24.3</v>
      </c>
      <c r="F24" s="45"/>
      <c r="G24" s="45">
        <v>24.3</v>
      </c>
      <c r="H24" s="45">
        <v>24.3</v>
      </c>
      <c r="I24" s="45">
        <v>24.3</v>
      </c>
      <c r="J24" s="45">
        <v>24.3</v>
      </c>
      <c r="K24" s="45" t="s">
        <v>260</v>
      </c>
      <c r="L24" s="45" t="s">
        <v>260</v>
      </c>
      <c r="M24" s="45">
        <v>24.3</v>
      </c>
      <c r="N24" s="45">
        <v>24.3</v>
      </c>
      <c r="O24" s="45">
        <v>24.3</v>
      </c>
      <c r="P24" s="45">
        <v>24.3</v>
      </c>
      <c r="Q24" s="45">
        <v>24.3</v>
      </c>
      <c r="R24" s="45">
        <v>24.3</v>
      </c>
      <c r="S24" s="45">
        <v>24</v>
      </c>
      <c r="T24" s="45">
        <v>24</v>
      </c>
      <c r="U24" s="45">
        <v>24</v>
      </c>
      <c r="V24" s="45">
        <v>24</v>
      </c>
      <c r="W24" s="45">
        <v>24</v>
      </c>
      <c r="X24" s="45">
        <v>24</v>
      </c>
      <c r="Y24" s="45" t="s">
        <v>260</v>
      </c>
      <c r="Z24" s="45">
        <v>24</v>
      </c>
      <c r="AA24" s="45">
        <v>24</v>
      </c>
      <c r="AB24" s="45">
        <v>26</v>
      </c>
      <c r="AC24" s="45">
        <v>24.4</v>
      </c>
      <c r="AD24" s="45">
        <v>24.4</v>
      </c>
      <c r="AE24" s="45">
        <v>24.4</v>
      </c>
      <c r="AF24" s="45">
        <v>24.4</v>
      </c>
      <c r="AG24" s="49">
        <v>25</v>
      </c>
      <c r="AH24" s="47">
        <f t="shared" si="2"/>
        <v>26</v>
      </c>
      <c r="AI24" s="48">
        <f t="shared" si="3"/>
        <v>24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/>
      <c r="G25" s="45">
        <v>0</v>
      </c>
      <c r="H25" s="45">
        <v>0</v>
      </c>
      <c r="I25" s="45">
        <v>0</v>
      </c>
      <c r="J25" s="45">
        <v>0</v>
      </c>
      <c r="K25" s="45" t="s">
        <v>281</v>
      </c>
      <c r="L25" s="45" t="s">
        <v>281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 t="s">
        <v>281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/>
      <c r="G26" s="45">
        <v>25</v>
      </c>
      <c r="H26" s="45">
        <v>25</v>
      </c>
      <c r="I26" s="45">
        <v>25</v>
      </c>
      <c r="J26" s="45">
        <v>25</v>
      </c>
      <c r="K26" s="45" t="s">
        <v>261</v>
      </c>
      <c r="L26" s="45" t="s">
        <v>261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 t="s">
        <v>261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4</v>
      </c>
      <c r="C27" s="45">
        <v>0</v>
      </c>
      <c r="D27" s="45">
        <v>0</v>
      </c>
      <c r="E27" s="45">
        <v>0</v>
      </c>
      <c r="F27" s="45"/>
      <c r="G27" s="45">
        <v>0</v>
      </c>
      <c r="H27" s="45">
        <v>0</v>
      </c>
      <c r="I27" s="45">
        <v>0</v>
      </c>
      <c r="J27" s="45">
        <v>0</v>
      </c>
      <c r="K27" s="45"/>
      <c r="L27" s="45"/>
      <c r="M27" s="45">
        <v>8</v>
      </c>
      <c r="N27" s="45">
        <v>8</v>
      </c>
      <c r="O27" s="45">
        <v>8</v>
      </c>
      <c r="P27" s="45">
        <v>12</v>
      </c>
      <c r="Q27" s="45">
        <v>12</v>
      </c>
      <c r="R27" s="45">
        <v>12</v>
      </c>
      <c r="S27" s="45">
        <v>12</v>
      </c>
      <c r="T27" s="45">
        <v>12</v>
      </c>
      <c r="U27" s="45">
        <v>4</v>
      </c>
      <c r="V27" s="45">
        <v>4</v>
      </c>
      <c r="W27" s="45">
        <v>4</v>
      </c>
      <c r="X27" s="45">
        <v>0</v>
      </c>
      <c r="Y27" s="45"/>
      <c r="Z27" s="45">
        <v>0</v>
      </c>
      <c r="AA27" s="45">
        <v>0</v>
      </c>
      <c r="AB27" s="45">
        <v>0</v>
      </c>
      <c r="AC27" s="45">
        <v>22</v>
      </c>
      <c r="AD27" s="45">
        <v>22</v>
      </c>
      <c r="AE27" s="45">
        <v>22</v>
      </c>
      <c r="AF27" s="45">
        <v>10</v>
      </c>
      <c r="AG27" s="49">
        <v>25</v>
      </c>
      <c r="AH27" s="47">
        <f t="shared" si="2"/>
        <v>22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24.8</v>
      </c>
      <c r="C28" s="45">
        <v>24.8</v>
      </c>
      <c r="D28" s="45">
        <v>24.8</v>
      </c>
      <c r="E28" s="45">
        <v>24.8</v>
      </c>
      <c r="F28" s="45"/>
      <c r="G28" s="45">
        <v>24.8</v>
      </c>
      <c r="H28" s="45">
        <v>24.8</v>
      </c>
      <c r="I28" s="45">
        <v>24.8</v>
      </c>
      <c r="J28" s="45">
        <v>24.8</v>
      </c>
      <c r="K28" s="45"/>
      <c r="L28" s="45"/>
      <c r="M28" s="45">
        <v>24.8</v>
      </c>
      <c r="N28" s="45">
        <v>24.8</v>
      </c>
      <c r="O28" s="45">
        <v>24.8</v>
      </c>
      <c r="P28" s="45">
        <v>24.8</v>
      </c>
      <c r="Q28" s="45">
        <v>24.8</v>
      </c>
      <c r="R28" s="45">
        <v>24.8</v>
      </c>
      <c r="S28" s="45">
        <v>24.8</v>
      </c>
      <c r="T28" s="45">
        <v>24.8</v>
      </c>
      <c r="U28" s="45">
        <v>24.8</v>
      </c>
      <c r="V28" s="45">
        <v>24.8</v>
      </c>
      <c r="W28" s="45">
        <v>24.8</v>
      </c>
      <c r="X28" s="45">
        <v>24.8</v>
      </c>
      <c r="Y28" s="45"/>
      <c r="Z28" s="45">
        <v>24.8</v>
      </c>
      <c r="AA28" s="45">
        <v>24.8</v>
      </c>
      <c r="AB28" s="45">
        <v>24.8</v>
      </c>
      <c r="AC28" s="45">
        <v>24.8</v>
      </c>
      <c r="AD28" s="45">
        <v>24.8</v>
      </c>
      <c r="AE28" s="45">
        <v>24.8</v>
      </c>
      <c r="AF28" s="45">
        <v>24.8</v>
      </c>
      <c r="AG28" s="49">
        <v>23.5</v>
      </c>
      <c r="AH28" s="47">
        <f t="shared" si="2"/>
        <v>24.8</v>
      </c>
      <c r="AI28" s="48">
        <f t="shared" si="3"/>
        <v>24.8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/>
      <c r="G29" s="45">
        <v>22</v>
      </c>
      <c r="H29" s="45">
        <v>22</v>
      </c>
      <c r="I29" s="45">
        <v>22</v>
      </c>
      <c r="J29" s="45">
        <v>22</v>
      </c>
      <c r="K29" s="45"/>
      <c r="L29" s="45"/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/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/>
      <c r="G30" s="45">
        <v>0</v>
      </c>
      <c r="H30" s="45">
        <v>0</v>
      </c>
      <c r="I30" s="45">
        <v>0</v>
      </c>
      <c r="J30" s="45">
        <v>0</v>
      </c>
      <c r="K30" s="45"/>
      <c r="L30" s="45"/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/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/>
      <c r="G31" s="45">
        <v>22</v>
      </c>
      <c r="H31" s="45">
        <v>22</v>
      </c>
      <c r="I31" s="45">
        <v>22</v>
      </c>
      <c r="J31" s="45">
        <v>22</v>
      </c>
      <c r="K31" s="45"/>
      <c r="L31" s="45"/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/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/>
      <c r="G32" s="45">
        <v>22</v>
      </c>
      <c r="H32" s="45">
        <v>22</v>
      </c>
      <c r="I32" s="45">
        <v>22</v>
      </c>
      <c r="J32" s="45">
        <v>22</v>
      </c>
      <c r="K32" s="45"/>
      <c r="L32" s="45"/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/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10</v>
      </c>
      <c r="C33" s="45">
        <v>10</v>
      </c>
      <c r="D33" s="45">
        <v>10</v>
      </c>
      <c r="E33" s="45">
        <v>10</v>
      </c>
      <c r="F33" s="45"/>
      <c r="G33" s="45">
        <v>10</v>
      </c>
      <c r="H33" s="45">
        <v>5</v>
      </c>
      <c r="I33" s="45">
        <v>5</v>
      </c>
      <c r="J33" s="45">
        <v>5</v>
      </c>
      <c r="K33" s="45"/>
      <c r="L33" s="45"/>
      <c r="M33" s="45">
        <v>7</v>
      </c>
      <c r="N33" s="45">
        <v>7</v>
      </c>
      <c r="O33" s="45">
        <v>7</v>
      </c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/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10</v>
      </c>
      <c r="AF33" s="45">
        <v>0</v>
      </c>
      <c r="AG33" s="49">
        <v>20</v>
      </c>
      <c r="AH33" s="47">
        <f t="shared" si="2"/>
        <v>10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12</v>
      </c>
      <c r="C34" s="45">
        <v>12</v>
      </c>
      <c r="D34" s="45">
        <v>12</v>
      </c>
      <c r="E34" s="45">
        <v>12</v>
      </c>
      <c r="F34" s="45"/>
      <c r="G34" s="45">
        <v>0</v>
      </c>
      <c r="H34" s="45">
        <v>0</v>
      </c>
      <c r="I34" s="45">
        <v>0</v>
      </c>
      <c r="J34" s="45">
        <v>0</v>
      </c>
      <c r="K34" s="45"/>
      <c r="L34" s="45"/>
      <c r="M34" s="45">
        <v>5</v>
      </c>
      <c r="N34" s="45">
        <v>5</v>
      </c>
      <c r="O34" s="45">
        <v>5</v>
      </c>
      <c r="P34" s="45">
        <v>5</v>
      </c>
      <c r="Q34" s="45">
        <v>5</v>
      </c>
      <c r="R34" s="45">
        <v>5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5</v>
      </c>
      <c r="Y34" s="45"/>
      <c r="Z34" s="45">
        <v>5</v>
      </c>
      <c r="AA34" s="45">
        <v>5</v>
      </c>
      <c r="AB34" s="45">
        <v>5</v>
      </c>
      <c r="AC34" s="45">
        <v>5</v>
      </c>
      <c r="AD34" s="45">
        <v>5</v>
      </c>
      <c r="AE34" s="45">
        <v>5</v>
      </c>
      <c r="AF34" s="45">
        <v>0</v>
      </c>
      <c r="AG34" s="49">
        <v>18</v>
      </c>
      <c r="AH34" s="47">
        <f t="shared" si="2"/>
        <v>12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14</v>
      </c>
      <c r="C35" s="45">
        <v>14</v>
      </c>
      <c r="D35" s="45">
        <v>14</v>
      </c>
      <c r="E35" s="45">
        <v>14</v>
      </c>
      <c r="F35" s="45"/>
      <c r="G35" s="45">
        <v>14</v>
      </c>
      <c r="H35" s="45">
        <v>14</v>
      </c>
      <c r="I35" s="45">
        <v>14</v>
      </c>
      <c r="J35" s="45">
        <v>14</v>
      </c>
      <c r="K35" s="45"/>
      <c r="L35" s="45"/>
      <c r="M35" s="45">
        <v>14</v>
      </c>
      <c r="N35" s="45">
        <v>14</v>
      </c>
      <c r="O35" s="45">
        <v>14</v>
      </c>
      <c r="P35" s="45">
        <v>14</v>
      </c>
      <c r="Q35" s="45">
        <v>14</v>
      </c>
      <c r="R35" s="45">
        <v>14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/>
      <c r="Z35" s="45">
        <v>14</v>
      </c>
      <c r="AA35" s="45">
        <v>14</v>
      </c>
      <c r="AB35" s="45">
        <v>14</v>
      </c>
      <c r="AC35" s="45">
        <v>14</v>
      </c>
      <c r="AD35" s="45">
        <v>14</v>
      </c>
      <c r="AE35" s="45">
        <v>14</v>
      </c>
      <c r="AF35" s="45">
        <v>14</v>
      </c>
      <c r="AG35" s="49">
        <v>14.9</v>
      </c>
      <c r="AH35" s="47">
        <f t="shared" si="2"/>
        <v>14</v>
      </c>
      <c r="AI35" s="48">
        <f t="shared" si="3"/>
        <v>14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/>
      <c r="G36" s="45">
        <v>0</v>
      </c>
      <c r="H36" s="45">
        <v>0</v>
      </c>
      <c r="I36" s="45">
        <v>0</v>
      </c>
      <c r="J36" s="45">
        <v>0</v>
      </c>
      <c r="K36" s="45"/>
      <c r="L36" s="45"/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/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0</v>
      </c>
      <c r="C37" s="45">
        <v>0</v>
      </c>
      <c r="D37" s="45">
        <v>0</v>
      </c>
      <c r="E37" s="45">
        <v>0</v>
      </c>
      <c r="F37" s="45"/>
      <c r="G37" s="45">
        <v>0</v>
      </c>
      <c r="H37" s="45">
        <v>0</v>
      </c>
      <c r="I37" s="45">
        <v>0</v>
      </c>
      <c r="J37" s="45">
        <v>0</v>
      </c>
      <c r="K37" s="45"/>
      <c r="L37" s="45"/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/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9">
        <v>13.6</v>
      </c>
      <c r="AH37" s="47">
        <f t="shared" si="2"/>
        <v>0</v>
      </c>
      <c r="AI37" s="48">
        <f t="shared" si="3"/>
        <v>0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/>
      <c r="G38" s="45">
        <v>11</v>
      </c>
      <c r="H38" s="45">
        <v>11</v>
      </c>
      <c r="I38" s="45">
        <v>11</v>
      </c>
      <c r="J38" s="45">
        <v>11</v>
      </c>
      <c r="K38" s="45"/>
      <c r="L38" s="45"/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/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0</v>
      </c>
      <c r="D39" s="45">
        <v>0</v>
      </c>
      <c r="E39" s="45">
        <v>0</v>
      </c>
      <c r="F39" s="45"/>
      <c r="G39" s="45">
        <v>0</v>
      </c>
      <c r="H39" s="45">
        <v>0</v>
      </c>
      <c r="I39" s="45">
        <v>0</v>
      </c>
      <c r="J39" s="45">
        <v>0</v>
      </c>
      <c r="K39" s="45"/>
      <c r="L39" s="45"/>
      <c r="M39" s="45">
        <v>6</v>
      </c>
      <c r="N39" s="45">
        <v>6</v>
      </c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2</v>
      </c>
      <c r="V39" s="45">
        <v>2</v>
      </c>
      <c r="W39" s="45">
        <v>2</v>
      </c>
      <c r="X39" s="45">
        <v>2</v>
      </c>
      <c r="Y39" s="45"/>
      <c r="Z39" s="45">
        <v>2</v>
      </c>
      <c r="AA39" s="45">
        <v>2</v>
      </c>
      <c r="AB39" s="45">
        <v>2</v>
      </c>
      <c r="AC39" s="45">
        <v>2</v>
      </c>
      <c r="AD39" s="45">
        <v>2</v>
      </c>
      <c r="AE39" s="45">
        <v>6</v>
      </c>
      <c r="AF39" s="45">
        <v>6</v>
      </c>
      <c r="AG39" s="49">
        <v>12</v>
      </c>
      <c r="AH39" s="47">
        <f t="shared" si="2"/>
        <v>6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12</v>
      </c>
      <c r="F40" s="45"/>
      <c r="G40" s="45">
        <v>12</v>
      </c>
      <c r="H40" s="45">
        <v>12</v>
      </c>
      <c r="I40" s="45">
        <v>12</v>
      </c>
      <c r="J40" s="45">
        <v>12</v>
      </c>
      <c r="K40" s="45"/>
      <c r="L40" s="45"/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/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12</v>
      </c>
      <c r="C41" s="45">
        <v>12</v>
      </c>
      <c r="D41" s="45">
        <v>12</v>
      </c>
      <c r="E41" s="45">
        <v>12</v>
      </c>
      <c r="F41" s="45"/>
      <c r="G41" s="45">
        <v>12</v>
      </c>
      <c r="H41" s="45">
        <v>12</v>
      </c>
      <c r="I41" s="45">
        <v>12</v>
      </c>
      <c r="J41" s="45">
        <v>12</v>
      </c>
      <c r="K41" s="45"/>
      <c r="L41" s="45"/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/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6</v>
      </c>
      <c r="AG41" s="49">
        <v>12</v>
      </c>
      <c r="AH41" s="47">
        <f t="shared" si="2"/>
        <v>12</v>
      </c>
      <c r="AI41" s="48">
        <f t="shared" si="3"/>
        <v>6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/>
      <c r="G42" s="45">
        <v>5</v>
      </c>
      <c r="H42" s="45">
        <v>5</v>
      </c>
      <c r="I42" s="45">
        <v>5</v>
      </c>
      <c r="J42" s="45">
        <v>5</v>
      </c>
      <c r="K42" s="45"/>
      <c r="L42" s="45"/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/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0</v>
      </c>
      <c r="C43" s="45">
        <v>0</v>
      </c>
      <c r="D43" s="45">
        <v>0</v>
      </c>
      <c r="E43" s="45">
        <v>0</v>
      </c>
      <c r="F43" s="45"/>
      <c r="G43" s="45">
        <v>0</v>
      </c>
      <c r="H43" s="45">
        <v>0</v>
      </c>
      <c r="I43" s="45">
        <v>0</v>
      </c>
      <c r="J43" s="45">
        <v>0</v>
      </c>
      <c r="K43" s="45"/>
      <c r="L43" s="45"/>
      <c r="M43" s="45">
        <v>11</v>
      </c>
      <c r="N43" s="45">
        <v>11</v>
      </c>
      <c r="O43" s="45">
        <v>11</v>
      </c>
      <c r="P43" s="45">
        <v>11</v>
      </c>
      <c r="Q43" s="45">
        <v>11</v>
      </c>
      <c r="R43" s="45">
        <v>11</v>
      </c>
      <c r="S43" s="45">
        <v>11</v>
      </c>
      <c r="T43" s="45">
        <v>11</v>
      </c>
      <c r="U43" s="45">
        <v>11</v>
      </c>
      <c r="V43" s="45">
        <v>11</v>
      </c>
      <c r="W43" s="45">
        <v>11</v>
      </c>
      <c r="X43" s="45">
        <v>11</v>
      </c>
      <c r="Y43" s="45"/>
      <c r="Z43" s="45">
        <v>11</v>
      </c>
      <c r="AA43" s="45">
        <v>11</v>
      </c>
      <c r="AB43" s="45">
        <v>11</v>
      </c>
      <c r="AC43" s="45">
        <v>11</v>
      </c>
      <c r="AD43" s="45">
        <v>11</v>
      </c>
      <c r="AE43" s="45">
        <v>11</v>
      </c>
      <c r="AF43" s="45">
        <v>11</v>
      </c>
      <c r="AG43" s="51">
        <v>11.88</v>
      </c>
      <c r="AH43" s="47">
        <f t="shared" si="2"/>
        <v>11</v>
      </c>
      <c r="AI43" s="48">
        <f t="shared" si="3"/>
        <v>0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/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/>
      <c r="L44" s="45"/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/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0</v>
      </c>
      <c r="F45" s="45"/>
      <c r="G45" s="45">
        <v>0</v>
      </c>
      <c r="H45" s="45">
        <v>0</v>
      </c>
      <c r="I45" s="45">
        <v>0</v>
      </c>
      <c r="J45" s="45">
        <v>0</v>
      </c>
      <c r="K45" s="45"/>
      <c r="L45" s="45"/>
      <c r="M45" s="45">
        <v>9.5</v>
      </c>
      <c r="N45" s="45">
        <v>9.5</v>
      </c>
      <c r="O45" s="45">
        <v>9.5</v>
      </c>
      <c r="P45" s="45">
        <v>9.5</v>
      </c>
      <c r="Q45" s="45">
        <v>9.5</v>
      </c>
      <c r="R45" s="45">
        <v>9.5</v>
      </c>
      <c r="S45" s="45">
        <v>9.5</v>
      </c>
      <c r="T45" s="45">
        <v>9.5</v>
      </c>
      <c r="U45" s="45">
        <v>9.5</v>
      </c>
      <c r="V45" s="45">
        <v>9.5</v>
      </c>
      <c r="W45" s="45">
        <v>9.5</v>
      </c>
      <c r="X45" s="45">
        <v>9.5</v>
      </c>
      <c r="Y45" s="45"/>
      <c r="Z45" s="45">
        <v>9.5</v>
      </c>
      <c r="AA45" s="45">
        <v>9.5</v>
      </c>
      <c r="AB45" s="45">
        <v>9.5</v>
      </c>
      <c r="AC45" s="45">
        <v>9.5</v>
      </c>
      <c r="AD45" s="45">
        <v>9.5</v>
      </c>
      <c r="AE45" s="45">
        <v>9.5</v>
      </c>
      <c r="AF45" s="45">
        <v>9.5</v>
      </c>
      <c r="AG45" s="54">
        <v>10</v>
      </c>
      <c r="AH45" s="47">
        <f t="shared" si="2"/>
        <v>9.5</v>
      </c>
      <c r="AI45" s="48">
        <f t="shared" si="3"/>
        <v>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/>
      <c r="G46" s="45">
        <v>0</v>
      </c>
      <c r="H46" s="45">
        <v>0</v>
      </c>
      <c r="I46" s="45">
        <v>0</v>
      </c>
      <c r="J46" s="45">
        <v>0</v>
      </c>
      <c r="K46" s="45"/>
      <c r="L46" s="45"/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/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/>
      <c r="G47" s="45">
        <v>0</v>
      </c>
      <c r="H47" s="45">
        <v>0</v>
      </c>
      <c r="I47" s="45">
        <v>0</v>
      </c>
      <c r="J47" s="45">
        <v>0</v>
      </c>
      <c r="K47" s="45"/>
      <c r="L47" s="45"/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/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/>
      <c r="G48" s="56">
        <v>300</v>
      </c>
      <c r="H48" s="56">
        <v>300</v>
      </c>
      <c r="I48" s="56">
        <v>300</v>
      </c>
      <c r="J48" s="56">
        <v>300</v>
      </c>
      <c r="K48" s="56"/>
      <c r="L48" s="56"/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/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>
        <f>23.1+79.9</f>
        <v>103</v>
      </c>
      <c r="N49" s="58">
        <f>23.7+81.4</f>
        <v>105.10000000000001</v>
      </c>
      <c r="O49" s="58">
        <f>24+81.9</f>
        <v>105.9</v>
      </c>
      <c r="P49" s="58">
        <f>24.1+82.3</f>
        <v>106.4</v>
      </c>
      <c r="Q49" s="58">
        <f>24.1+81.4</f>
        <v>105.5</v>
      </c>
      <c r="R49" s="58">
        <f>24.2+82</f>
        <v>106.2</v>
      </c>
      <c r="S49" s="58">
        <f>24.2+82</f>
        <v>106.2</v>
      </c>
      <c r="T49" s="58">
        <v>71</v>
      </c>
      <c r="U49" s="58">
        <v>71</v>
      </c>
      <c r="V49" s="58">
        <v>71</v>
      </c>
      <c r="W49" s="58">
        <v>71</v>
      </c>
      <c r="X49" s="58">
        <v>83</v>
      </c>
      <c r="Y49" s="56"/>
      <c r="Z49" s="58">
        <v>88</v>
      </c>
      <c r="AA49" s="58">
        <v>96.1</v>
      </c>
      <c r="AB49" s="58">
        <v>96.1</v>
      </c>
      <c r="AC49" s="58">
        <v>96.1</v>
      </c>
      <c r="AD49" s="58">
        <v>96.1</v>
      </c>
      <c r="AE49" s="58">
        <v>96.1</v>
      </c>
      <c r="AF49" s="58">
        <v>96.1</v>
      </c>
      <c r="AG49" s="54">
        <v>240</v>
      </c>
      <c r="AH49" s="47">
        <f t="shared" si="2"/>
        <v>106.4</v>
      </c>
      <c r="AI49" s="48">
        <f t="shared" si="3"/>
        <v>71</v>
      </c>
      <c r="AK49" s="50"/>
    </row>
    <row r="50" spans="1:41" ht="15.75" thickBot="1" x14ac:dyDescent="0.3">
      <c r="A50" s="59" t="s">
        <v>58</v>
      </c>
      <c r="B50" s="60">
        <f t="shared" ref="B50:AD50" si="4">SUM(B11:B48)</f>
        <v>923</v>
      </c>
      <c r="C50" s="60">
        <f t="shared" si="4"/>
        <v>891</v>
      </c>
      <c r="D50" s="60">
        <f t="shared" si="4"/>
        <v>891</v>
      </c>
      <c r="E50" s="60">
        <f t="shared" si="4"/>
        <v>891</v>
      </c>
      <c r="F50" s="60">
        <f t="shared" si="4"/>
        <v>0</v>
      </c>
      <c r="G50" s="60">
        <f t="shared" si="4"/>
        <v>869.90000000000009</v>
      </c>
      <c r="H50" s="60">
        <f t="shared" si="4"/>
        <v>928.90000000000009</v>
      </c>
      <c r="I50" s="60">
        <f t="shared" si="4"/>
        <v>936.90000000000009</v>
      </c>
      <c r="J50" s="60">
        <f t="shared" si="4"/>
        <v>939.90000000000009</v>
      </c>
      <c r="K50" s="60">
        <f t="shared" si="4"/>
        <v>0</v>
      </c>
      <c r="L50" s="60">
        <f t="shared" si="4"/>
        <v>0</v>
      </c>
      <c r="M50" s="60">
        <f t="shared" si="4"/>
        <v>1003.3000000000001</v>
      </c>
      <c r="N50" s="60">
        <f t="shared" si="4"/>
        <v>1005.3000000000001</v>
      </c>
      <c r="O50" s="60">
        <f t="shared" si="4"/>
        <v>1015.3000000000001</v>
      </c>
      <c r="P50" s="60">
        <f t="shared" si="4"/>
        <v>1015.3</v>
      </c>
      <c r="Q50" s="60">
        <f t="shared" si="4"/>
        <v>1030</v>
      </c>
      <c r="R50" s="60">
        <f t="shared" si="4"/>
        <v>1030</v>
      </c>
      <c r="S50" s="60">
        <f t="shared" si="4"/>
        <v>1024.9000000000001</v>
      </c>
      <c r="T50" s="60">
        <f t="shared" si="4"/>
        <v>1024.9000000000001</v>
      </c>
      <c r="U50" s="60">
        <f t="shared" si="4"/>
        <v>984</v>
      </c>
      <c r="V50" s="60">
        <f t="shared" si="4"/>
        <v>979</v>
      </c>
      <c r="W50" s="60">
        <f t="shared" ref="W50:X50" si="5">SUM(W11:W48)</f>
        <v>979</v>
      </c>
      <c r="X50" s="60">
        <f t="shared" si="5"/>
        <v>967</v>
      </c>
      <c r="Y50" s="60">
        <f t="shared" si="4"/>
        <v>0</v>
      </c>
      <c r="Z50" s="60">
        <f t="shared" si="4"/>
        <v>977.90000000000009</v>
      </c>
      <c r="AA50" s="60">
        <f t="shared" ref="AA50" si="6">SUM(AA11:AA48)</f>
        <v>985.90000000000009</v>
      </c>
      <c r="AB50" s="60">
        <f t="shared" si="4"/>
        <v>1011.7</v>
      </c>
      <c r="AC50" s="60">
        <f t="shared" ref="AC50" si="7">SUM(AC11:AC48)</f>
        <v>1050.5999999999999</v>
      </c>
      <c r="AD50" s="60">
        <f t="shared" si="4"/>
        <v>1050.5999999999999</v>
      </c>
      <c r="AE50" s="60">
        <f t="shared" ref="AE50:AF50" si="8">SUM(AE11:AE48)</f>
        <v>1054.5999999999999</v>
      </c>
      <c r="AF50" s="60">
        <f t="shared" si="8"/>
        <v>994.3</v>
      </c>
      <c r="AG50" s="61">
        <f>SUM(AG13:AG48)</f>
        <v>922.14</v>
      </c>
      <c r="AH50" s="47">
        <f t="shared" si="2"/>
        <v>1054.5999999999999</v>
      </c>
      <c r="AI50" s="48">
        <f t="shared" si="3"/>
        <v>0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/>
      <c r="L51" s="45"/>
      <c r="M51" s="45">
        <v>465</v>
      </c>
      <c r="N51" s="175">
        <v>456</v>
      </c>
      <c r="O51" s="175">
        <v>456</v>
      </c>
      <c r="P51" s="175">
        <v>456</v>
      </c>
      <c r="Q51" s="175">
        <v>456</v>
      </c>
      <c r="R51" s="17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/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465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56</v>
      </c>
      <c r="C52" s="64">
        <v>56</v>
      </c>
      <c r="D52" s="64">
        <v>56</v>
      </c>
      <c r="E52" s="64">
        <v>56</v>
      </c>
      <c r="F52" s="64">
        <v>56</v>
      </c>
      <c r="G52" s="64">
        <v>56</v>
      </c>
      <c r="H52" s="64">
        <v>56</v>
      </c>
      <c r="I52" s="64">
        <v>56</v>
      </c>
      <c r="J52" s="64">
        <v>56</v>
      </c>
      <c r="K52" s="64"/>
      <c r="L52" s="64"/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/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56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/>
      <c r="L53" s="66"/>
      <c r="M53" s="66">
        <v>22.5</v>
      </c>
      <c r="N53" s="66">
        <v>22.4</v>
      </c>
      <c r="O53" s="66">
        <v>22.4</v>
      </c>
      <c r="P53" s="66">
        <v>22.4</v>
      </c>
      <c r="Q53" s="66">
        <v>22.4</v>
      </c>
      <c r="R53" s="66">
        <v>22.4</v>
      </c>
      <c r="S53" s="66">
        <v>22.4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/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22.5</v>
      </c>
      <c r="AI53" s="48">
        <f t="shared" si="3"/>
        <v>22.4</v>
      </c>
      <c r="AK53" s="50"/>
    </row>
    <row r="54" spans="1:41" ht="15.75" thickBot="1" x14ac:dyDescent="0.3">
      <c r="A54" s="68" t="s">
        <v>62</v>
      </c>
      <c r="B54" s="60">
        <f t="shared" ref="B54:AG54" si="9">SUM(B51:B53)</f>
        <v>534.4</v>
      </c>
      <c r="C54" s="60">
        <f t="shared" si="9"/>
        <v>534.4</v>
      </c>
      <c r="D54" s="60">
        <f t="shared" si="9"/>
        <v>534.4</v>
      </c>
      <c r="E54" s="60">
        <f t="shared" si="9"/>
        <v>534.4</v>
      </c>
      <c r="F54" s="60">
        <f t="shared" si="9"/>
        <v>534.4</v>
      </c>
      <c r="G54" s="60">
        <f t="shared" si="9"/>
        <v>534.4</v>
      </c>
      <c r="H54" s="60">
        <f t="shared" si="9"/>
        <v>534.4</v>
      </c>
      <c r="I54" s="60">
        <f t="shared" si="9"/>
        <v>534.4</v>
      </c>
      <c r="J54" s="60">
        <f t="shared" si="9"/>
        <v>534.4</v>
      </c>
      <c r="K54" s="60">
        <f t="shared" si="9"/>
        <v>0</v>
      </c>
      <c r="L54" s="60">
        <f t="shared" si="9"/>
        <v>0</v>
      </c>
      <c r="M54" s="60">
        <f t="shared" si="9"/>
        <v>542.5</v>
      </c>
      <c r="N54" s="60">
        <f t="shared" si="9"/>
        <v>533.4</v>
      </c>
      <c r="O54" s="60">
        <f t="shared" si="9"/>
        <v>533.4</v>
      </c>
      <c r="P54" s="60">
        <f t="shared" si="9"/>
        <v>533.4</v>
      </c>
      <c r="Q54" s="60">
        <f t="shared" si="9"/>
        <v>533.4</v>
      </c>
      <c r="R54" s="60">
        <f t="shared" si="9"/>
        <v>533.4</v>
      </c>
      <c r="S54" s="60">
        <f t="shared" si="9"/>
        <v>533.4</v>
      </c>
      <c r="T54" s="60">
        <f t="shared" si="9"/>
        <v>533.4</v>
      </c>
      <c r="U54" s="60">
        <f t="shared" ref="U54" si="10">SUM(U51:U53)</f>
        <v>533.4</v>
      </c>
      <c r="V54" s="60">
        <f t="shared" si="9"/>
        <v>533.4</v>
      </c>
      <c r="W54" s="60">
        <f t="shared" ref="W54:X54" si="11">SUM(W51:W53)</f>
        <v>533.4</v>
      </c>
      <c r="X54" s="60">
        <f t="shared" si="11"/>
        <v>533.4</v>
      </c>
      <c r="Y54" s="60">
        <f t="shared" si="9"/>
        <v>0</v>
      </c>
      <c r="Z54" s="60">
        <f t="shared" si="9"/>
        <v>533.4</v>
      </c>
      <c r="AA54" s="60">
        <f t="shared" ref="AA54" si="12">SUM(AA51:AA53)</f>
        <v>533.4</v>
      </c>
      <c r="AB54" s="60">
        <f t="shared" si="9"/>
        <v>533.4</v>
      </c>
      <c r="AC54" s="60">
        <f t="shared" ref="AC54" si="13">SUM(AC51:AC53)</f>
        <v>533.4</v>
      </c>
      <c r="AD54" s="60">
        <f t="shared" si="9"/>
        <v>533.4</v>
      </c>
      <c r="AE54" s="60">
        <f t="shared" ref="AE54:AF54" si="14">SUM(AE51:AE53)</f>
        <v>533.4</v>
      </c>
      <c r="AF54" s="60">
        <f t="shared" si="14"/>
        <v>533.4</v>
      </c>
      <c r="AG54" s="61">
        <f t="shared" si="9"/>
        <v>538.1</v>
      </c>
      <c r="AH54" s="47">
        <f t="shared" si="2"/>
        <v>542.5</v>
      </c>
      <c r="AI54" s="48">
        <f t="shared" si="3"/>
        <v>0</v>
      </c>
      <c r="AK54" s="50"/>
    </row>
    <row r="55" spans="1:41" x14ac:dyDescent="0.25">
      <c r="A55" s="44" t="s">
        <v>63</v>
      </c>
      <c r="B55" s="45">
        <v>137.1</v>
      </c>
      <c r="C55" s="45">
        <v>137.1</v>
      </c>
      <c r="D55" s="45">
        <v>136.19999999999999</v>
      </c>
      <c r="E55" s="45">
        <v>136.19999999999999</v>
      </c>
      <c r="F55" s="45">
        <v>136.19999999999999</v>
      </c>
      <c r="G55" s="45">
        <v>136.19999999999999</v>
      </c>
      <c r="H55" s="45">
        <v>136.19999999999999</v>
      </c>
      <c r="I55" s="45">
        <v>136.19999999999999</v>
      </c>
      <c r="J55" s="45">
        <v>136.19999999999999</v>
      </c>
      <c r="K55" s="45"/>
      <c r="L55" s="45"/>
      <c r="M55" s="45">
        <v>111</v>
      </c>
      <c r="N55" s="45">
        <v>116.6</v>
      </c>
      <c r="O55" s="45">
        <v>135.69999999999999</v>
      </c>
      <c r="P55" s="45">
        <v>136.6</v>
      </c>
      <c r="Q55" s="45">
        <v>136.30000000000001</v>
      </c>
      <c r="R55" s="45">
        <v>136.30000000000001</v>
      </c>
      <c r="S55" s="45">
        <v>136.4</v>
      </c>
      <c r="T55" s="45">
        <v>136.4</v>
      </c>
      <c r="U55" s="45">
        <v>137.6</v>
      </c>
      <c r="V55" s="45">
        <v>137.5</v>
      </c>
      <c r="W55" s="45">
        <v>137.69999999999999</v>
      </c>
      <c r="X55" s="45">
        <v>137.69999999999999</v>
      </c>
      <c r="Y55" s="45"/>
      <c r="Z55" s="45">
        <v>112.4</v>
      </c>
      <c r="AA55" s="45">
        <v>139.69999999999999</v>
      </c>
      <c r="AB55" s="45">
        <v>137.69999999999999</v>
      </c>
      <c r="AC55" s="45">
        <v>137.69999999999999</v>
      </c>
      <c r="AD55" s="45">
        <v>137.69999999999999</v>
      </c>
      <c r="AE55" s="45">
        <v>137.69999999999999</v>
      </c>
      <c r="AF55" s="45">
        <v>137.69999999999999</v>
      </c>
      <c r="AG55" s="51">
        <v>144</v>
      </c>
      <c r="AH55" s="47">
        <f t="shared" si="2"/>
        <v>139.69999999999999</v>
      </c>
      <c r="AI55" s="48">
        <f t="shared" si="3"/>
        <v>111</v>
      </c>
      <c r="AK55" s="50"/>
    </row>
    <row r="56" spans="1:41" x14ac:dyDescent="0.25">
      <c r="A56" s="53" t="s">
        <v>64</v>
      </c>
      <c r="B56" s="64">
        <v>70.099999999999994</v>
      </c>
      <c r="C56" s="64">
        <v>70.099999999999994</v>
      </c>
      <c r="D56" s="64">
        <v>70</v>
      </c>
      <c r="E56" s="64">
        <v>70</v>
      </c>
      <c r="F56" s="64">
        <v>70</v>
      </c>
      <c r="G56" s="64">
        <v>64</v>
      </c>
      <c r="H56" s="64">
        <v>50</v>
      </c>
      <c r="I56" s="64">
        <v>50</v>
      </c>
      <c r="J56" s="64">
        <v>50</v>
      </c>
      <c r="K56" s="64"/>
      <c r="L56" s="64"/>
      <c r="M56" s="64">
        <v>50</v>
      </c>
      <c r="N56" s="64">
        <v>57.7</v>
      </c>
      <c r="O56" s="64">
        <v>70.2</v>
      </c>
      <c r="P56" s="64">
        <v>70</v>
      </c>
      <c r="Q56" s="64">
        <v>70.599999999999994</v>
      </c>
      <c r="R56" s="64">
        <v>70.599999999999994</v>
      </c>
      <c r="S56" s="45">
        <v>71</v>
      </c>
      <c r="T56" s="45">
        <v>71</v>
      </c>
      <c r="U56" s="45">
        <v>70.099999999999994</v>
      </c>
      <c r="V56" s="45">
        <v>69.5</v>
      </c>
      <c r="W56" s="45">
        <v>70.3</v>
      </c>
      <c r="X56" s="45">
        <v>71.400000000000006</v>
      </c>
      <c r="Y56" s="45"/>
      <c r="Z56" s="45">
        <v>70</v>
      </c>
      <c r="AA56" s="45">
        <v>69.8</v>
      </c>
      <c r="AB56" s="45">
        <v>70.5</v>
      </c>
      <c r="AC56" s="45">
        <v>70.5</v>
      </c>
      <c r="AD56" s="45">
        <v>70.5</v>
      </c>
      <c r="AE56" s="45">
        <v>70.5</v>
      </c>
      <c r="AF56" s="45">
        <v>70.5</v>
      </c>
      <c r="AG56" s="54">
        <v>70</v>
      </c>
      <c r="AH56" s="47">
        <f t="shared" si="2"/>
        <v>71.400000000000006</v>
      </c>
      <c r="AI56" s="48">
        <f t="shared" si="3"/>
        <v>50</v>
      </c>
      <c r="AK56" s="50"/>
    </row>
    <row r="57" spans="1:41" x14ac:dyDescent="0.25">
      <c r="A57" s="53" t="s">
        <v>65</v>
      </c>
      <c r="B57" s="64">
        <v>65.400000000000006</v>
      </c>
      <c r="C57" s="64">
        <v>65.400000000000006</v>
      </c>
      <c r="D57" s="64">
        <v>65.400000000000006</v>
      </c>
      <c r="E57" s="64">
        <v>65.400000000000006</v>
      </c>
      <c r="F57" s="64">
        <v>65.400000000000006</v>
      </c>
      <c r="G57" s="64">
        <v>65.400000000000006</v>
      </c>
      <c r="H57" s="64">
        <v>52</v>
      </c>
      <c r="I57" s="64">
        <v>52</v>
      </c>
      <c r="J57" s="64">
        <v>64</v>
      </c>
      <c r="K57" s="64"/>
      <c r="L57" s="64"/>
      <c r="M57" s="64">
        <v>58</v>
      </c>
      <c r="N57" s="64">
        <v>62</v>
      </c>
      <c r="O57" s="64">
        <v>62</v>
      </c>
      <c r="P57" s="64">
        <v>65.8</v>
      </c>
      <c r="Q57" s="64">
        <v>66.5</v>
      </c>
      <c r="R57" s="64">
        <v>66.5</v>
      </c>
      <c r="S57" s="45">
        <v>65.3</v>
      </c>
      <c r="T57" s="45">
        <v>65.3</v>
      </c>
      <c r="U57" s="45">
        <v>63.4</v>
      </c>
      <c r="V57" s="45">
        <v>66</v>
      </c>
      <c r="W57" s="45">
        <v>66.400000000000006</v>
      </c>
      <c r="X57" s="45">
        <v>50.7</v>
      </c>
      <c r="Y57" s="45"/>
      <c r="Z57" s="45">
        <v>51.6</v>
      </c>
      <c r="AA57" s="45">
        <v>65.599999999999994</v>
      </c>
      <c r="AB57" s="45">
        <v>65.599999999999994</v>
      </c>
      <c r="AC57" s="45">
        <v>65.599999999999994</v>
      </c>
      <c r="AD57" s="45">
        <v>65.599999999999994</v>
      </c>
      <c r="AE57" s="45">
        <v>65.599999999999994</v>
      </c>
      <c r="AF57" s="45">
        <v>65.599999999999994</v>
      </c>
      <c r="AG57" s="54">
        <v>69</v>
      </c>
      <c r="AH57" s="47">
        <f t="shared" si="2"/>
        <v>66.5</v>
      </c>
      <c r="AI57" s="48">
        <f t="shared" si="3"/>
        <v>50.7</v>
      </c>
      <c r="AK57" s="50"/>
    </row>
    <row r="58" spans="1:41" x14ac:dyDescent="0.25">
      <c r="A58" s="53" t="s">
        <v>66</v>
      </c>
      <c r="B58" s="64">
        <v>60</v>
      </c>
      <c r="C58" s="64">
        <v>60</v>
      </c>
      <c r="D58" s="64">
        <v>60</v>
      </c>
      <c r="E58" s="64">
        <v>60</v>
      </c>
      <c r="F58" s="64">
        <v>60</v>
      </c>
      <c r="G58" s="64">
        <v>60</v>
      </c>
      <c r="H58" s="64">
        <v>41</v>
      </c>
      <c r="I58" s="64">
        <v>41</v>
      </c>
      <c r="J58" s="64">
        <v>62</v>
      </c>
      <c r="K58" s="56"/>
      <c r="L58" s="56"/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45">
        <v>0</v>
      </c>
      <c r="T58" s="45">
        <v>0</v>
      </c>
      <c r="U58" s="45">
        <v>30.5</v>
      </c>
      <c r="V58" s="45">
        <v>30.5</v>
      </c>
      <c r="W58" s="45">
        <v>30.7</v>
      </c>
      <c r="X58" s="45">
        <v>47.8</v>
      </c>
      <c r="Y58" s="45"/>
      <c r="Z58" s="45">
        <v>41.8</v>
      </c>
      <c r="AA58" s="45">
        <v>60</v>
      </c>
      <c r="AB58" s="45">
        <v>60</v>
      </c>
      <c r="AC58" s="45">
        <v>60</v>
      </c>
      <c r="AD58" s="45">
        <v>60</v>
      </c>
      <c r="AE58" s="45">
        <v>60</v>
      </c>
      <c r="AF58" s="45">
        <v>60</v>
      </c>
      <c r="AG58" s="54">
        <v>60</v>
      </c>
      <c r="AH58" s="47">
        <f t="shared" si="2"/>
        <v>62</v>
      </c>
      <c r="AI58" s="48">
        <f t="shared" si="3"/>
        <v>0</v>
      </c>
      <c r="AK58" s="50"/>
    </row>
    <row r="59" spans="1:41" x14ac:dyDescent="0.25">
      <c r="A59" s="53" t="s">
        <v>67</v>
      </c>
      <c r="B59" s="64">
        <v>30</v>
      </c>
      <c r="C59" s="64">
        <v>30</v>
      </c>
      <c r="D59" s="64">
        <v>30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56"/>
      <c r="L59" s="56"/>
      <c r="M59" s="64">
        <v>30</v>
      </c>
      <c r="N59" s="64">
        <v>30</v>
      </c>
      <c r="O59" s="64">
        <v>30</v>
      </c>
      <c r="P59" s="64">
        <v>30</v>
      </c>
      <c r="Q59" s="64">
        <v>0</v>
      </c>
      <c r="R59" s="64">
        <v>0</v>
      </c>
      <c r="S59" s="45">
        <v>30</v>
      </c>
      <c r="T59" s="45">
        <v>30</v>
      </c>
      <c r="U59" s="45">
        <v>30</v>
      </c>
      <c r="V59" s="45">
        <v>30</v>
      </c>
      <c r="W59" s="45">
        <v>30</v>
      </c>
      <c r="X59" s="45">
        <v>30</v>
      </c>
      <c r="Y59" s="45"/>
      <c r="Z59" s="45">
        <v>30</v>
      </c>
      <c r="AA59" s="45">
        <v>30</v>
      </c>
      <c r="AB59" s="45">
        <v>60</v>
      </c>
      <c r="AC59" s="45">
        <v>60</v>
      </c>
      <c r="AD59" s="45">
        <v>60</v>
      </c>
      <c r="AE59" s="45">
        <v>60</v>
      </c>
      <c r="AF59" s="45">
        <v>60</v>
      </c>
      <c r="AG59" s="54">
        <v>30</v>
      </c>
      <c r="AH59" s="47">
        <f t="shared" si="2"/>
        <v>60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/>
      <c r="L60" s="64"/>
      <c r="M60" s="64">
        <v>7.6</v>
      </c>
      <c r="N60" s="64">
        <v>10.4</v>
      </c>
      <c r="O60" s="64">
        <v>14.1</v>
      </c>
      <c r="P60" s="64">
        <v>15.6</v>
      </c>
      <c r="Q60" s="64">
        <v>18.399999999999999</v>
      </c>
      <c r="R60" s="64">
        <v>18.399999999999999</v>
      </c>
      <c r="S60" s="45">
        <v>18</v>
      </c>
      <c r="T60" s="45">
        <v>3.6</v>
      </c>
      <c r="U60" s="45">
        <v>4</v>
      </c>
      <c r="V60" s="45">
        <v>1.6</v>
      </c>
      <c r="W60" s="45">
        <v>0.7</v>
      </c>
      <c r="X60" s="45">
        <v>0.3</v>
      </c>
      <c r="Y60" s="45"/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18.399999999999999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/>
      <c r="L61" s="64"/>
      <c r="M61" s="64">
        <v>15</v>
      </c>
      <c r="N61" s="64">
        <v>15</v>
      </c>
      <c r="O61" s="64">
        <v>15</v>
      </c>
      <c r="P61" s="64">
        <v>13</v>
      </c>
      <c r="Q61" s="64">
        <v>13</v>
      </c>
      <c r="R61" s="64">
        <v>13</v>
      </c>
      <c r="S61" s="64">
        <v>13</v>
      </c>
      <c r="T61" s="64">
        <v>13</v>
      </c>
      <c r="U61" s="64">
        <v>13</v>
      </c>
      <c r="V61" s="64">
        <v>13</v>
      </c>
      <c r="W61" s="64">
        <v>13</v>
      </c>
      <c r="X61" s="64">
        <v>13</v>
      </c>
      <c r="Y61" s="64"/>
      <c r="Z61" s="64">
        <v>13</v>
      </c>
      <c r="AA61" s="64">
        <v>13</v>
      </c>
      <c r="AB61" s="64">
        <v>13</v>
      </c>
      <c r="AC61" s="64">
        <v>13</v>
      </c>
      <c r="AD61" s="64">
        <v>13</v>
      </c>
      <c r="AE61" s="64">
        <v>13</v>
      </c>
      <c r="AF61" s="64">
        <v>13</v>
      </c>
      <c r="AG61" s="54">
        <v>24</v>
      </c>
      <c r="AH61" s="47">
        <f t="shared" si="2"/>
        <v>15</v>
      </c>
      <c r="AI61" s="48">
        <f t="shared" si="3"/>
        <v>13</v>
      </c>
      <c r="AK61" s="50"/>
    </row>
    <row r="62" spans="1:41" x14ac:dyDescent="0.25">
      <c r="A62" s="53" t="s">
        <v>70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/>
      <c r="L62" s="64"/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3.2</v>
      </c>
      <c r="T62" s="64">
        <v>3.2</v>
      </c>
      <c r="U62" s="64">
        <v>3.2</v>
      </c>
      <c r="V62" s="64">
        <v>3.2</v>
      </c>
      <c r="W62" s="64">
        <v>3.2</v>
      </c>
      <c r="X62" s="64">
        <v>3.2</v>
      </c>
      <c r="Y62" s="64"/>
      <c r="Z62" s="64">
        <v>3.2</v>
      </c>
      <c r="AA62" s="64">
        <v>3.2</v>
      </c>
      <c r="AB62" s="64">
        <v>3.2</v>
      </c>
      <c r="AC62" s="64">
        <v>3.2</v>
      </c>
      <c r="AD62" s="64">
        <v>3.2</v>
      </c>
      <c r="AE62" s="64">
        <v>3.2</v>
      </c>
      <c r="AF62" s="64">
        <v>3.2</v>
      </c>
      <c r="AG62" s="54">
        <v>15</v>
      </c>
      <c r="AH62" s="47">
        <f t="shared" si="2"/>
        <v>3.2</v>
      </c>
      <c r="AI62" s="48">
        <f t="shared" si="3"/>
        <v>0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9.6</v>
      </c>
      <c r="C63" s="64">
        <v>9.6</v>
      </c>
      <c r="D63" s="64">
        <v>9.6</v>
      </c>
      <c r="E63" s="64">
        <v>10.6</v>
      </c>
      <c r="F63" s="64">
        <v>10.6</v>
      </c>
      <c r="G63" s="64">
        <v>10.6</v>
      </c>
      <c r="H63" s="64">
        <v>10.6</v>
      </c>
      <c r="I63" s="64">
        <v>10.6</v>
      </c>
      <c r="J63" s="64">
        <v>10.6</v>
      </c>
      <c r="K63" s="64"/>
      <c r="L63" s="64"/>
      <c r="M63" s="64">
        <v>10.6</v>
      </c>
      <c r="N63" s="64">
        <v>10.6</v>
      </c>
      <c r="O63" s="64">
        <v>10.6</v>
      </c>
      <c r="P63" s="64">
        <v>9.1</v>
      </c>
      <c r="Q63" s="64">
        <v>8.5</v>
      </c>
      <c r="R63" s="64">
        <v>8.5</v>
      </c>
      <c r="S63" s="64">
        <v>8.5</v>
      </c>
      <c r="T63" s="64">
        <v>8.5</v>
      </c>
      <c r="U63" s="64">
        <v>9.8000000000000007</v>
      </c>
      <c r="V63" s="64">
        <v>10.6</v>
      </c>
      <c r="W63" s="64">
        <v>10.6</v>
      </c>
      <c r="X63" s="64">
        <v>10.6</v>
      </c>
      <c r="Y63" s="64"/>
      <c r="Z63" s="64">
        <v>10.6</v>
      </c>
      <c r="AA63" s="64">
        <v>10.199999999999999</v>
      </c>
      <c r="AB63" s="64">
        <v>10.199999999999999</v>
      </c>
      <c r="AC63" s="64">
        <v>10.199999999999999</v>
      </c>
      <c r="AD63" s="64">
        <v>10.199999999999999</v>
      </c>
      <c r="AE63" s="64">
        <v>10.199999999999999</v>
      </c>
      <c r="AF63" s="64">
        <v>10.199999999999999</v>
      </c>
      <c r="AG63" s="54">
        <v>14.1</v>
      </c>
      <c r="AH63" s="47">
        <f t="shared" si="2"/>
        <v>10.6</v>
      </c>
      <c r="AI63" s="48">
        <f t="shared" si="3"/>
        <v>8.5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13.5</v>
      </c>
      <c r="C64" s="64">
        <v>13.5</v>
      </c>
      <c r="D64" s="64">
        <v>13.5</v>
      </c>
      <c r="E64" s="64">
        <v>6.2</v>
      </c>
      <c r="F64" s="64">
        <v>6.2</v>
      </c>
      <c r="G64" s="64">
        <v>6.2</v>
      </c>
      <c r="H64" s="64">
        <v>13.9</v>
      </c>
      <c r="I64" s="64">
        <v>13.9</v>
      </c>
      <c r="J64" s="64">
        <v>13.9</v>
      </c>
      <c r="K64" s="64"/>
      <c r="L64" s="64"/>
      <c r="M64" s="64">
        <v>13.9</v>
      </c>
      <c r="N64" s="64">
        <v>13.9</v>
      </c>
      <c r="O64" s="64">
        <v>13.9</v>
      </c>
      <c r="P64" s="64">
        <v>13.9</v>
      </c>
      <c r="Q64" s="64">
        <v>13.7</v>
      </c>
      <c r="R64" s="64">
        <v>13.7</v>
      </c>
      <c r="S64" s="64">
        <v>13.7</v>
      </c>
      <c r="T64" s="64">
        <v>13.7</v>
      </c>
      <c r="U64" s="64">
        <v>13.7</v>
      </c>
      <c r="V64" s="64">
        <v>13.7</v>
      </c>
      <c r="W64" s="64">
        <v>13.7</v>
      </c>
      <c r="X64" s="64">
        <v>13.7</v>
      </c>
      <c r="Y64" s="64"/>
      <c r="Z64" s="64">
        <v>13.7</v>
      </c>
      <c r="AA64" s="64">
        <v>13.8</v>
      </c>
      <c r="AB64" s="64">
        <v>13.8</v>
      </c>
      <c r="AC64" s="64">
        <v>13.8</v>
      </c>
      <c r="AD64" s="64">
        <v>13.8</v>
      </c>
      <c r="AE64" s="64">
        <v>13.8</v>
      </c>
      <c r="AF64" s="64">
        <v>13.8</v>
      </c>
      <c r="AG64" s="54">
        <v>14</v>
      </c>
      <c r="AH64" s="47">
        <f t="shared" si="2"/>
        <v>13.9</v>
      </c>
      <c r="AI64" s="48">
        <f t="shared" si="3"/>
        <v>6.2</v>
      </c>
      <c r="AK64" s="50"/>
    </row>
    <row r="65" spans="1:40" x14ac:dyDescent="0.25">
      <c r="A65" s="53" t="s">
        <v>73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/>
      <c r="L65" s="64"/>
      <c r="M65" s="64">
        <v>9</v>
      </c>
      <c r="N65" s="64">
        <v>9</v>
      </c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/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9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/>
      <c r="L66" s="64"/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/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5">SUM(B55:B67)</f>
        <v>419.44000000000005</v>
      </c>
      <c r="C68" s="60">
        <f t="shared" si="15"/>
        <v>419.44000000000005</v>
      </c>
      <c r="D68" s="60">
        <f t="shared" si="15"/>
        <v>418.44000000000005</v>
      </c>
      <c r="E68" s="60">
        <f t="shared" si="15"/>
        <v>412.14000000000004</v>
      </c>
      <c r="F68" s="60">
        <f t="shared" si="15"/>
        <v>412.14000000000004</v>
      </c>
      <c r="G68" s="60">
        <f t="shared" si="15"/>
        <v>406.14000000000004</v>
      </c>
      <c r="H68" s="60">
        <f t="shared" si="15"/>
        <v>367.44</v>
      </c>
      <c r="I68" s="60">
        <f t="shared" si="15"/>
        <v>367.44</v>
      </c>
      <c r="J68" s="60">
        <f t="shared" si="15"/>
        <v>400.44</v>
      </c>
      <c r="K68" s="60">
        <f t="shared" si="15"/>
        <v>3.54</v>
      </c>
      <c r="L68" s="60">
        <f t="shared" si="15"/>
        <v>3.54</v>
      </c>
      <c r="M68" s="60">
        <f t="shared" si="15"/>
        <v>314.84000000000003</v>
      </c>
      <c r="N68" s="60">
        <f t="shared" si="15"/>
        <v>334.94</v>
      </c>
      <c r="O68" s="60">
        <f t="shared" si="15"/>
        <v>370.24</v>
      </c>
      <c r="P68" s="60">
        <f t="shared" si="15"/>
        <v>372.74</v>
      </c>
      <c r="Q68" s="60">
        <f t="shared" si="15"/>
        <v>345.73999999999995</v>
      </c>
      <c r="R68" s="60">
        <f t="shared" si="15"/>
        <v>345.73999999999995</v>
      </c>
      <c r="S68" s="60">
        <f t="shared" si="15"/>
        <v>377.84</v>
      </c>
      <c r="T68" s="60">
        <f t="shared" si="15"/>
        <v>363.44</v>
      </c>
      <c r="U68" s="60">
        <f t="shared" si="15"/>
        <v>394.03999999999996</v>
      </c>
      <c r="V68" s="60">
        <f t="shared" si="15"/>
        <v>394.34000000000003</v>
      </c>
      <c r="W68" s="60">
        <f t="shared" si="15"/>
        <v>395.03999999999996</v>
      </c>
      <c r="X68" s="60">
        <f t="shared" si="15"/>
        <v>397.14000000000004</v>
      </c>
      <c r="Y68" s="60">
        <f t="shared" si="15"/>
        <v>3.54</v>
      </c>
      <c r="Z68" s="60">
        <f t="shared" si="15"/>
        <v>365.04</v>
      </c>
      <c r="AA68" s="60">
        <f t="shared" ref="AA68" si="16">SUM(AA55:AA67)</f>
        <v>424.04</v>
      </c>
      <c r="AB68" s="60">
        <f t="shared" si="15"/>
        <v>452.73999999999995</v>
      </c>
      <c r="AC68" s="60">
        <f t="shared" si="15"/>
        <v>452.73999999999995</v>
      </c>
      <c r="AD68" s="60">
        <f t="shared" si="15"/>
        <v>452.73999999999995</v>
      </c>
      <c r="AE68" s="60">
        <f t="shared" si="15"/>
        <v>452.73999999999995</v>
      </c>
      <c r="AF68" s="60">
        <f t="shared" si="15"/>
        <v>452.73999999999995</v>
      </c>
      <c r="AG68" s="61">
        <f t="shared" si="15"/>
        <v>489.91</v>
      </c>
      <c r="AH68" s="47">
        <f t="shared" si="2"/>
        <v>452.73999999999995</v>
      </c>
      <c r="AI68" s="48">
        <f t="shared" si="3"/>
        <v>3.54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/>
      <c r="E69" s="45"/>
      <c r="F69" s="45"/>
      <c r="G69" s="45"/>
      <c r="H69" s="45"/>
      <c r="I69" s="45"/>
      <c r="J69" s="45"/>
      <c r="K69" s="45"/>
      <c r="L69" s="45"/>
      <c r="M69" s="45">
        <v>19.8</v>
      </c>
      <c r="N69" s="45">
        <v>19.8</v>
      </c>
      <c r="O69" s="45">
        <v>19.7</v>
      </c>
      <c r="P69" s="45">
        <v>19.8</v>
      </c>
      <c r="Q69" s="45">
        <v>19.600000000000001</v>
      </c>
      <c r="R69" s="45">
        <v>13.9</v>
      </c>
      <c r="S69" s="45">
        <v>13.9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/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19.8</v>
      </c>
      <c r="AI69" s="48">
        <f t="shared" si="3"/>
        <v>0</v>
      </c>
      <c r="AK69" s="50"/>
    </row>
    <row r="70" spans="1:40" x14ac:dyDescent="0.25">
      <c r="A70" s="53" t="s">
        <v>78</v>
      </c>
      <c r="B70" s="45">
        <v>0</v>
      </c>
      <c r="C70" s="45">
        <v>0</v>
      </c>
      <c r="D70" s="64"/>
      <c r="E70" s="64"/>
      <c r="F70" s="64"/>
      <c r="G70" s="64"/>
      <c r="H70" s="64"/>
      <c r="I70" s="64"/>
      <c r="J70" s="64"/>
      <c r="K70" s="64"/>
      <c r="L70" s="64"/>
      <c r="M70" s="64">
        <v>10</v>
      </c>
      <c r="N70" s="64">
        <v>9.4</v>
      </c>
      <c r="O70" s="64">
        <v>9.9</v>
      </c>
      <c r="P70" s="64">
        <v>8.6999999999999993</v>
      </c>
      <c r="Q70" s="64">
        <v>9.6</v>
      </c>
      <c r="R70" s="64">
        <v>6.2</v>
      </c>
      <c r="S70" s="64">
        <v>6.2</v>
      </c>
      <c r="T70" s="64">
        <v>4.0999999999999996</v>
      </c>
      <c r="U70" s="64">
        <v>0</v>
      </c>
      <c r="V70" s="64">
        <v>4.7</v>
      </c>
      <c r="W70" s="64">
        <v>0</v>
      </c>
      <c r="X70" s="64">
        <v>0</v>
      </c>
      <c r="Y70" s="64"/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10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>
        <v>0</v>
      </c>
      <c r="C71" s="45">
        <v>0</v>
      </c>
      <c r="D71" s="66"/>
      <c r="E71" s="66"/>
      <c r="F71" s="66"/>
      <c r="G71" s="66"/>
      <c r="H71" s="66"/>
      <c r="I71" s="66"/>
      <c r="J71" s="66"/>
      <c r="K71" s="66"/>
      <c r="L71" s="66"/>
      <c r="M71" s="66">
        <v>3.7</v>
      </c>
      <c r="N71" s="66">
        <v>3.4</v>
      </c>
      <c r="O71" s="66">
        <v>3.6</v>
      </c>
      <c r="P71" s="66">
        <v>3.2</v>
      </c>
      <c r="Q71" s="66">
        <v>3.5</v>
      </c>
      <c r="R71" s="66">
        <v>2.2999999999999998</v>
      </c>
      <c r="S71" s="66">
        <v>2.2999999999999998</v>
      </c>
      <c r="T71" s="66">
        <v>1.5</v>
      </c>
      <c r="U71" s="66">
        <v>0</v>
      </c>
      <c r="V71" s="66">
        <v>1.7</v>
      </c>
      <c r="W71" s="66">
        <v>0</v>
      </c>
      <c r="X71" s="66">
        <v>0</v>
      </c>
      <c r="Y71" s="66"/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3.7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7">M69+M70+M71</f>
        <v>33.5</v>
      </c>
      <c r="N72" s="60">
        <f t="shared" si="17"/>
        <v>32.6</v>
      </c>
      <c r="O72" s="60">
        <f t="shared" si="17"/>
        <v>33.200000000000003</v>
      </c>
      <c r="P72" s="60">
        <f t="shared" si="17"/>
        <v>31.7</v>
      </c>
      <c r="Q72" s="60">
        <f t="shared" si="17"/>
        <v>32.700000000000003</v>
      </c>
      <c r="R72" s="60">
        <f t="shared" si="17"/>
        <v>22.400000000000002</v>
      </c>
      <c r="S72" s="60">
        <f t="shared" si="17"/>
        <v>22.400000000000002</v>
      </c>
      <c r="T72" s="60">
        <f t="shared" si="17"/>
        <v>5.6</v>
      </c>
      <c r="U72" s="60">
        <f t="shared" si="17"/>
        <v>0</v>
      </c>
      <c r="V72" s="60">
        <f t="shared" si="17"/>
        <v>6.4</v>
      </c>
      <c r="W72" s="60">
        <f t="shared" si="17"/>
        <v>0</v>
      </c>
      <c r="X72" s="60">
        <f t="shared" si="17"/>
        <v>0</v>
      </c>
      <c r="Y72" s="60">
        <f t="shared" si="17"/>
        <v>0</v>
      </c>
      <c r="Z72" s="60">
        <f t="shared" si="17"/>
        <v>0</v>
      </c>
      <c r="AA72" s="60">
        <f t="shared" ref="AA72" si="18">AA69+AA70+AA71</f>
        <v>0</v>
      </c>
      <c r="AB72" s="60">
        <f t="shared" si="17"/>
        <v>0</v>
      </c>
      <c r="AC72" s="60">
        <f t="shared" si="17"/>
        <v>0</v>
      </c>
      <c r="AD72" s="60">
        <f t="shared" si="17"/>
        <v>0</v>
      </c>
      <c r="AE72" s="60">
        <f t="shared" si="17"/>
        <v>0</v>
      </c>
      <c r="AF72" s="60">
        <f t="shared" si="17"/>
        <v>0</v>
      </c>
      <c r="AG72" s="61">
        <f>SUM(AG69:AG71)</f>
        <v>106</v>
      </c>
      <c r="AH72" s="47">
        <f t="shared" si="2"/>
        <v>33.5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34.4</v>
      </c>
      <c r="C73" s="45">
        <v>41.8</v>
      </c>
      <c r="D73" s="45">
        <v>41.8</v>
      </c>
      <c r="E73" s="45">
        <v>38.6</v>
      </c>
      <c r="F73" s="45"/>
      <c r="G73" s="45">
        <v>53.2</v>
      </c>
      <c r="H73" s="45">
        <v>23.2</v>
      </c>
      <c r="I73" s="45">
        <v>10.6</v>
      </c>
      <c r="J73" s="45">
        <v>9</v>
      </c>
      <c r="K73" s="45"/>
      <c r="L73" s="45"/>
      <c r="M73" s="45">
        <v>43.9</v>
      </c>
      <c r="N73" s="45">
        <v>58.8</v>
      </c>
      <c r="O73" s="45">
        <v>49.6</v>
      </c>
      <c r="P73" s="45">
        <v>37.9</v>
      </c>
      <c r="Q73" s="45">
        <v>67</v>
      </c>
      <c r="R73" s="45">
        <v>74.8</v>
      </c>
      <c r="S73" s="45">
        <v>48.5</v>
      </c>
      <c r="T73" s="45">
        <v>65.099999999999994</v>
      </c>
      <c r="U73" s="45">
        <v>60.9</v>
      </c>
      <c r="V73" s="45">
        <v>43.5</v>
      </c>
      <c r="W73" s="45">
        <v>48.7</v>
      </c>
      <c r="X73" s="45">
        <v>46.2</v>
      </c>
      <c r="Y73" s="45"/>
      <c r="Z73" s="45">
        <v>40.9</v>
      </c>
      <c r="AA73" s="45">
        <v>59.3</v>
      </c>
      <c r="AB73" s="45">
        <v>59.3</v>
      </c>
      <c r="AC73" s="45">
        <v>46</v>
      </c>
      <c r="AD73" s="45">
        <v>46</v>
      </c>
      <c r="AE73" s="45">
        <v>39</v>
      </c>
      <c r="AF73" s="45">
        <v>46</v>
      </c>
      <c r="AG73" s="51"/>
      <c r="AH73" s="47">
        <f t="shared" si="2"/>
        <v>74.8</v>
      </c>
      <c r="AI73" s="48">
        <f t="shared" si="3"/>
        <v>9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/>
      <c r="G74" s="64">
        <v>0</v>
      </c>
      <c r="H74" s="64">
        <v>0</v>
      </c>
      <c r="I74" s="64">
        <v>0</v>
      </c>
      <c r="J74" s="64">
        <v>0</v>
      </c>
      <c r="K74" s="64"/>
      <c r="L74" s="64"/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/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-294</v>
      </c>
      <c r="C75" s="64">
        <v>-299</v>
      </c>
      <c r="D75" s="64">
        <v>-299</v>
      </c>
      <c r="E75" s="64">
        <v>-340</v>
      </c>
      <c r="F75" s="64"/>
      <c r="G75" s="64">
        <v>-350</v>
      </c>
      <c r="H75" s="64">
        <v>-344</v>
      </c>
      <c r="I75" s="64">
        <v>-316</v>
      </c>
      <c r="J75" s="64">
        <v>-317</v>
      </c>
      <c r="K75" s="64"/>
      <c r="L75" s="64"/>
      <c r="M75" s="64">
        <v>-268.39999999999998</v>
      </c>
      <c r="N75" s="64">
        <v>-289.10000000000002</v>
      </c>
      <c r="O75" s="64">
        <v>-275.89999999999998</v>
      </c>
      <c r="P75" s="64">
        <v>-264.2</v>
      </c>
      <c r="Q75" s="64">
        <v>-259.8</v>
      </c>
      <c r="R75" s="64">
        <v>-275.2</v>
      </c>
      <c r="S75" s="64">
        <v>-238.1</v>
      </c>
      <c r="T75" s="64">
        <v>-258</v>
      </c>
      <c r="U75" s="64">
        <v>-309.3</v>
      </c>
      <c r="V75" s="64">
        <v>-131.4</v>
      </c>
      <c r="W75" s="64">
        <v>-270</v>
      </c>
      <c r="X75" s="64">
        <v>-280.2</v>
      </c>
      <c r="Y75" s="64"/>
      <c r="Z75" s="64">
        <v>-218.4</v>
      </c>
      <c r="AA75" s="64">
        <v>-221.2</v>
      </c>
      <c r="AB75" s="64">
        <v>-210</v>
      </c>
      <c r="AC75" s="64">
        <v>-215</v>
      </c>
      <c r="AD75" s="64">
        <v>-240</v>
      </c>
      <c r="AE75" s="64">
        <v>-280</v>
      </c>
      <c r="AF75" s="64">
        <v>-240</v>
      </c>
      <c r="AG75" s="74"/>
      <c r="AH75" s="47">
        <f t="shared" si="2"/>
        <v>-131.4</v>
      </c>
      <c r="AI75" s="48">
        <f t="shared" si="3"/>
        <v>-350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64">
        <v>0</v>
      </c>
      <c r="F76" s="75"/>
      <c r="G76" s="64">
        <v>0</v>
      </c>
      <c r="H76" s="64">
        <v>0</v>
      </c>
      <c r="I76" s="64">
        <v>0</v>
      </c>
      <c r="J76" s="64">
        <v>0</v>
      </c>
      <c r="K76" s="75"/>
      <c r="L76" s="75"/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/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64">
        <v>0</v>
      </c>
      <c r="C77" s="64">
        <v>0</v>
      </c>
      <c r="D77" s="64">
        <v>0</v>
      </c>
      <c r="E77" s="64">
        <v>0</v>
      </c>
      <c r="F77" s="45"/>
      <c r="G77" s="64">
        <v>0</v>
      </c>
      <c r="H77" s="64">
        <v>0</v>
      </c>
      <c r="I77" s="64">
        <v>0</v>
      </c>
      <c r="J77" s="64">
        <v>0</v>
      </c>
      <c r="K77" s="45"/>
      <c r="L77" s="45"/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/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19">MAX(B77:AF77)</f>
        <v>0</v>
      </c>
      <c r="AI77" s="48">
        <f t="shared" ref="AI77:AI120" si="20">MIN(B77:AF77)</f>
        <v>0</v>
      </c>
      <c r="AK77" s="50"/>
    </row>
    <row r="78" spans="1:40" x14ac:dyDescent="0.25">
      <c r="A78" s="53" t="s">
        <v>86</v>
      </c>
      <c r="B78" s="64">
        <v>5</v>
      </c>
      <c r="C78" s="64">
        <v>5</v>
      </c>
      <c r="D78" s="64">
        <v>5</v>
      </c>
      <c r="E78" s="64">
        <v>5</v>
      </c>
      <c r="F78" s="76"/>
      <c r="G78" s="64">
        <v>5</v>
      </c>
      <c r="H78" s="64">
        <v>5</v>
      </c>
      <c r="I78" s="64">
        <v>5</v>
      </c>
      <c r="J78" s="64">
        <v>5</v>
      </c>
      <c r="K78" s="76"/>
      <c r="L78" s="76"/>
      <c r="M78" s="76">
        <v>5</v>
      </c>
      <c r="N78" s="76">
        <v>5</v>
      </c>
      <c r="O78" s="76">
        <v>5</v>
      </c>
      <c r="P78" s="76">
        <v>5</v>
      </c>
      <c r="Q78" s="76">
        <v>5</v>
      </c>
      <c r="R78" s="76">
        <v>5</v>
      </c>
      <c r="S78" s="76">
        <v>5</v>
      </c>
      <c r="T78" s="76">
        <v>5</v>
      </c>
      <c r="U78" s="76">
        <v>5</v>
      </c>
      <c r="V78" s="76">
        <v>5</v>
      </c>
      <c r="W78" s="76">
        <v>5</v>
      </c>
      <c r="X78" s="76">
        <v>5</v>
      </c>
      <c r="Y78" s="76"/>
      <c r="Z78" s="76">
        <v>5</v>
      </c>
      <c r="AA78" s="76">
        <v>5</v>
      </c>
      <c r="AB78" s="76">
        <v>5</v>
      </c>
      <c r="AC78" s="76">
        <v>5</v>
      </c>
      <c r="AD78" s="76">
        <v>5</v>
      </c>
      <c r="AE78" s="76">
        <v>5</v>
      </c>
      <c r="AF78" s="76">
        <v>5</v>
      </c>
      <c r="AG78" s="74"/>
      <c r="AH78" s="47">
        <f t="shared" si="19"/>
        <v>5</v>
      </c>
      <c r="AI78" s="48">
        <f t="shared" si="20"/>
        <v>5</v>
      </c>
      <c r="AK78" s="50"/>
    </row>
    <row r="79" spans="1:40" ht="15.75" thickBot="1" x14ac:dyDescent="0.3">
      <c r="A79" s="53" t="s">
        <v>87</v>
      </c>
      <c r="B79" s="64">
        <v>0</v>
      </c>
      <c r="C79" s="64">
        <v>0</v>
      </c>
      <c r="D79" s="64">
        <v>0</v>
      </c>
      <c r="E79" s="64">
        <v>0</v>
      </c>
      <c r="F79" s="76"/>
      <c r="G79" s="64">
        <v>0</v>
      </c>
      <c r="H79" s="64">
        <v>0</v>
      </c>
      <c r="I79" s="64">
        <v>0</v>
      </c>
      <c r="J79" s="64">
        <v>0</v>
      </c>
      <c r="K79" s="76"/>
      <c r="L79" s="76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/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19"/>
        <v>0</v>
      </c>
      <c r="AI79" s="48">
        <f t="shared" si="20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64">
        <v>0</v>
      </c>
      <c r="C80" s="64">
        <v>0</v>
      </c>
      <c r="D80" s="64">
        <v>0</v>
      </c>
      <c r="E80" s="64">
        <v>0</v>
      </c>
      <c r="F80" s="76"/>
      <c r="G80" s="64">
        <v>0</v>
      </c>
      <c r="H80" s="64">
        <v>0</v>
      </c>
      <c r="I80" s="64">
        <v>0</v>
      </c>
      <c r="J80" s="64">
        <v>0</v>
      </c>
      <c r="K80" s="76"/>
      <c r="L80" s="76"/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/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19"/>
        <v>0</v>
      </c>
      <c r="AI80" s="48">
        <f t="shared" si="20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64">
        <v>0</v>
      </c>
      <c r="C81" s="64">
        <v>0</v>
      </c>
      <c r="D81" s="64">
        <v>0</v>
      </c>
      <c r="E81" s="64">
        <v>0</v>
      </c>
      <c r="F81" s="76"/>
      <c r="G81" s="64">
        <v>0</v>
      </c>
      <c r="H81" s="64">
        <v>0</v>
      </c>
      <c r="I81" s="64">
        <v>0</v>
      </c>
      <c r="J81" s="64">
        <v>0</v>
      </c>
      <c r="K81" s="76"/>
      <c r="L81" s="76"/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/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19"/>
        <v>0</v>
      </c>
      <c r="AI81" s="48">
        <f t="shared" si="20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64">
        <v>0</v>
      </c>
      <c r="C82" s="64">
        <v>0</v>
      </c>
      <c r="D82" s="64">
        <v>0</v>
      </c>
      <c r="E82" s="64">
        <v>0</v>
      </c>
      <c r="F82" s="76"/>
      <c r="G82" s="64">
        <v>0</v>
      </c>
      <c r="H82" s="64">
        <v>0</v>
      </c>
      <c r="I82" s="64">
        <v>0</v>
      </c>
      <c r="J82" s="64">
        <v>0</v>
      </c>
      <c r="K82" s="76"/>
      <c r="L82" s="76"/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/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19"/>
        <v>0</v>
      </c>
      <c r="AI82" s="48">
        <f t="shared" si="20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64">
        <v>0</v>
      </c>
      <c r="C83" s="64">
        <v>0</v>
      </c>
      <c r="D83" s="64">
        <v>0</v>
      </c>
      <c r="E83" s="64">
        <v>0</v>
      </c>
      <c r="F83" s="76"/>
      <c r="G83" s="64">
        <v>0</v>
      </c>
      <c r="H83" s="64">
        <v>0</v>
      </c>
      <c r="I83" s="64">
        <v>0</v>
      </c>
      <c r="J83" s="64">
        <v>0</v>
      </c>
      <c r="K83" s="76"/>
      <c r="L83" s="76"/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/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19"/>
        <v>0</v>
      </c>
      <c r="AI83" s="48">
        <f t="shared" si="20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21">SUMIF(B73:B83,"&gt;0")</f>
        <v>39.4</v>
      </c>
      <c r="C84" s="60">
        <f t="shared" si="21"/>
        <v>46.8</v>
      </c>
      <c r="D84" s="60">
        <f t="shared" si="21"/>
        <v>46.8</v>
      </c>
      <c r="E84" s="60">
        <f t="shared" si="21"/>
        <v>43.6</v>
      </c>
      <c r="F84" s="60">
        <f t="shared" si="21"/>
        <v>0</v>
      </c>
      <c r="G84" s="60">
        <f t="shared" si="21"/>
        <v>58.2</v>
      </c>
      <c r="H84" s="60">
        <f t="shared" si="21"/>
        <v>28.2</v>
      </c>
      <c r="I84" s="60">
        <f t="shared" si="21"/>
        <v>15.6</v>
      </c>
      <c r="J84" s="60">
        <f t="shared" si="21"/>
        <v>14</v>
      </c>
      <c r="K84" s="60">
        <f t="shared" si="21"/>
        <v>0</v>
      </c>
      <c r="L84" s="60">
        <f t="shared" si="21"/>
        <v>0</v>
      </c>
      <c r="M84" s="60">
        <f t="shared" si="21"/>
        <v>48.9</v>
      </c>
      <c r="N84" s="60">
        <f t="shared" si="21"/>
        <v>63.8</v>
      </c>
      <c r="O84" s="60">
        <f t="shared" si="21"/>
        <v>54.6</v>
      </c>
      <c r="P84" s="60">
        <f t="shared" si="21"/>
        <v>42.9</v>
      </c>
      <c r="Q84" s="60">
        <f t="shared" si="21"/>
        <v>72</v>
      </c>
      <c r="R84" s="60">
        <f t="shared" si="21"/>
        <v>79.8</v>
      </c>
      <c r="S84" s="60">
        <f t="shared" si="21"/>
        <v>53.5</v>
      </c>
      <c r="T84" s="60">
        <f t="shared" si="21"/>
        <v>70.099999999999994</v>
      </c>
      <c r="U84" s="60">
        <f t="shared" si="21"/>
        <v>65.900000000000006</v>
      </c>
      <c r="V84" s="60">
        <f t="shared" si="21"/>
        <v>48.5</v>
      </c>
      <c r="W84" s="60">
        <f t="shared" si="21"/>
        <v>53.7</v>
      </c>
      <c r="X84" s="60">
        <f t="shared" si="21"/>
        <v>51.2</v>
      </c>
      <c r="Y84" s="60">
        <f t="shared" si="21"/>
        <v>0</v>
      </c>
      <c r="Z84" s="60">
        <f t="shared" si="21"/>
        <v>45.9</v>
      </c>
      <c r="AA84" s="60">
        <f t="shared" ref="AA84" si="22">SUMIF(AA73:AA83,"&gt;0")</f>
        <v>64.3</v>
      </c>
      <c r="AB84" s="60">
        <f t="shared" si="21"/>
        <v>64.3</v>
      </c>
      <c r="AC84" s="60">
        <f t="shared" si="21"/>
        <v>51</v>
      </c>
      <c r="AD84" s="60">
        <f t="shared" si="21"/>
        <v>51</v>
      </c>
      <c r="AE84" s="60">
        <f t="shared" si="21"/>
        <v>44</v>
      </c>
      <c r="AF84" s="60">
        <f t="shared" si="21"/>
        <v>51</v>
      </c>
      <c r="AG84" s="87">
        <f>SUM(AG73:AG83)</f>
        <v>0</v>
      </c>
      <c r="AH84" s="47">
        <f t="shared" si="19"/>
        <v>79.8</v>
      </c>
      <c r="AI84" s="48">
        <f t="shared" si="20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9"/>
        <v>0</v>
      </c>
      <c r="AI85" s="48">
        <f t="shared" si="20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9"/>
        <v>0</v>
      </c>
      <c r="AI86" s="48">
        <f t="shared" si="20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9"/>
        <v>0</v>
      </c>
      <c r="AI87" s="48">
        <f t="shared" si="20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9"/>
        <v>0</v>
      </c>
      <c r="AI88" s="48">
        <f t="shared" si="20"/>
        <v>0</v>
      </c>
    </row>
    <row r="89" spans="1:40" ht="15.75" thickBot="1" x14ac:dyDescent="0.3">
      <c r="A89" s="73" t="s">
        <v>100</v>
      </c>
      <c r="B89" s="94">
        <f t="shared" ref="B89:AG89" si="23">B50+B54+B72+B68+B84+B88</f>
        <v>1916.2400000000002</v>
      </c>
      <c r="C89" s="94">
        <f t="shared" si="23"/>
        <v>1891.64</v>
      </c>
      <c r="D89" s="94">
        <f t="shared" si="23"/>
        <v>1890.64</v>
      </c>
      <c r="E89" s="94">
        <f t="shared" si="23"/>
        <v>1881.14</v>
      </c>
      <c r="F89" s="94">
        <f t="shared" si="23"/>
        <v>946.54</v>
      </c>
      <c r="G89" s="94">
        <f t="shared" si="23"/>
        <v>1868.6400000000003</v>
      </c>
      <c r="H89" s="94">
        <f t="shared" si="23"/>
        <v>1858.9400000000003</v>
      </c>
      <c r="I89" s="94">
        <f t="shared" si="23"/>
        <v>1854.3400000000001</v>
      </c>
      <c r="J89" s="94">
        <f t="shared" si="23"/>
        <v>1888.7400000000002</v>
      </c>
      <c r="K89" s="94">
        <f t="shared" si="23"/>
        <v>3.54</v>
      </c>
      <c r="L89" s="94">
        <f t="shared" si="23"/>
        <v>3.54</v>
      </c>
      <c r="M89" s="94">
        <f t="shared" si="23"/>
        <v>1943.0400000000004</v>
      </c>
      <c r="N89" s="94">
        <f t="shared" si="23"/>
        <v>1970.04</v>
      </c>
      <c r="O89" s="94">
        <f t="shared" si="23"/>
        <v>2006.74</v>
      </c>
      <c r="P89" s="94">
        <f t="shared" si="23"/>
        <v>1996.04</v>
      </c>
      <c r="Q89" s="94">
        <f t="shared" si="23"/>
        <v>2013.8400000000001</v>
      </c>
      <c r="R89" s="94">
        <f t="shared" si="23"/>
        <v>2011.3400000000001</v>
      </c>
      <c r="S89" s="94">
        <f t="shared" si="23"/>
        <v>2012.0400000000002</v>
      </c>
      <c r="T89" s="94">
        <f t="shared" si="23"/>
        <v>1997.44</v>
      </c>
      <c r="U89" s="94">
        <f t="shared" si="23"/>
        <v>1977.3400000000001</v>
      </c>
      <c r="V89" s="94">
        <f t="shared" si="23"/>
        <v>1961.6400000000003</v>
      </c>
      <c r="W89" s="94">
        <f t="shared" si="23"/>
        <v>1961.14</v>
      </c>
      <c r="X89" s="94">
        <f t="shared" si="23"/>
        <v>1948.7400000000002</v>
      </c>
      <c r="Y89" s="94">
        <f t="shared" si="23"/>
        <v>3.54</v>
      </c>
      <c r="Z89" s="94">
        <f t="shared" si="23"/>
        <v>1922.2400000000002</v>
      </c>
      <c r="AA89" s="94">
        <f t="shared" ref="AA89" si="24">AA50+AA54+AA72+AA68+AA84+AA88</f>
        <v>2007.64</v>
      </c>
      <c r="AB89" s="94">
        <f t="shared" si="23"/>
        <v>2062.14</v>
      </c>
      <c r="AC89" s="94">
        <f t="shared" si="23"/>
        <v>2087.7399999999998</v>
      </c>
      <c r="AD89" s="94">
        <f t="shared" si="23"/>
        <v>2087.7399999999998</v>
      </c>
      <c r="AE89" s="94">
        <f t="shared" si="23"/>
        <v>2084.7399999999998</v>
      </c>
      <c r="AF89" s="94">
        <f t="shared" si="23"/>
        <v>2031.4399999999998</v>
      </c>
      <c r="AG89" s="61">
        <f t="shared" si="23"/>
        <v>2111.5500000000002</v>
      </c>
      <c r="AH89" s="47">
        <f t="shared" si="19"/>
        <v>2087.7399999999998</v>
      </c>
      <c r="AI89" s="48">
        <f t="shared" si="20"/>
        <v>3.54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>
        <v>60</v>
      </c>
      <c r="N90" s="96">
        <v>60</v>
      </c>
      <c r="O90" s="96">
        <v>60</v>
      </c>
      <c r="P90" s="96">
        <v>70</v>
      </c>
      <c r="Q90" s="96">
        <v>80</v>
      </c>
      <c r="R90" s="96">
        <v>80</v>
      </c>
      <c r="S90" s="96">
        <v>80</v>
      </c>
      <c r="T90" s="96">
        <v>80</v>
      </c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9"/>
        <v>80</v>
      </c>
      <c r="AI90" s="48">
        <f t="shared" si="20"/>
        <v>60</v>
      </c>
    </row>
    <row r="91" spans="1:40" ht="15.75" thickBot="1" x14ac:dyDescent="0.3">
      <c r="A91" s="73" t="s">
        <v>102</v>
      </c>
      <c r="B91" s="94">
        <f t="shared" ref="B91:AF91" si="25">B89+B90</f>
        <v>1916.2400000000002</v>
      </c>
      <c r="C91" s="94">
        <f t="shared" si="25"/>
        <v>1891.64</v>
      </c>
      <c r="D91" s="94">
        <f t="shared" si="25"/>
        <v>1890.64</v>
      </c>
      <c r="E91" s="94">
        <f t="shared" si="25"/>
        <v>1881.14</v>
      </c>
      <c r="F91" s="94">
        <f t="shared" si="25"/>
        <v>946.54</v>
      </c>
      <c r="G91" s="94">
        <f t="shared" si="25"/>
        <v>1868.6400000000003</v>
      </c>
      <c r="H91" s="94">
        <f t="shared" si="25"/>
        <v>1858.9400000000003</v>
      </c>
      <c r="I91" s="94">
        <f t="shared" si="25"/>
        <v>1854.3400000000001</v>
      </c>
      <c r="J91" s="94">
        <f t="shared" si="25"/>
        <v>1888.7400000000002</v>
      </c>
      <c r="K91" s="94">
        <f t="shared" si="25"/>
        <v>3.54</v>
      </c>
      <c r="L91" s="94">
        <f t="shared" si="25"/>
        <v>3.54</v>
      </c>
      <c r="M91" s="94">
        <f t="shared" si="25"/>
        <v>2003.0400000000004</v>
      </c>
      <c r="N91" s="94">
        <f t="shared" si="25"/>
        <v>2030.04</v>
      </c>
      <c r="O91" s="94">
        <f t="shared" si="25"/>
        <v>2066.7399999999998</v>
      </c>
      <c r="P91" s="94">
        <f t="shared" si="25"/>
        <v>2066.04</v>
      </c>
      <c r="Q91" s="94">
        <f t="shared" si="25"/>
        <v>2093.84</v>
      </c>
      <c r="R91" s="94">
        <f t="shared" si="25"/>
        <v>2091.34</v>
      </c>
      <c r="S91" s="94">
        <f t="shared" si="25"/>
        <v>2092.04</v>
      </c>
      <c r="T91" s="94">
        <f t="shared" si="25"/>
        <v>2077.44</v>
      </c>
      <c r="U91" s="94">
        <f t="shared" si="25"/>
        <v>1977.3400000000001</v>
      </c>
      <c r="V91" s="94">
        <f t="shared" si="25"/>
        <v>1961.6400000000003</v>
      </c>
      <c r="W91" s="94">
        <f t="shared" si="25"/>
        <v>1961.14</v>
      </c>
      <c r="X91" s="94">
        <f t="shared" si="25"/>
        <v>1948.7400000000002</v>
      </c>
      <c r="Y91" s="94">
        <f t="shared" si="25"/>
        <v>3.54</v>
      </c>
      <c r="Z91" s="94">
        <f t="shared" si="25"/>
        <v>1922.2400000000002</v>
      </c>
      <c r="AA91" s="94">
        <f t="shared" ref="AA91" si="26">AA89+AA90</f>
        <v>2007.64</v>
      </c>
      <c r="AB91" s="94">
        <f t="shared" si="25"/>
        <v>2062.14</v>
      </c>
      <c r="AC91" s="94">
        <f t="shared" si="25"/>
        <v>2087.7399999999998</v>
      </c>
      <c r="AD91" s="94">
        <f t="shared" si="25"/>
        <v>2087.7399999999998</v>
      </c>
      <c r="AE91" s="94">
        <f t="shared" si="25"/>
        <v>2084.7399999999998</v>
      </c>
      <c r="AF91" s="94">
        <f t="shared" si="25"/>
        <v>2031.4399999999998</v>
      </c>
      <c r="AG91" s="87">
        <f>AG88+AG84+AG72+AG68+AG50+AG90</f>
        <v>1573.45</v>
      </c>
      <c r="AH91" s="47">
        <f t="shared" si="19"/>
        <v>2093.84</v>
      </c>
      <c r="AI91" s="48">
        <f t="shared" si="20"/>
        <v>3.54</v>
      </c>
    </row>
    <row r="92" spans="1:40" ht="15.75" thickBot="1" x14ac:dyDescent="0.3">
      <c r="A92" s="73" t="s">
        <v>103</v>
      </c>
      <c r="B92" s="94">
        <f t="shared" ref="B92:AF92" si="27">B91-B99</f>
        <v>1916.2400000000002</v>
      </c>
      <c r="C92" s="94">
        <f t="shared" si="27"/>
        <v>1891.64</v>
      </c>
      <c r="D92" s="94">
        <f t="shared" si="27"/>
        <v>1890.64</v>
      </c>
      <c r="E92" s="94">
        <f t="shared" si="27"/>
        <v>1881.14</v>
      </c>
      <c r="F92" s="94">
        <f t="shared" si="27"/>
        <v>946.54</v>
      </c>
      <c r="G92" s="94">
        <f t="shared" si="27"/>
        <v>1868.6400000000003</v>
      </c>
      <c r="H92" s="94">
        <f t="shared" si="27"/>
        <v>1858.9400000000003</v>
      </c>
      <c r="I92" s="94">
        <f t="shared" si="27"/>
        <v>1854.3400000000001</v>
      </c>
      <c r="J92" s="94">
        <f t="shared" si="27"/>
        <v>1888.7400000000002</v>
      </c>
      <c r="K92" s="94">
        <f t="shared" si="27"/>
        <v>3.54</v>
      </c>
      <c r="L92" s="94">
        <f t="shared" si="27"/>
        <v>3.54</v>
      </c>
      <c r="M92" s="94">
        <f t="shared" si="27"/>
        <v>2003.0400000000004</v>
      </c>
      <c r="N92" s="94">
        <f t="shared" si="27"/>
        <v>2030.04</v>
      </c>
      <c r="O92" s="94">
        <f t="shared" si="27"/>
        <v>2066.7399999999998</v>
      </c>
      <c r="P92" s="94">
        <f t="shared" si="27"/>
        <v>2066.04</v>
      </c>
      <c r="Q92" s="94">
        <f t="shared" si="27"/>
        <v>2093.84</v>
      </c>
      <c r="R92" s="94">
        <f t="shared" si="27"/>
        <v>2091.34</v>
      </c>
      <c r="S92" s="94">
        <f t="shared" si="27"/>
        <v>2092.04</v>
      </c>
      <c r="T92" s="94">
        <f t="shared" si="27"/>
        <v>2077.44</v>
      </c>
      <c r="U92" s="94">
        <f t="shared" si="27"/>
        <v>1977.3400000000001</v>
      </c>
      <c r="V92" s="94">
        <f t="shared" si="27"/>
        <v>1961.6400000000003</v>
      </c>
      <c r="W92" s="94">
        <f t="shared" si="27"/>
        <v>1961.14</v>
      </c>
      <c r="X92" s="94">
        <f t="shared" si="27"/>
        <v>1948.7400000000002</v>
      </c>
      <c r="Y92" s="94">
        <f t="shared" si="27"/>
        <v>3.54</v>
      </c>
      <c r="Z92" s="94">
        <f t="shared" si="27"/>
        <v>1922.2400000000002</v>
      </c>
      <c r="AA92" s="94">
        <f t="shared" ref="AA92" si="28">AA91-AA99</f>
        <v>2007.64</v>
      </c>
      <c r="AB92" s="94">
        <f t="shared" si="27"/>
        <v>2062.14</v>
      </c>
      <c r="AC92" s="94">
        <f t="shared" si="27"/>
        <v>2087.7399999999998</v>
      </c>
      <c r="AD92" s="94">
        <f t="shared" si="27"/>
        <v>2087.7399999999998</v>
      </c>
      <c r="AE92" s="94">
        <f t="shared" si="27"/>
        <v>2084.7399999999998</v>
      </c>
      <c r="AF92" s="94">
        <f t="shared" si="27"/>
        <v>2031.4399999999998</v>
      </c>
      <c r="AG92" s="87"/>
      <c r="AH92" s="47">
        <f t="shared" si="19"/>
        <v>2093.84</v>
      </c>
      <c r="AI92" s="48">
        <f t="shared" si="20"/>
        <v>3.54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9"/>
        <v>0</v>
      </c>
      <c r="AI93" s="48">
        <f t="shared" si="20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9"/>
        <v>0</v>
      </c>
      <c r="AI94" s="48">
        <f t="shared" si="20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9"/>
        <v>0</v>
      </c>
      <c r="AI95" s="48">
        <f t="shared" si="20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9"/>
        <v>0</v>
      </c>
      <c r="AI96" s="48">
        <f t="shared" si="20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9"/>
        <v>0</v>
      </c>
      <c r="AI97" s="48">
        <f t="shared" si="20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9"/>
        <v>0</v>
      </c>
      <c r="AI98" s="48">
        <f t="shared" si="20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19"/>
        <v>0</v>
      </c>
      <c r="AI99" s="48">
        <f t="shared" si="20"/>
        <v>0</v>
      </c>
      <c r="AK99" s="50"/>
    </row>
    <row r="100" spans="1:37" ht="15.75" thickBot="1" x14ac:dyDescent="0.3">
      <c r="A100" s="73" t="s">
        <v>108</v>
      </c>
      <c r="B100" s="60">
        <f t="shared" ref="B100:AF100" si="29">B84-B99</f>
        <v>39.4</v>
      </c>
      <c r="C100" s="60">
        <f t="shared" si="29"/>
        <v>46.8</v>
      </c>
      <c r="D100" s="60">
        <f t="shared" si="29"/>
        <v>46.8</v>
      </c>
      <c r="E100" s="60">
        <f t="shared" si="29"/>
        <v>43.6</v>
      </c>
      <c r="F100" s="60">
        <f t="shared" si="29"/>
        <v>0</v>
      </c>
      <c r="G100" s="60">
        <f t="shared" si="29"/>
        <v>58.2</v>
      </c>
      <c r="H100" s="60">
        <f t="shared" si="29"/>
        <v>28.2</v>
      </c>
      <c r="I100" s="60">
        <f t="shared" si="29"/>
        <v>15.6</v>
      </c>
      <c r="J100" s="60">
        <f t="shared" si="29"/>
        <v>14</v>
      </c>
      <c r="K100" s="60">
        <f t="shared" si="29"/>
        <v>0</v>
      </c>
      <c r="L100" s="60">
        <f t="shared" si="29"/>
        <v>0</v>
      </c>
      <c r="M100" s="60">
        <f t="shared" si="29"/>
        <v>48.9</v>
      </c>
      <c r="N100" s="60">
        <f t="shared" si="29"/>
        <v>63.8</v>
      </c>
      <c r="O100" s="60">
        <f t="shared" si="29"/>
        <v>54.6</v>
      </c>
      <c r="P100" s="60">
        <f t="shared" si="29"/>
        <v>42.9</v>
      </c>
      <c r="Q100" s="60">
        <f t="shared" si="29"/>
        <v>72</v>
      </c>
      <c r="R100" s="60">
        <f t="shared" si="29"/>
        <v>79.8</v>
      </c>
      <c r="S100" s="60">
        <f t="shared" si="29"/>
        <v>53.5</v>
      </c>
      <c r="T100" s="60">
        <f t="shared" si="29"/>
        <v>70.099999999999994</v>
      </c>
      <c r="U100" s="60">
        <f t="shared" si="29"/>
        <v>65.900000000000006</v>
      </c>
      <c r="V100" s="60">
        <f t="shared" si="29"/>
        <v>48.5</v>
      </c>
      <c r="W100" s="60">
        <f t="shared" si="29"/>
        <v>53.7</v>
      </c>
      <c r="X100" s="60">
        <f t="shared" si="29"/>
        <v>51.2</v>
      </c>
      <c r="Y100" s="60">
        <f t="shared" si="29"/>
        <v>0</v>
      </c>
      <c r="Z100" s="60">
        <f t="shared" si="29"/>
        <v>45.9</v>
      </c>
      <c r="AA100" s="60">
        <f t="shared" ref="AA100" si="30">AA84-AA99</f>
        <v>64.3</v>
      </c>
      <c r="AB100" s="60">
        <f t="shared" si="29"/>
        <v>64.3</v>
      </c>
      <c r="AC100" s="60">
        <f t="shared" si="29"/>
        <v>51</v>
      </c>
      <c r="AD100" s="60">
        <f t="shared" si="29"/>
        <v>51</v>
      </c>
      <c r="AE100" s="60">
        <f t="shared" si="29"/>
        <v>44</v>
      </c>
      <c r="AF100" s="60">
        <f t="shared" si="29"/>
        <v>51</v>
      </c>
      <c r="AG100" s="87"/>
      <c r="AH100" s="47">
        <f t="shared" si="19"/>
        <v>79.8</v>
      </c>
      <c r="AI100" s="48">
        <f t="shared" si="20"/>
        <v>0</v>
      </c>
    </row>
    <row r="101" spans="1:37" x14ac:dyDescent="0.25">
      <c r="A101" s="99" t="s">
        <v>109</v>
      </c>
      <c r="B101" s="100">
        <v>50.023400000000002</v>
      </c>
      <c r="C101" s="100">
        <v>50.052999999999997</v>
      </c>
      <c r="D101" s="100">
        <v>50.097999999999999</v>
      </c>
      <c r="E101" s="100">
        <v>49.988999999999997</v>
      </c>
      <c r="F101" s="100"/>
      <c r="G101" s="100">
        <v>50.04</v>
      </c>
      <c r="H101" s="100">
        <v>50.006999999999998</v>
      </c>
      <c r="I101" s="100">
        <v>50.067999999999998</v>
      </c>
      <c r="J101" s="100">
        <v>50.05</v>
      </c>
      <c r="K101" s="100"/>
      <c r="L101" s="100"/>
      <c r="M101" s="100">
        <v>50.003999999999998</v>
      </c>
      <c r="N101" s="100">
        <v>49.991</v>
      </c>
      <c r="O101" s="100">
        <v>50.014000000000003</v>
      </c>
      <c r="P101" s="100">
        <v>49.951999999999998</v>
      </c>
      <c r="Q101" s="100">
        <v>50.064</v>
      </c>
      <c r="R101" s="100">
        <v>49.970999999999997</v>
      </c>
      <c r="S101" s="100">
        <v>49.984000000000002</v>
      </c>
      <c r="T101" s="100">
        <v>50.012999999999998</v>
      </c>
      <c r="U101" s="100">
        <v>50.054000000000002</v>
      </c>
      <c r="V101" s="100">
        <v>50.05</v>
      </c>
      <c r="W101" s="100">
        <v>50.02</v>
      </c>
      <c r="X101" s="100">
        <v>49.87</v>
      </c>
      <c r="Y101" s="100"/>
      <c r="Z101" s="100">
        <v>49.99</v>
      </c>
      <c r="AA101" s="100">
        <v>50.075000000000003</v>
      </c>
      <c r="AB101" s="100">
        <v>50.05</v>
      </c>
      <c r="AC101" s="100">
        <v>50.01</v>
      </c>
      <c r="AD101" s="100">
        <v>50.05</v>
      </c>
      <c r="AE101" s="100">
        <v>50.01</v>
      </c>
      <c r="AF101" s="100">
        <v>50.02</v>
      </c>
      <c r="AG101" s="101"/>
      <c r="AH101" s="47">
        <f t="shared" si="19"/>
        <v>50.097999999999999</v>
      </c>
      <c r="AI101" s="48">
        <f t="shared" si="20"/>
        <v>49.87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9"/>
        <v>0</v>
      </c>
      <c r="AI102" s="48">
        <f t="shared" si="20"/>
        <v>0</v>
      </c>
    </row>
    <row r="103" spans="1:37" x14ac:dyDescent="0.25">
      <c r="A103" s="102" t="s">
        <v>111</v>
      </c>
      <c r="B103" s="64">
        <v>129.9</v>
      </c>
      <c r="C103" s="64">
        <v>130.19999999999999</v>
      </c>
      <c r="D103" s="64">
        <v>130.69999999999999</v>
      </c>
      <c r="E103" s="64">
        <v>130.69999999999999</v>
      </c>
      <c r="F103" s="64"/>
      <c r="G103" s="64">
        <v>128.69999999999999</v>
      </c>
      <c r="H103" s="64">
        <v>127.5</v>
      </c>
      <c r="I103" s="64">
        <v>127.5</v>
      </c>
      <c r="J103" s="64">
        <v>127</v>
      </c>
      <c r="K103" s="64"/>
      <c r="L103" s="64"/>
      <c r="M103" s="64">
        <v>122.8</v>
      </c>
      <c r="N103" s="64">
        <v>126.2</v>
      </c>
      <c r="O103" s="64">
        <v>123.6</v>
      </c>
      <c r="P103" s="64">
        <v>122.8</v>
      </c>
      <c r="Q103" s="64">
        <v>122</v>
      </c>
      <c r="R103" s="64">
        <v>123.7</v>
      </c>
      <c r="S103" s="64">
        <v>123.3</v>
      </c>
      <c r="T103" s="64">
        <v>122.6</v>
      </c>
      <c r="U103" s="64">
        <v>125.5</v>
      </c>
      <c r="V103" s="64">
        <v>127.2</v>
      </c>
      <c r="W103" s="64">
        <v>127.4</v>
      </c>
      <c r="X103" s="64">
        <v>126.8</v>
      </c>
      <c r="Y103" s="64"/>
      <c r="Z103" s="64">
        <v>125.3</v>
      </c>
      <c r="AA103" s="64">
        <v>126.3</v>
      </c>
      <c r="AB103" s="64">
        <v>127.4</v>
      </c>
      <c r="AC103" s="64">
        <v>127.4</v>
      </c>
      <c r="AD103" s="64">
        <v>127.4</v>
      </c>
      <c r="AE103" s="64">
        <v>128.69999999999999</v>
      </c>
      <c r="AF103" s="64">
        <v>128</v>
      </c>
      <c r="AG103" s="103"/>
      <c r="AH103" s="47">
        <f t="shared" si="19"/>
        <v>130.69999999999999</v>
      </c>
      <c r="AI103" s="48">
        <f t="shared" si="20"/>
        <v>122</v>
      </c>
    </row>
    <row r="104" spans="1:37" x14ac:dyDescent="0.25">
      <c r="A104" s="102" t="s">
        <v>112</v>
      </c>
      <c r="B104" s="64">
        <v>126.3</v>
      </c>
      <c r="C104" s="64">
        <v>128</v>
      </c>
      <c r="D104" s="64">
        <v>129.1</v>
      </c>
      <c r="E104" s="64">
        <v>129.6</v>
      </c>
      <c r="F104" s="64"/>
      <c r="G104" s="64">
        <v>130</v>
      </c>
      <c r="H104" s="64">
        <v>130.69999999999999</v>
      </c>
      <c r="I104" s="64">
        <v>129.6</v>
      </c>
      <c r="J104" s="64">
        <v>126</v>
      </c>
      <c r="K104" s="64"/>
      <c r="L104" s="64"/>
      <c r="M104" s="64">
        <v>124.3</v>
      </c>
      <c r="N104" s="64">
        <v>124.7</v>
      </c>
      <c r="O104" s="64">
        <v>125.3</v>
      </c>
      <c r="P104" s="64">
        <v>124.2</v>
      </c>
      <c r="Q104" s="64">
        <v>124.9</v>
      </c>
      <c r="R104" s="64">
        <v>122.4</v>
      </c>
      <c r="S104" s="64">
        <v>120.6</v>
      </c>
      <c r="T104" s="64">
        <v>119.1</v>
      </c>
      <c r="U104" s="64">
        <v>123.4</v>
      </c>
      <c r="V104" s="64">
        <v>124.8</v>
      </c>
      <c r="W104" s="64">
        <v>126.1</v>
      </c>
      <c r="X104" s="64">
        <v>128.6</v>
      </c>
      <c r="Y104" s="64"/>
      <c r="Z104" s="64">
        <v>121.4</v>
      </c>
      <c r="AA104" s="64">
        <v>128</v>
      </c>
      <c r="AB104" s="64">
        <v>122.2</v>
      </c>
      <c r="AC104" s="64">
        <v>122.2</v>
      </c>
      <c r="AD104" s="64">
        <v>122.2</v>
      </c>
      <c r="AE104" s="64">
        <v>125.9</v>
      </c>
      <c r="AF104" s="64">
        <v>125</v>
      </c>
      <c r="AG104" s="103"/>
      <c r="AH104" s="47">
        <f t="shared" si="19"/>
        <v>130.69999999999999</v>
      </c>
      <c r="AI104" s="48">
        <f t="shared" si="20"/>
        <v>119.1</v>
      </c>
    </row>
    <row r="105" spans="1:37" x14ac:dyDescent="0.25">
      <c r="A105" s="104" t="s">
        <v>113</v>
      </c>
      <c r="B105" s="64">
        <v>128.5</v>
      </c>
      <c r="C105" s="64">
        <v>130.5</v>
      </c>
      <c r="D105" s="64">
        <v>131.4</v>
      </c>
      <c r="E105" s="64">
        <v>131.6</v>
      </c>
      <c r="F105" s="64"/>
      <c r="G105" s="64">
        <v>132.1</v>
      </c>
      <c r="H105" s="64">
        <v>132.4</v>
      </c>
      <c r="I105" s="64">
        <v>129.19999999999999</v>
      </c>
      <c r="J105" s="64">
        <v>127</v>
      </c>
      <c r="K105" s="64"/>
      <c r="L105" s="64"/>
      <c r="M105" s="64">
        <v>125.8</v>
      </c>
      <c r="N105" s="64">
        <v>124.5</v>
      </c>
      <c r="O105" s="64">
        <v>125.9</v>
      </c>
      <c r="P105" s="64">
        <v>124.4</v>
      </c>
      <c r="Q105" s="64">
        <v>125.2</v>
      </c>
      <c r="R105" s="64">
        <v>123.2</v>
      </c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3"/>
      <c r="AH105" s="47">
        <f t="shared" si="19"/>
        <v>132.4</v>
      </c>
      <c r="AI105" s="48">
        <f t="shared" si="20"/>
        <v>123.2</v>
      </c>
    </row>
    <row r="106" spans="1:37" x14ac:dyDescent="0.25">
      <c r="A106" s="104" t="s">
        <v>114</v>
      </c>
      <c r="B106" s="105">
        <v>132.19999999999999</v>
      </c>
      <c r="C106" s="105">
        <v>128.80000000000001</v>
      </c>
      <c r="D106" s="105">
        <v>131.1</v>
      </c>
      <c r="E106" s="105">
        <v>131.30000000000001</v>
      </c>
      <c r="F106" s="105"/>
      <c r="G106" s="105">
        <v>132.4</v>
      </c>
      <c r="H106" s="105">
        <v>130.30000000000001</v>
      </c>
      <c r="I106" s="105">
        <v>131.69999999999999</v>
      </c>
      <c r="J106" s="105">
        <v>129</v>
      </c>
      <c r="K106" s="105"/>
      <c r="L106" s="105"/>
      <c r="M106" s="105">
        <v>129.19999999999999</v>
      </c>
      <c r="N106" s="105">
        <v>128.6</v>
      </c>
      <c r="O106" s="105">
        <v>129.19999999999999</v>
      </c>
      <c r="P106" s="105">
        <v>127.5</v>
      </c>
      <c r="Q106" s="105">
        <v>128</v>
      </c>
      <c r="R106" s="105">
        <v>130.9</v>
      </c>
      <c r="S106" s="105">
        <v>130.9</v>
      </c>
      <c r="T106" s="105">
        <v>131.30000000000001</v>
      </c>
      <c r="U106" s="105">
        <v>131.69999999999999</v>
      </c>
      <c r="V106" s="105">
        <v>137.4</v>
      </c>
      <c r="W106" s="105">
        <v>134.6</v>
      </c>
      <c r="X106" s="105">
        <v>131.69999999999999</v>
      </c>
      <c r="Y106" s="105"/>
      <c r="Z106" s="105">
        <v>129.4</v>
      </c>
      <c r="AA106" s="105">
        <v>132.80000000000001</v>
      </c>
      <c r="AB106" s="105">
        <v>131.30000000000001</v>
      </c>
      <c r="AC106" s="105">
        <v>131.30000000000001</v>
      </c>
      <c r="AD106" s="105">
        <v>131.30000000000001</v>
      </c>
      <c r="AE106" s="105">
        <v>131</v>
      </c>
      <c r="AF106" s="105">
        <v>130.30000000000001</v>
      </c>
      <c r="AG106" s="106"/>
      <c r="AH106" s="47">
        <f t="shared" si="19"/>
        <v>137.4</v>
      </c>
      <c r="AI106" s="48">
        <f t="shared" si="20"/>
        <v>127.5</v>
      </c>
    </row>
    <row r="107" spans="1:37" x14ac:dyDescent="0.25">
      <c r="A107" s="102" t="s">
        <v>115</v>
      </c>
      <c r="B107" s="64">
        <v>124.6</v>
      </c>
      <c r="C107" s="64">
        <v>128</v>
      </c>
      <c r="D107" s="64">
        <v>130.1</v>
      </c>
      <c r="E107" s="64">
        <v>131.4</v>
      </c>
      <c r="F107" s="64"/>
      <c r="G107" s="64">
        <v>131</v>
      </c>
      <c r="H107" s="64">
        <v>134.4</v>
      </c>
      <c r="I107" s="64">
        <v>132.69999999999999</v>
      </c>
      <c r="J107" s="64">
        <v>133</v>
      </c>
      <c r="K107" s="64"/>
      <c r="L107" s="64"/>
      <c r="M107" s="64">
        <v>128.9</v>
      </c>
      <c r="N107" s="64">
        <v>131.1</v>
      </c>
      <c r="O107" s="64">
        <v>123.9</v>
      </c>
      <c r="P107" s="64">
        <v>128</v>
      </c>
      <c r="Q107" s="64">
        <v>130.69999999999999</v>
      </c>
      <c r="R107" s="64">
        <v>129.19999999999999</v>
      </c>
      <c r="S107" s="64">
        <v>129.5</v>
      </c>
      <c r="T107" s="64">
        <v>136.19999999999999</v>
      </c>
      <c r="U107" s="64">
        <v>136.30000000000001</v>
      </c>
      <c r="V107" s="64">
        <v>132</v>
      </c>
      <c r="W107" s="64">
        <v>130.6</v>
      </c>
      <c r="X107" s="64">
        <v>128.9</v>
      </c>
      <c r="Y107" s="64"/>
      <c r="Z107" s="64">
        <v>130.6</v>
      </c>
      <c r="AA107" s="64">
        <v>129.9</v>
      </c>
      <c r="AB107" s="64">
        <v>132.9</v>
      </c>
      <c r="AC107" s="64">
        <v>132.9</v>
      </c>
      <c r="AD107" s="64">
        <v>132.9</v>
      </c>
      <c r="AE107" s="64">
        <v>131</v>
      </c>
      <c r="AF107" s="64">
        <v>125</v>
      </c>
      <c r="AG107" s="103"/>
      <c r="AH107" s="47">
        <f t="shared" si="19"/>
        <v>136.30000000000001</v>
      </c>
      <c r="AI107" s="48">
        <f t="shared" si="20"/>
        <v>123.9</v>
      </c>
    </row>
    <row r="108" spans="1:37" ht="15.75" thickBot="1" x14ac:dyDescent="0.3">
      <c r="A108" s="102" t="s">
        <v>116</v>
      </c>
      <c r="B108" s="91">
        <v>65.400000000000006</v>
      </c>
      <c r="C108" s="91">
        <v>65.2</v>
      </c>
      <c r="D108" s="91">
        <v>65.7</v>
      </c>
      <c r="E108" s="91">
        <v>65.7</v>
      </c>
      <c r="F108" s="91"/>
      <c r="G108" s="91">
        <v>65.099999999999994</v>
      </c>
      <c r="H108" s="91">
        <v>64.099999999999994</v>
      </c>
      <c r="I108" s="91">
        <v>64.099999999999994</v>
      </c>
      <c r="J108" s="91">
        <v>64</v>
      </c>
      <c r="K108" s="91"/>
      <c r="L108" s="91"/>
      <c r="M108" s="91">
        <v>62</v>
      </c>
      <c r="N108" s="91">
        <v>63.6</v>
      </c>
      <c r="O108" s="91">
        <v>62.2</v>
      </c>
      <c r="P108" s="91">
        <v>61.9</v>
      </c>
      <c r="Q108" s="91">
        <v>61.6</v>
      </c>
      <c r="R108" s="91">
        <v>62.4</v>
      </c>
      <c r="S108" s="91">
        <v>62.1</v>
      </c>
      <c r="T108" s="91">
        <v>61.7</v>
      </c>
      <c r="U108" s="91">
        <v>63.1</v>
      </c>
      <c r="V108" s="91">
        <v>64.099999999999994</v>
      </c>
      <c r="W108" s="91">
        <v>63.9</v>
      </c>
      <c r="X108" s="91">
        <v>63.7</v>
      </c>
      <c r="Y108" s="91"/>
      <c r="Z108" s="91">
        <v>62.8</v>
      </c>
      <c r="AA108" s="91">
        <v>63.5</v>
      </c>
      <c r="AB108" s="91">
        <v>64.3</v>
      </c>
      <c r="AC108" s="91">
        <v>64.3</v>
      </c>
      <c r="AD108" s="91">
        <v>64.3</v>
      </c>
      <c r="AE108" s="91">
        <v>64.900000000000006</v>
      </c>
      <c r="AF108" s="91">
        <v>64.7</v>
      </c>
      <c r="AG108" s="107"/>
      <c r="AH108" s="47">
        <f t="shared" si="19"/>
        <v>65.7</v>
      </c>
      <c r="AI108" s="48">
        <f t="shared" si="20"/>
        <v>61.6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19"/>
        <v>0</v>
      </c>
      <c r="AI109" s="48">
        <f t="shared" si="20"/>
        <v>0</v>
      </c>
    </row>
    <row r="110" spans="1:37" ht="15.75" thickBot="1" x14ac:dyDescent="0.3">
      <c r="A110" s="109" t="s">
        <v>118</v>
      </c>
      <c r="B110" s="110">
        <f t="shared" ref="B110:O110" si="31">SUM(B20,B26,B29:B30,B58,B60:B61,B63,B65,B111:B115,B138,B144,B150,B159,B161,B173,B180,B183:B184,B191,B193,B195,B199:B201,B203:B205,B210,B216:B217,B219:B221,B229,B234)</f>
        <v>77.899999999999977</v>
      </c>
      <c r="C110" s="110">
        <f t="shared" si="31"/>
        <v>54.94</v>
      </c>
      <c r="D110" s="110">
        <f t="shared" si="31"/>
        <v>49.439999999999984</v>
      </c>
      <c r="E110" s="110">
        <f t="shared" si="31"/>
        <v>40.639999999999986</v>
      </c>
      <c r="F110" s="110">
        <f t="shared" si="31"/>
        <v>95.539999999999992</v>
      </c>
      <c r="G110" s="110">
        <f t="shared" si="31"/>
        <v>90.139999999999986</v>
      </c>
      <c r="H110" s="110">
        <f t="shared" si="31"/>
        <v>59.54000000000002</v>
      </c>
      <c r="I110" s="110">
        <f t="shared" si="31"/>
        <v>91.54000000000002</v>
      </c>
      <c r="J110" s="110">
        <f t="shared" si="31"/>
        <v>111.54000000000002</v>
      </c>
      <c r="K110" s="110">
        <f t="shared" si="31"/>
        <v>0.94</v>
      </c>
      <c r="L110" s="110">
        <f t="shared" si="31"/>
        <v>0.94</v>
      </c>
      <c r="M110" s="110">
        <f t="shared" si="31"/>
        <v>161.54000000000002</v>
      </c>
      <c r="N110" s="110">
        <f t="shared" si="31"/>
        <v>182.54000000000002</v>
      </c>
      <c r="O110" s="110">
        <f t="shared" si="31"/>
        <v>183.64</v>
      </c>
      <c r="P110" s="110">
        <v>42</v>
      </c>
      <c r="Q110" s="110">
        <f t="shared" ref="Q110:AF110" si="32">SUM(Q20,Q26,Q29:Q30,Q58,Q60:Q61,Q63,Q65,Q111:Q115,Q138,Q144,Q150,Q159,Q161,Q173,Q180,Q183:Q184,Q191,Q193,Q195,Q199:Q201,Q203:Q205,Q210,Q216:Q217,Q219:Q221,Q229,Q234)</f>
        <v>186.39999999999998</v>
      </c>
      <c r="R110" s="110">
        <f t="shared" si="32"/>
        <v>184.39999999999998</v>
      </c>
      <c r="S110" s="110">
        <f t="shared" si="32"/>
        <v>188.7</v>
      </c>
      <c r="T110" s="110">
        <f t="shared" si="32"/>
        <v>191.79999999999995</v>
      </c>
      <c r="U110" s="110">
        <f t="shared" si="32"/>
        <v>185.50000000000006</v>
      </c>
      <c r="V110" s="110">
        <f t="shared" si="32"/>
        <v>176.79999999999995</v>
      </c>
      <c r="W110" s="110">
        <f t="shared" si="32"/>
        <v>176.1</v>
      </c>
      <c r="X110" s="110">
        <f t="shared" si="32"/>
        <v>190.69999999999996</v>
      </c>
      <c r="Y110" s="110">
        <f t="shared" si="32"/>
        <v>0</v>
      </c>
      <c r="Z110" s="110">
        <f t="shared" si="32"/>
        <v>203.39999999999998</v>
      </c>
      <c r="AA110" s="110">
        <f t="shared" ref="AA110" si="33">SUM(AA20,AA26,AA29:AA30,AA58,AA60:AA61,AA63,AA65,AA111:AA115,AA138,AA144,AA150,AA159,AA161,AA173,AA180,AA183:AA184,AA191,AA193,AA195,AA199:AA201,AA203:AA205,AA210,AA216:AA217,AA219:AA221,AA229,AA234)</f>
        <v>227.49999999999997</v>
      </c>
      <c r="AB110" s="110">
        <f t="shared" si="32"/>
        <v>181.37000000000003</v>
      </c>
      <c r="AC110" s="110">
        <f t="shared" si="32"/>
        <v>156.5</v>
      </c>
      <c r="AD110" s="110"/>
      <c r="AE110" s="110">
        <f t="shared" si="32"/>
        <v>73.100000000000023</v>
      </c>
      <c r="AF110" s="110">
        <f t="shared" si="32"/>
        <v>47.199999999999989</v>
      </c>
      <c r="AG110" s="111"/>
      <c r="AH110" s="47">
        <f t="shared" si="19"/>
        <v>227.49999999999997</v>
      </c>
      <c r="AI110" s="48">
        <f t="shared" si="20"/>
        <v>0</v>
      </c>
    </row>
    <row r="111" spans="1:37" x14ac:dyDescent="0.25">
      <c r="A111" s="99" t="s">
        <v>119</v>
      </c>
      <c r="B111" s="112">
        <v>27.1</v>
      </c>
      <c r="C111" s="112">
        <v>14.1</v>
      </c>
      <c r="D111" s="112">
        <v>17.2</v>
      </c>
      <c r="E111" s="112">
        <v>16.7</v>
      </c>
      <c r="F111" s="112"/>
      <c r="G111" s="112">
        <v>63.5</v>
      </c>
      <c r="H111" s="112">
        <v>60</v>
      </c>
      <c r="I111" s="112">
        <v>63.4</v>
      </c>
      <c r="J111" s="112">
        <v>65</v>
      </c>
      <c r="K111" s="112"/>
      <c r="L111" s="112"/>
      <c r="M111" s="112">
        <v>82.8</v>
      </c>
      <c r="N111" s="112">
        <v>87.4</v>
      </c>
      <c r="O111" s="112">
        <v>90.2</v>
      </c>
      <c r="P111" s="112">
        <v>90.9</v>
      </c>
      <c r="Q111" s="112">
        <v>94.3</v>
      </c>
      <c r="R111" s="112">
        <v>88.3</v>
      </c>
      <c r="S111" s="112">
        <v>89.7</v>
      </c>
      <c r="T111" s="112">
        <v>96</v>
      </c>
      <c r="U111" s="112">
        <v>91.9</v>
      </c>
      <c r="V111" s="112">
        <v>89.1</v>
      </c>
      <c r="W111" s="112">
        <v>87</v>
      </c>
      <c r="X111" s="112">
        <v>87</v>
      </c>
      <c r="Y111" s="112"/>
      <c r="Z111" s="112">
        <v>72.099999999999994</v>
      </c>
      <c r="AA111" s="112">
        <v>85.8</v>
      </c>
      <c r="AB111" s="112">
        <v>49.87</v>
      </c>
      <c r="AC111" s="112">
        <v>65</v>
      </c>
      <c r="AD111" s="112">
        <v>65</v>
      </c>
      <c r="AE111" s="112">
        <v>53</v>
      </c>
      <c r="AF111" s="112">
        <v>40</v>
      </c>
      <c r="AG111" s="113">
        <v>75</v>
      </c>
      <c r="AH111" s="47">
        <f t="shared" si="19"/>
        <v>96</v>
      </c>
      <c r="AI111" s="48">
        <f t="shared" si="20"/>
        <v>14.1</v>
      </c>
    </row>
    <row r="112" spans="1:37" x14ac:dyDescent="0.25">
      <c r="A112" s="102" t="s">
        <v>120</v>
      </c>
      <c r="B112" s="114">
        <v>40.200000000000003</v>
      </c>
      <c r="C112" s="114">
        <v>20.3</v>
      </c>
      <c r="D112" s="114">
        <v>25</v>
      </c>
      <c r="E112" s="114">
        <v>26.3</v>
      </c>
      <c r="F112" s="114"/>
      <c r="G112" s="114">
        <v>88.1</v>
      </c>
      <c r="H112" s="114">
        <v>82</v>
      </c>
      <c r="I112" s="114">
        <v>86.6</v>
      </c>
      <c r="J112" s="114">
        <v>88</v>
      </c>
      <c r="K112" s="114"/>
      <c r="L112" s="114"/>
      <c r="M112" s="114">
        <v>118.6</v>
      </c>
      <c r="N112" s="114">
        <v>123.2</v>
      </c>
      <c r="O112" s="114">
        <v>128.6</v>
      </c>
      <c r="P112" s="114">
        <v>129.19999999999999</v>
      </c>
      <c r="Q112" s="114">
        <v>135.30000000000001</v>
      </c>
      <c r="R112" s="114">
        <v>128</v>
      </c>
      <c r="S112" s="114">
        <v>128.19999999999999</v>
      </c>
      <c r="T112" s="114">
        <v>138.4</v>
      </c>
      <c r="U112" s="114">
        <v>130.6</v>
      </c>
      <c r="V112" s="114">
        <v>126.6</v>
      </c>
      <c r="W112" s="114">
        <v>122.5</v>
      </c>
      <c r="X112" s="114">
        <v>123</v>
      </c>
      <c r="Y112" s="114"/>
      <c r="Z112" s="114">
        <v>99.1</v>
      </c>
      <c r="AA112" s="114">
        <v>120.1</v>
      </c>
      <c r="AB112" s="114">
        <v>71.099999999999994</v>
      </c>
      <c r="AC112" s="114">
        <v>43</v>
      </c>
      <c r="AD112" s="114">
        <v>43</v>
      </c>
      <c r="AE112" s="114">
        <v>35.6</v>
      </c>
      <c r="AF112" s="114">
        <v>26</v>
      </c>
      <c r="AG112" s="113">
        <v>240</v>
      </c>
      <c r="AH112" s="47">
        <f t="shared" si="19"/>
        <v>138.4</v>
      </c>
      <c r="AI112" s="48">
        <f t="shared" si="20"/>
        <v>20.3</v>
      </c>
    </row>
    <row r="113" spans="1:37" x14ac:dyDescent="0.25">
      <c r="A113" s="102" t="s">
        <v>121</v>
      </c>
      <c r="B113" s="114">
        <v>-140</v>
      </c>
      <c r="C113" s="114">
        <v>-128</v>
      </c>
      <c r="D113" s="114">
        <v>-140</v>
      </c>
      <c r="E113" s="114">
        <v>-150</v>
      </c>
      <c r="F113" s="114"/>
      <c r="G113" s="114">
        <v>-195</v>
      </c>
      <c r="H113" s="114">
        <v>-195</v>
      </c>
      <c r="I113" s="114">
        <v>-171</v>
      </c>
      <c r="J113" s="114">
        <v>-178</v>
      </c>
      <c r="K113" s="114"/>
      <c r="L113" s="114"/>
      <c r="M113" s="114">
        <v>-145</v>
      </c>
      <c r="N113" s="114">
        <v>-150</v>
      </c>
      <c r="O113" s="114">
        <v>-163.4</v>
      </c>
      <c r="P113" s="114">
        <v>-172.6</v>
      </c>
      <c r="Q113" s="114">
        <v>-176</v>
      </c>
      <c r="R113" s="114">
        <v>-174.1</v>
      </c>
      <c r="S113" s="114">
        <v>-170</v>
      </c>
      <c r="T113" s="114">
        <v>-159</v>
      </c>
      <c r="U113" s="114">
        <v>-166.1</v>
      </c>
      <c r="V113" s="114">
        <v>-159.80000000000001</v>
      </c>
      <c r="W113" s="114">
        <v>-155.19999999999999</v>
      </c>
      <c r="X113" s="114">
        <v>-157.5</v>
      </c>
      <c r="Y113" s="114"/>
      <c r="Z113" s="114">
        <v>-129.4</v>
      </c>
      <c r="AA113" s="114">
        <v>-154.6</v>
      </c>
      <c r="AB113" s="114">
        <f>-54.6-58</f>
        <v>-112.6</v>
      </c>
      <c r="AC113" s="114">
        <v>-132</v>
      </c>
      <c r="AD113" s="114">
        <v>-132</v>
      </c>
      <c r="AE113" s="114">
        <v>-190</v>
      </c>
      <c r="AF113" s="114">
        <v>-160</v>
      </c>
      <c r="AG113" s="113">
        <v>240</v>
      </c>
      <c r="AH113" s="47">
        <f t="shared" si="19"/>
        <v>-112.6</v>
      </c>
      <c r="AI113" s="48">
        <f t="shared" si="20"/>
        <v>-195</v>
      </c>
    </row>
    <row r="114" spans="1:37" x14ac:dyDescent="0.25">
      <c r="A114" s="102" t="s">
        <v>122</v>
      </c>
      <c r="B114" s="114">
        <v>-8.6999999999999993</v>
      </c>
      <c r="C114" s="114">
        <v>-8</v>
      </c>
      <c r="D114" s="114">
        <v>-8</v>
      </c>
      <c r="E114" s="114">
        <v>-10.1</v>
      </c>
      <c r="F114" s="114"/>
      <c r="G114" s="114">
        <v>-9</v>
      </c>
      <c r="H114" s="114">
        <v>-11</v>
      </c>
      <c r="I114" s="114">
        <v>-11</v>
      </c>
      <c r="J114" s="114">
        <v>-8</v>
      </c>
      <c r="K114" s="114"/>
      <c r="L114" s="114"/>
      <c r="M114" s="114">
        <v>10</v>
      </c>
      <c r="N114" s="114">
        <v>14.1</v>
      </c>
      <c r="O114" s="114">
        <v>9.6</v>
      </c>
      <c r="P114" s="114">
        <v>11.2</v>
      </c>
      <c r="Q114" s="114">
        <v>6.1</v>
      </c>
      <c r="R114" s="114">
        <v>7</v>
      </c>
      <c r="S114" s="114">
        <v>9.4</v>
      </c>
      <c r="T114" s="114">
        <v>-0.5</v>
      </c>
      <c r="U114" s="114">
        <v>-0.2</v>
      </c>
      <c r="V114" s="114">
        <v>-1.6</v>
      </c>
      <c r="W114" s="114">
        <v>0</v>
      </c>
      <c r="X114" s="114">
        <v>0</v>
      </c>
      <c r="Y114" s="114"/>
      <c r="Z114" s="114">
        <v>8.1</v>
      </c>
      <c r="AA114" s="114">
        <v>3.6</v>
      </c>
      <c r="AB114" s="114">
        <v>0</v>
      </c>
      <c r="AC114" s="114">
        <v>-7</v>
      </c>
      <c r="AD114" s="114">
        <v>-7</v>
      </c>
      <c r="AE114" s="114">
        <v>-13</v>
      </c>
      <c r="AF114" s="114">
        <v>-13</v>
      </c>
      <c r="AG114" s="113">
        <v>60</v>
      </c>
      <c r="AH114" s="47">
        <f t="shared" si="19"/>
        <v>14.1</v>
      </c>
      <c r="AI114" s="48">
        <f t="shared" si="20"/>
        <v>-13</v>
      </c>
    </row>
    <row r="115" spans="1:37" x14ac:dyDescent="0.25">
      <c r="A115" s="115" t="s">
        <v>123</v>
      </c>
      <c r="B115" s="116">
        <v>13.7</v>
      </c>
      <c r="C115" s="116">
        <v>15</v>
      </c>
      <c r="D115" s="116">
        <v>13.7</v>
      </c>
      <c r="E115" s="116">
        <v>15.2</v>
      </c>
      <c r="F115" s="116"/>
      <c r="G115" s="116">
        <v>0</v>
      </c>
      <c r="H115" s="116">
        <v>0</v>
      </c>
      <c r="I115" s="116">
        <v>0</v>
      </c>
      <c r="J115" s="116">
        <v>0</v>
      </c>
      <c r="K115" s="116"/>
      <c r="L115" s="116"/>
      <c r="M115" s="116">
        <v>0</v>
      </c>
      <c r="N115" s="116">
        <v>9.9</v>
      </c>
      <c r="O115" s="116">
        <v>12</v>
      </c>
      <c r="P115" s="116">
        <v>10.7</v>
      </c>
      <c r="Q115" s="116">
        <v>16.100000000000001</v>
      </c>
      <c r="R115" s="116">
        <v>24.6</v>
      </c>
      <c r="S115" s="116">
        <v>21.1</v>
      </c>
      <c r="T115" s="116">
        <v>21</v>
      </c>
      <c r="U115" s="116">
        <v>11.1</v>
      </c>
      <c r="V115" s="116">
        <v>5.9</v>
      </c>
      <c r="W115" s="116">
        <v>5.9</v>
      </c>
      <c r="X115" s="116">
        <v>5.6</v>
      </c>
      <c r="Y115" s="116"/>
      <c r="Z115" s="116">
        <v>17.3</v>
      </c>
      <c r="AA115" s="116">
        <v>18.600000000000001</v>
      </c>
      <c r="AB115" s="116">
        <v>19</v>
      </c>
      <c r="AC115" s="116">
        <v>20</v>
      </c>
      <c r="AD115" s="116">
        <v>20</v>
      </c>
      <c r="AE115" s="116">
        <v>20</v>
      </c>
      <c r="AF115" s="116">
        <v>10</v>
      </c>
      <c r="AG115" s="117">
        <v>120</v>
      </c>
      <c r="AH115" s="47">
        <f t="shared" si="19"/>
        <v>24.6</v>
      </c>
      <c r="AI115" s="48">
        <f t="shared" si="20"/>
        <v>0</v>
      </c>
    </row>
    <row r="116" spans="1:37" x14ac:dyDescent="0.25">
      <c r="A116" s="115" t="s">
        <v>124</v>
      </c>
      <c r="B116" s="116">
        <v>50.5</v>
      </c>
      <c r="C116" s="116">
        <v>56.3</v>
      </c>
      <c r="D116" s="116">
        <v>45.8</v>
      </c>
      <c r="E116" s="116">
        <v>38</v>
      </c>
      <c r="F116" s="116"/>
      <c r="G116" s="116">
        <v>53</v>
      </c>
      <c r="H116" s="116">
        <v>59</v>
      </c>
      <c r="I116" s="116">
        <v>74</v>
      </c>
      <c r="J116" s="116">
        <v>76</v>
      </c>
      <c r="K116" s="116"/>
      <c r="L116" s="116"/>
      <c r="M116" s="116">
        <v>68.2</v>
      </c>
      <c r="N116" s="116">
        <v>69.5</v>
      </c>
      <c r="O116" s="116">
        <v>62</v>
      </c>
      <c r="P116" s="116">
        <v>67.400000000000006</v>
      </c>
      <c r="Q116" s="116">
        <v>62.8</v>
      </c>
      <c r="R116" s="116">
        <v>59.3</v>
      </c>
      <c r="S116" s="116">
        <v>66</v>
      </c>
      <c r="T116" s="116">
        <v>62</v>
      </c>
      <c r="U116" s="116">
        <v>43.4</v>
      </c>
      <c r="V116" s="116">
        <v>47.7</v>
      </c>
      <c r="W116" s="116">
        <v>72.2</v>
      </c>
      <c r="X116" s="116">
        <v>69.7</v>
      </c>
      <c r="Y116" s="116"/>
      <c r="Z116" s="116">
        <v>89.4</v>
      </c>
      <c r="AA116" s="116">
        <v>54.7</v>
      </c>
      <c r="AB116" s="116">
        <v>84.6</v>
      </c>
      <c r="AC116" s="116">
        <v>72</v>
      </c>
      <c r="AD116" s="116">
        <v>72</v>
      </c>
      <c r="AE116" s="116">
        <v>60</v>
      </c>
      <c r="AF116" s="116">
        <v>76</v>
      </c>
      <c r="AG116" s="117"/>
      <c r="AH116" s="47">
        <f t="shared" si="19"/>
        <v>89.4</v>
      </c>
      <c r="AI116" s="48">
        <f t="shared" si="20"/>
        <v>38</v>
      </c>
    </row>
    <row r="117" spans="1:37" x14ac:dyDescent="0.25">
      <c r="A117" s="115" t="s">
        <v>125</v>
      </c>
      <c r="B117" s="116">
        <v>-16.100000000000001</v>
      </c>
      <c r="C117" s="116">
        <v>-17.100000000000001</v>
      </c>
      <c r="D117" s="116">
        <v>-11.3</v>
      </c>
      <c r="E117" s="116">
        <v>-13</v>
      </c>
      <c r="F117" s="116"/>
      <c r="G117" s="116">
        <v>8.4</v>
      </c>
      <c r="H117" s="116">
        <v>4.4000000000000004</v>
      </c>
      <c r="I117" s="116">
        <v>4.3</v>
      </c>
      <c r="J117" s="116">
        <v>2.4</v>
      </c>
      <c r="K117" s="116"/>
      <c r="L117" s="116"/>
      <c r="M117" s="116">
        <v>23.6</v>
      </c>
      <c r="N117" s="116">
        <v>14.1</v>
      </c>
      <c r="O117" s="116">
        <v>25.3</v>
      </c>
      <c r="P117" s="116">
        <v>20.100000000000001</v>
      </c>
      <c r="Q117" s="116">
        <v>22.4</v>
      </c>
      <c r="R117" s="116">
        <v>20.7</v>
      </c>
      <c r="S117" s="116">
        <v>21.3</v>
      </c>
      <c r="T117" s="116">
        <v>26</v>
      </c>
      <c r="U117" s="116">
        <v>14.1</v>
      </c>
      <c r="V117" s="116">
        <v>20.7</v>
      </c>
      <c r="W117" s="116">
        <v>20.2</v>
      </c>
      <c r="X117" s="116">
        <v>24.1</v>
      </c>
      <c r="Y117" s="116"/>
      <c r="Z117" s="116">
        <v>17.7</v>
      </c>
      <c r="AA117" s="116">
        <v>23.3</v>
      </c>
      <c r="AB117" s="116">
        <v>0</v>
      </c>
      <c r="AC117" s="116">
        <v>11</v>
      </c>
      <c r="AD117" s="116">
        <v>11</v>
      </c>
      <c r="AE117" s="116">
        <v>5</v>
      </c>
      <c r="AF117" s="116">
        <v>16</v>
      </c>
      <c r="AG117" s="118"/>
      <c r="AH117" s="47">
        <f t="shared" si="19"/>
        <v>26</v>
      </c>
      <c r="AI117" s="48">
        <f t="shared" si="20"/>
        <v>-17.100000000000001</v>
      </c>
    </row>
    <row r="118" spans="1:37" x14ac:dyDescent="0.25">
      <c r="A118" s="119" t="s">
        <v>126</v>
      </c>
      <c r="B118" s="105">
        <v>33</v>
      </c>
      <c r="C118" s="105">
        <v>35.200000000000003</v>
      </c>
      <c r="D118" s="105">
        <v>36.1</v>
      </c>
      <c r="E118" s="105">
        <v>36</v>
      </c>
      <c r="F118" s="105"/>
      <c r="G118" s="105">
        <v>37</v>
      </c>
      <c r="H118" s="105">
        <v>35</v>
      </c>
      <c r="I118" s="105">
        <v>29</v>
      </c>
      <c r="J118" s="105">
        <v>28</v>
      </c>
      <c r="K118" s="105"/>
      <c r="L118" s="105"/>
      <c r="M118" s="105">
        <v>18.399999999999999</v>
      </c>
      <c r="N118" s="105">
        <v>16.399999999999999</v>
      </c>
      <c r="O118" s="105">
        <v>19.899999999999999</v>
      </c>
      <c r="P118" s="105">
        <v>10.199999999999999</v>
      </c>
      <c r="Q118" s="105">
        <v>9.4</v>
      </c>
      <c r="R118" s="105">
        <v>12.9</v>
      </c>
      <c r="S118" s="105">
        <v>2</v>
      </c>
      <c r="T118" s="105">
        <v>-17</v>
      </c>
      <c r="U118" s="105">
        <v>-1.2</v>
      </c>
      <c r="V118" s="105">
        <v>-4.9000000000000004</v>
      </c>
      <c r="W118" s="105">
        <v>9.1</v>
      </c>
      <c r="X118" s="105">
        <v>11.2</v>
      </c>
      <c r="Y118" s="105"/>
      <c r="Z118" s="105">
        <v>4.2</v>
      </c>
      <c r="AA118" s="105">
        <v>-5.4</v>
      </c>
      <c r="AB118" s="105">
        <v>-3.6</v>
      </c>
      <c r="AC118" s="105">
        <v>18</v>
      </c>
      <c r="AD118" s="105">
        <v>18</v>
      </c>
      <c r="AE118" s="105">
        <v>17</v>
      </c>
      <c r="AF118" s="105"/>
      <c r="AG118" s="118"/>
      <c r="AH118" s="47">
        <f t="shared" si="19"/>
        <v>37</v>
      </c>
      <c r="AI118" s="48">
        <f t="shared" si="20"/>
        <v>-17</v>
      </c>
    </row>
    <row r="119" spans="1:37" x14ac:dyDescent="0.25">
      <c r="A119" s="120" t="s">
        <v>127</v>
      </c>
      <c r="B119" s="105">
        <v>71.5</v>
      </c>
      <c r="C119" s="105">
        <v>64</v>
      </c>
      <c r="D119" s="105">
        <v>73.599999999999994</v>
      </c>
      <c r="E119" s="105">
        <v>80</v>
      </c>
      <c r="F119" s="105"/>
      <c r="G119" s="105">
        <v>58</v>
      </c>
      <c r="H119" s="105">
        <v>57</v>
      </c>
      <c r="I119" s="105">
        <v>42</v>
      </c>
      <c r="J119" s="105">
        <v>39</v>
      </c>
      <c r="K119" s="105"/>
      <c r="L119" s="105"/>
      <c r="M119" s="105">
        <v>41.6</v>
      </c>
      <c r="N119" s="105">
        <v>0</v>
      </c>
      <c r="O119" s="105">
        <v>0</v>
      </c>
      <c r="P119" s="105">
        <v>0</v>
      </c>
      <c r="Q119" s="105">
        <v>0</v>
      </c>
      <c r="R119" s="105">
        <v>0</v>
      </c>
      <c r="S119" s="105">
        <v>0</v>
      </c>
      <c r="T119" s="105">
        <v>0</v>
      </c>
      <c r="U119" s="105">
        <v>0</v>
      </c>
      <c r="V119" s="105">
        <v>0</v>
      </c>
      <c r="W119" s="105">
        <v>0</v>
      </c>
      <c r="X119" s="105">
        <v>0</v>
      </c>
      <c r="Y119" s="105"/>
      <c r="Z119" s="105">
        <v>0</v>
      </c>
      <c r="AA119" s="105">
        <v>0</v>
      </c>
      <c r="AB119" s="105">
        <v>0</v>
      </c>
      <c r="AC119" s="105">
        <v>60</v>
      </c>
      <c r="AD119" s="105">
        <v>60</v>
      </c>
      <c r="AE119" s="105">
        <v>85</v>
      </c>
      <c r="AF119" s="105">
        <v>90</v>
      </c>
      <c r="AG119" s="118"/>
      <c r="AH119" s="47">
        <f t="shared" si="19"/>
        <v>90</v>
      </c>
      <c r="AI119" s="48">
        <f t="shared" si="20"/>
        <v>0</v>
      </c>
    </row>
    <row r="120" spans="1:37" ht="15.75" thickBot="1" x14ac:dyDescent="0.3">
      <c r="A120" s="119" t="s">
        <v>128</v>
      </c>
      <c r="B120" s="105"/>
      <c r="C120" s="105">
        <v>38.4</v>
      </c>
      <c r="D120" s="105">
        <v>37.4</v>
      </c>
      <c r="E120" s="105">
        <v>38</v>
      </c>
      <c r="F120" s="105"/>
      <c r="G120" s="105">
        <v>25</v>
      </c>
      <c r="H120" s="105">
        <v>23</v>
      </c>
      <c r="I120" s="105">
        <v>27</v>
      </c>
      <c r="J120" s="105">
        <v>29</v>
      </c>
      <c r="K120" s="105"/>
      <c r="L120" s="105"/>
      <c r="M120" s="105">
        <v>66.099999999999994</v>
      </c>
      <c r="N120" s="105">
        <v>47.7</v>
      </c>
      <c r="O120" s="105">
        <v>50.9</v>
      </c>
      <c r="P120" s="105">
        <v>50.3</v>
      </c>
      <c r="Q120" s="105">
        <v>57.7</v>
      </c>
      <c r="R120" s="105">
        <v>62.1</v>
      </c>
      <c r="S120" s="105">
        <v>61.1</v>
      </c>
      <c r="T120" s="105">
        <v>69</v>
      </c>
      <c r="U120" s="105">
        <v>48.2</v>
      </c>
      <c r="V120" s="105">
        <v>57.9</v>
      </c>
      <c r="W120" s="105">
        <v>49.4</v>
      </c>
      <c r="X120" s="105">
        <v>40.299999999999997</v>
      </c>
      <c r="Y120" s="105"/>
      <c r="Z120" s="105">
        <v>55.2</v>
      </c>
      <c r="AA120" s="105">
        <v>54.7</v>
      </c>
      <c r="AB120" s="105">
        <v>71.8</v>
      </c>
      <c r="AC120" s="105">
        <v>53</v>
      </c>
      <c r="AD120" s="105">
        <v>53</v>
      </c>
      <c r="AE120" s="105">
        <v>59</v>
      </c>
      <c r="AF120" s="105">
        <v>53</v>
      </c>
      <c r="AG120" s="118"/>
      <c r="AH120" s="47">
        <f t="shared" si="19"/>
        <v>71.8</v>
      </c>
      <c r="AI120" s="48">
        <f t="shared" si="20"/>
        <v>23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34">SUM(B122:B226)</f>
        <v>0</v>
      </c>
      <c r="C227" s="136">
        <f t="shared" si="34"/>
        <v>0</v>
      </c>
      <c r="D227" s="136">
        <f t="shared" si="34"/>
        <v>0</v>
      </c>
      <c r="E227" s="136">
        <f t="shared" si="34"/>
        <v>0</v>
      </c>
      <c r="F227" s="136">
        <f t="shared" si="34"/>
        <v>0</v>
      </c>
      <c r="G227" s="136">
        <f t="shared" si="34"/>
        <v>0</v>
      </c>
      <c r="H227" s="136">
        <f t="shared" si="34"/>
        <v>0</v>
      </c>
      <c r="I227" s="136">
        <f t="shared" si="34"/>
        <v>0</v>
      </c>
      <c r="J227" s="136">
        <f t="shared" si="34"/>
        <v>0</v>
      </c>
      <c r="K227" s="136">
        <f t="shared" si="34"/>
        <v>0</v>
      </c>
      <c r="L227" s="136">
        <f t="shared" si="34"/>
        <v>0</v>
      </c>
      <c r="M227" s="136">
        <f t="shared" si="34"/>
        <v>0</v>
      </c>
      <c r="N227" s="136">
        <f t="shared" si="34"/>
        <v>0</v>
      </c>
      <c r="O227" s="136">
        <f t="shared" si="34"/>
        <v>0</v>
      </c>
      <c r="P227" s="136">
        <f t="shared" si="34"/>
        <v>0</v>
      </c>
      <c r="Q227" s="136">
        <f t="shared" si="34"/>
        <v>0</v>
      </c>
      <c r="R227" s="136">
        <f t="shared" si="34"/>
        <v>0</v>
      </c>
      <c r="S227" s="136">
        <f t="shared" si="34"/>
        <v>0</v>
      </c>
      <c r="T227" s="136">
        <f t="shared" si="34"/>
        <v>0</v>
      </c>
      <c r="U227" s="136">
        <f t="shared" si="34"/>
        <v>0</v>
      </c>
      <c r="V227" s="136">
        <f t="shared" si="34"/>
        <v>0</v>
      </c>
      <c r="W227" s="136">
        <f t="shared" si="34"/>
        <v>0</v>
      </c>
      <c r="X227" s="136">
        <f t="shared" si="34"/>
        <v>0</v>
      </c>
      <c r="Y227" s="136">
        <f t="shared" si="34"/>
        <v>0</v>
      </c>
      <c r="Z227" s="136">
        <f t="shared" si="34"/>
        <v>0</v>
      </c>
      <c r="AA227" s="136">
        <f t="shared" si="34"/>
        <v>0</v>
      </c>
      <c r="AB227" s="136">
        <f t="shared" si="34"/>
        <v>0</v>
      </c>
      <c r="AC227" s="136">
        <f t="shared" si="34"/>
        <v>0</v>
      </c>
      <c r="AD227" s="136">
        <f t="shared" si="34"/>
        <v>0</v>
      </c>
      <c r="AE227" s="136">
        <f t="shared" si="34"/>
        <v>0</v>
      </c>
      <c r="AF227" s="137">
        <f t="shared" si="34"/>
        <v>0</v>
      </c>
      <c r="AG227" s="138">
        <f t="shared" si="34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35">AF229</f>
        <v>0</v>
      </c>
      <c r="C229" s="140">
        <v>0.3</v>
      </c>
      <c r="D229" s="140">
        <f t="shared" ref="D229:P234" si="36">C229</f>
        <v>0.3</v>
      </c>
      <c r="E229" s="140">
        <f t="shared" si="36"/>
        <v>0.3</v>
      </c>
      <c r="F229" s="140">
        <f t="shared" si="36"/>
        <v>0.3</v>
      </c>
      <c r="G229" s="140">
        <f t="shared" si="36"/>
        <v>0.3</v>
      </c>
      <c r="H229" s="140">
        <f t="shared" si="36"/>
        <v>0.3</v>
      </c>
      <c r="I229" s="140">
        <f t="shared" si="36"/>
        <v>0.3</v>
      </c>
      <c r="J229" s="140">
        <f t="shared" si="36"/>
        <v>0.3</v>
      </c>
      <c r="K229" s="140">
        <f t="shared" si="36"/>
        <v>0.3</v>
      </c>
      <c r="L229" s="140">
        <f t="shared" si="36"/>
        <v>0.3</v>
      </c>
      <c r="M229" s="140">
        <f t="shared" si="36"/>
        <v>0.3</v>
      </c>
      <c r="N229" s="140">
        <f t="shared" si="36"/>
        <v>0.3</v>
      </c>
      <c r="O229" s="140">
        <f t="shared" si="36"/>
        <v>0.3</v>
      </c>
      <c r="P229" s="140">
        <f t="shared" si="36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35"/>
        <v>0</v>
      </c>
      <c r="C230" s="128">
        <v>0.4</v>
      </c>
      <c r="D230" s="128">
        <f t="shared" si="36"/>
        <v>0.4</v>
      </c>
      <c r="E230" s="128">
        <f t="shared" si="36"/>
        <v>0.4</v>
      </c>
      <c r="F230" s="128">
        <f t="shared" si="36"/>
        <v>0.4</v>
      </c>
      <c r="G230" s="128">
        <f t="shared" si="36"/>
        <v>0.4</v>
      </c>
      <c r="H230" s="128">
        <f t="shared" si="36"/>
        <v>0.4</v>
      </c>
      <c r="I230" s="128">
        <f t="shared" si="36"/>
        <v>0.4</v>
      </c>
      <c r="J230" s="128">
        <f t="shared" si="36"/>
        <v>0.4</v>
      </c>
      <c r="K230" s="128">
        <f t="shared" si="36"/>
        <v>0.4</v>
      </c>
      <c r="L230" s="128">
        <f t="shared" si="36"/>
        <v>0.4</v>
      </c>
      <c r="M230" s="128">
        <f t="shared" si="36"/>
        <v>0.4</v>
      </c>
      <c r="N230" s="128">
        <f t="shared" si="36"/>
        <v>0.4</v>
      </c>
      <c r="O230" s="128">
        <f t="shared" si="36"/>
        <v>0.4</v>
      </c>
      <c r="P230" s="128">
        <f t="shared" si="36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35"/>
        <v>0</v>
      </c>
      <c r="C231" s="128">
        <v>1.5</v>
      </c>
      <c r="D231" s="128">
        <f t="shared" si="36"/>
        <v>1.5</v>
      </c>
      <c r="E231" s="128">
        <f t="shared" si="36"/>
        <v>1.5</v>
      </c>
      <c r="F231" s="128">
        <f t="shared" si="36"/>
        <v>1.5</v>
      </c>
      <c r="G231" s="128">
        <f t="shared" si="36"/>
        <v>1.5</v>
      </c>
      <c r="H231" s="128">
        <f t="shared" si="36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36"/>
        <v>123.21900000000009</v>
      </c>
      <c r="K231" s="128">
        <f t="shared" ca="1" si="36"/>
        <v>123.21900000000009</v>
      </c>
      <c r="L231" s="128">
        <f t="shared" ca="1" si="36"/>
        <v>123.21900000000009</v>
      </c>
      <c r="M231" s="128">
        <f t="shared" ca="1" si="36"/>
        <v>119.19900000000008</v>
      </c>
      <c r="N231" s="128">
        <f t="shared" ca="1" si="36"/>
        <v>119.19900000000008</v>
      </c>
      <c r="O231" s="128">
        <f t="shared" ca="1" si="36"/>
        <v>119.19900000000008</v>
      </c>
      <c r="P231" s="128">
        <f t="shared" ca="1" si="36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35"/>
        <v>0</v>
      </c>
      <c r="C232" s="128">
        <v>0.3</v>
      </c>
      <c r="D232" s="128">
        <f t="shared" si="36"/>
        <v>0.3</v>
      </c>
      <c r="E232" s="128">
        <f t="shared" si="36"/>
        <v>0.3</v>
      </c>
      <c r="F232" s="128">
        <f t="shared" si="36"/>
        <v>0.3</v>
      </c>
      <c r="G232" s="128">
        <f t="shared" si="36"/>
        <v>0.3</v>
      </c>
      <c r="H232" s="128">
        <f t="shared" si="36"/>
        <v>0.3</v>
      </c>
      <c r="I232" s="128">
        <f t="shared" si="36"/>
        <v>0.3</v>
      </c>
      <c r="J232" s="128">
        <f t="shared" si="36"/>
        <v>0.3</v>
      </c>
      <c r="K232" s="128">
        <f t="shared" si="36"/>
        <v>0.3</v>
      </c>
      <c r="L232" s="128">
        <f t="shared" si="36"/>
        <v>0.3</v>
      </c>
      <c r="M232" s="128">
        <f t="shared" si="36"/>
        <v>0.3</v>
      </c>
      <c r="N232" s="128">
        <f t="shared" si="36"/>
        <v>0.3</v>
      </c>
      <c r="O232" s="128">
        <f t="shared" si="36"/>
        <v>0.3</v>
      </c>
      <c r="P232" s="128">
        <f t="shared" si="36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35"/>
        <v>0</v>
      </c>
      <c r="C233" s="128">
        <v>0.4</v>
      </c>
      <c r="D233" s="128">
        <f t="shared" si="36"/>
        <v>0.4</v>
      </c>
      <c r="E233" s="128">
        <f t="shared" si="36"/>
        <v>0.4</v>
      </c>
      <c r="F233" s="128">
        <f t="shared" si="36"/>
        <v>0.4</v>
      </c>
      <c r="G233" s="128">
        <f t="shared" si="36"/>
        <v>0.4</v>
      </c>
      <c r="H233" s="128">
        <f t="shared" si="36"/>
        <v>0.4</v>
      </c>
      <c r="I233" s="128">
        <f t="shared" si="36"/>
        <v>0.4</v>
      </c>
      <c r="J233" s="128">
        <f t="shared" si="36"/>
        <v>0.4</v>
      </c>
      <c r="K233" s="128">
        <f t="shared" si="36"/>
        <v>0.4</v>
      </c>
      <c r="L233" s="128">
        <f t="shared" si="36"/>
        <v>0.4</v>
      </c>
      <c r="M233" s="128">
        <f t="shared" si="36"/>
        <v>0.4</v>
      </c>
      <c r="N233" s="128">
        <f t="shared" si="36"/>
        <v>0.4</v>
      </c>
      <c r="O233" s="128">
        <f t="shared" si="36"/>
        <v>0.4</v>
      </c>
      <c r="P233" s="128">
        <f t="shared" si="36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35"/>
        <v>0</v>
      </c>
      <c r="C234" s="132">
        <v>0.64</v>
      </c>
      <c r="D234" s="132">
        <f t="shared" si="36"/>
        <v>0.64</v>
      </c>
      <c r="E234" s="132">
        <f t="shared" si="36"/>
        <v>0.64</v>
      </c>
      <c r="F234" s="132">
        <f t="shared" si="36"/>
        <v>0.64</v>
      </c>
      <c r="G234" s="132">
        <f t="shared" si="36"/>
        <v>0.64</v>
      </c>
      <c r="H234" s="132">
        <f t="shared" si="36"/>
        <v>0.64</v>
      </c>
      <c r="I234" s="132">
        <f t="shared" si="36"/>
        <v>0.64</v>
      </c>
      <c r="J234" s="132">
        <f t="shared" si="36"/>
        <v>0.64</v>
      </c>
      <c r="K234" s="132">
        <f t="shared" si="36"/>
        <v>0.64</v>
      </c>
      <c r="L234" s="132">
        <f t="shared" si="36"/>
        <v>0.64</v>
      </c>
      <c r="M234" s="132">
        <f t="shared" si="36"/>
        <v>0.64</v>
      </c>
      <c r="N234" s="132">
        <f t="shared" si="36"/>
        <v>0.64</v>
      </c>
      <c r="O234" s="132">
        <f t="shared" si="36"/>
        <v>0.64</v>
      </c>
      <c r="P234" s="132">
        <f t="shared" si="36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37">SUM(B229:B234)</f>
        <v>0</v>
      </c>
      <c r="C235" s="136">
        <f t="shared" si="37"/>
        <v>3.54</v>
      </c>
      <c r="D235" s="136">
        <f t="shared" si="37"/>
        <v>3.54</v>
      </c>
      <c r="E235" s="136">
        <f t="shared" si="37"/>
        <v>3.54</v>
      </c>
      <c r="F235" s="136">
        <f t="shared" si="37"/>
        <v>3.54</v>
      </c>
      <c r="G235" s="136">
        <f t="shared" si="37"/>
        <v>3.54</v>
      </c>
      <c r="H235" s="136">
        <f t="shared" si="37"/>
        <v>3.54</v>
      </c>
      <c r="I235" s="136">
        <f t="shared" ca="1" si="37"/>
        <v>121.23900000000009</v>
      </c>
      <c r="J235" s="136">
        <f t="shared" ca="1" si="37"/>
        <v>121.23900000000009</v>
      </c>
      <c r="K235" s="136">
        <f t="shared" ca="1" si="37"/>
        <v>121.23900000000009</v>
      </c>
      <c r="L235" s="136">
        <f t="shared" ca="1" si="37"/>
        <v>125.2590000000001</v>
      </c>
      <c r="M235" s="136">
        <f t="shared" ca="1" si="37"/>
        <v>121.23900000000009</v>
      </c>
      <c r="N235" s="136">
        <f t="shared" ca="1" si="37"/>
        <v>121.23900000000009</v>
      </c>
      <c r="O235" s="136">
        <f t="shared" ca="1" si="37"/>
        <v>121.23900000000009</v>
      </c>
      <c r="P235" s="136">
        <f t="shared" ca="1" si="37"/>
        <v>121.23900000000009</v>
      </c>
      <c r="Q235" s="136">
        <f t="shared" si="37"/>
        <v>0</v>
      </c>
      <c r="R235" s="136">
        <f t="shared" si="37"/>
        <v>0</v>
      </c>
      <c r="S235" s="136">
        <f t="shared" si="37"/>
        <v>0</v>
      </c>
      <c r="T235" s="136">
        <f t="shared" si="37"/>
        <v>0</v>
      </c>
      <c r="U235" s="136">
        <f t="shared" si="37"/>
        <v>0</v>
      </c>
      <c r="V235" s="136">
        <f t="shared" si="37"/>
        <v>0</v>
      </c>
      <c r="W235" s="136">
        <f t="shared" si="37"/>
        <v>0</v>
      </c>
      <c r="X235" s="136">
        <f t="shared" si="37"/>
        <v>0</v>
      </c>
      <c r="Y235" s="136">
        <f t="shared" si="37"/>
        <v>0</v>
      </c>
      <c r="Z235" s="136">
        <f t="shared" si="37"/>
        <v>0</v>
      </c>
      <c r="AA235" s="136">
        <f t="shared" si="37"/>
        <v>0</v>
      </c>
      <c r="AB235" s="136">
        <f t="shared" si="37"/>
        <v>0</v>
      </c>
      <c r="AC235" s="136">
        <f t="shared" si="37"/>
        <v>0</v>
      </c>
      <c r="AD235" s="136">
        <f t="shared" si="37"/>
        <v>0</v>
      </c>
      <c r="AE235" s="136">
        <f t="shared" si="37"/>
        <v>0</v>
      </c>
      <c r="AF235" s="136">
        <f t="shared" si="37"/>
        <v>0</v>
      </c>
      <c r="AG235" s="145">
        <f t="shared" si="37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2030.04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7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2080/04/7)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2080/04/7)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38">B91</f>
        <v>1916.2400000000002</v>
      </c>
      <c r="U249" s="170">
        <f t="shared" si="38"/>
        <v>1891.64</v>
      </c>
      <c r="V249" s="170">
        <f t="shared" si="38"/>
        <v>1890.64</v>
      </c>
      <c r="W249" s="170">
        <f t="shared" si="38"/>
        <v>1881.14</v>
      </c>
      <c r="X249" s="170">
        <f t="shared" si="38"/>
        <v>946.54</v>
      </c>
      <c r="Y249" s="170">
        <f t="shared" si="38"/>
        <v>1868.6400000000003</v>
      </c>
      <c r="Z249" s="170">
        <f t="shared" si="38"/>
        <v>1858.9400000000003</v>
      </c>
      <c r="AA249" s="170">
        <f t="shared" si="38"/>
        <v>1854.3400000000001</v>
      </c>
      <c r="AB249" s="170">
        <f t="shared" si="38"/>
        <v>1888.7400000000002</v>
      </c>
      <c r="AC249" s="170">
        <f t="shared" si="38"/>
        <v>3.54</v>
      </c>
      <c r="AD249" s="170">
        <f t="shared" si="38"/>
        <v>3.54</v>
      </c>
      <c r="AE249" s="170">
        <f t="shared" si="38"/>
        <v>2003.0400000000004</v>
      </c>
      <c r="AF249" s="170">
        <f t="shared" si="38"/>
        <v>2030.04</v>
      </c>
      <c r="AG249" s="170">
        <f t="shared" si="38"/>
        <v>2066.7399999999998</v>
      </c>
      <c r="AH249" s="170">
        <f t="shared" si="38"/>
        <v>2066.04</v>
      </c>
      <c r="AI249" s="170">
        <f t="shared" si="38"/>
        <v>2093.84</v>
      </c>
      <c r="AJ249" s="170">
        <f t="shared" si="38"/>
        <v>2091.34</v>
      </c>
      <c r="AK249" s="170">
        <f t="shared" si="38"/>
        <v>2092.04</v>
      </c>
      <c r="AL249" s="170">
        <f t="shared" si="38"/>
        <v>2077.44</v>
      </c>
      <c r="AM249" s="170">
        <f t="shared" si="38"/>
        <v>1977.3400000000001</v>
      </c>
      <c r="AN249" s="170">
        <f t="shared" si="38"/>
        <v>1961.6400000000003</v>
      </c>
      <c r="AO249" s="170">
        <f t="shared" si="38"/>
        <v>1961.14</v>
      </c>
      <c r="AP249" s="170">
        <f t="shared" si="38"/>
        <v>1948.7400000000002</v>
      </c>
      <c r="AQ249" s="170">
        <f t="shared" si="38"/>
        <v>3.54</v>
      </c>
      <c r="AR249" s="170">
        <f t="shared" si="38"/>
        <v>1922.2400000000002</v>
      </c>
      <c r="AS249" s="170">
        <f t="shared" si="38"/>
        <v>2007.64</v>
      </c>
      <c r="AT249" s="170">
        <f t="shared" si="38"/>
        <v>2062.14</v>
      </c>
      <c r="AU249" s="170">
        <f t="shared" si="38"/>
        <v>2087.7399999999998</v>
      </c>
      <c r="AV249" s="170">
        <f t="shared" si="38"/>
        <v>2087.7399999999998</v>
      </c>
      <c r="AW249" s="170">
        <f t="shared" si="38"/>
        <v>2084.7399999999998</v>
      </c>
      <c r="AX249" s="170">
        <f t="shared" si="38"/>
        <v>2031.4399999999998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39">C234</f>
        <v>0.64</v>
      </c>
      <c r="C270" s="173">
        <f t="shared" si="39"/>
        <v>0.64</v>
      </c>
      <c r="D270" s="173">
        <f t="shared" si="39"/>
        <v>0.64</v>
      </c>
      <c r="E270" s="173">
        <f t="shared" si="39"/>
        <v>0.64</v>
      </c>
      <c r="F270" s="173">
        <f t="shared" si="39"/>
        <v>0.64</v>
      </c>
      <c r="G270" s="173">
        <f t="shared" si="39"/>
        <v>0.64</v>
      </c>
      <c r="H270" s="173">
        <f t="shared" si="39"/>
        <v>0.64</v>
      </c>
      <c r="I270" s="173">
        <f t="shared" si="39"/>
        <v>0.64</v>
      </c>
      <c r="J270" s="173">
        <f t="shared" si="39"/>
        <v>0.64</v>
      </c>
      <c r="K270" s="173">
        <f t="shared" si="39"/>
        <v>0.64</v>
      </c>
      <c r="L270" s="173">
        <f t="shared" si="39"/>
        <v>0.64</v>
      </c>
      <c r="M270" s="173">
        <f t="shared" si="39"/>
        <v>0.64</v>
      </c>
      <c r="N270" s="173">
        <f t="shared" si="39"/>
        <v>0.64</v>
      </c>
      <c r="O270" s="173">
        <f t="shared" si="39"/>
        <v>0.64</v>
      </c>
      <c r="P270" s="173">
        <f t="shared" si="39"/>
        <v>0</v>
      </c>
      <c r="Q270" s="173">
        <f t="shared" si="39"/>
        <v>0</v>
      </c>
      <c r="R270" s="173">
        <f t="shared" si="39"/>
        <v>0</v>
      </c>
      <c r="S270" s="173">
        <f t="shared" si="39"/>
        <v>0</v>
      </c>
      <c r="T270" s="173">
        <f t="shared" si="39"/>
        <v>0</v>
      </c>
      <c r="U270" s="173">
        <f t="shared" si="39"/>
        <v>0</v>
      </c>
      <c r="V270" s="173">
        <f t="shared" si="39"/>
        <v>0</v>
      </c>
      <c r="W270" s="173">
        <f t="shared" si="39"/>
        <v>0</v>
      </c>
      <c r="X270" s="173">
        <f t="shared" si="39"/>
        <v>0</v>
      </c>
      <c r="Y270" s="173">
        <f t="shared" si="39"/>
        <v>0</v>
      </c>
      <c r="Z270" s="173">
        <f t="shared" si="39"/>
        <v>0</v>
      </c>
      <c r="AA270" s="173">
        <f t="shared" si="39"/>
        <v>0</v>
      </c>
      <c r="AB270" s="173">
        <f t="shared" si="39"/>
        <v>0</v>
      </c>
      <c r="AC270" s="173">
        <f t="shared" si="39"/>
        <v>0</v>
      </c>
      <c r="AD270" s="173">
        <f t="shared" si="39"/>
        <v>0</v>
      </c>
      <c r="AE270" s="173">
        <f t="shared" si="39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40">IF(B238&lt;100,"",B238-520)</f>
        <v/>
      </c>
      <c r="C271" s="174" t="str">
        <f t="shared" si="40"/>
        <v/>
      </c>
      <c r="D271" s="174" t="str">
        <f t="shared" si="40"/>
        <v/>
      </c>
      <c r="E271" s="174" t="str">
        <f t="shared" si="40"/>
        <v/>
      </c>
      <c r="F271" s="174" t="str">
        <f t="shared" si="40"/>
        <v/>
      </c>
      <c r="G271" s="174" t="str">
        <f t="shared" si="40"/>
        <v/>
      </c>
      <c r="H271" s="174" t="str">
        <f t="shared" si="40"/>
        <v/>
      </c>
      <c r="I271" s="174" t="str">
        <f t="shared" si="40"/>
        <v/>
      </c>
      <c r="J271" s="174" t="str">
        <f t="shared" si="40"/>
        <v/>
      </c>
      <c r="K271" s="174" t="str">
        <f t="shared" si="40"/>
        <v/>
      </c>
      <c r="L271" s="174" t="str">
        <f t="shared" si="40"/>
        <v/>
      </c>
      <c r="M271" s="174" t="str">
        <f t="shared" si="40"/>
        <v/>
      </c>
      <c r="N271" s="174" t="str">
        <f t="shared" si="40"/>
        <v/>
      </c>
      <c r="O271" s="174" t="str">
        <f t="shared" si="40"/>
        <v/>
      </c>
      <c r="P271" s="174" t="str">
        <f t="shared" si="40"/>
        <v/>
      </c>
      <c r="Q271" s="174" t="str">
        <f t="shared" si="40"/>
        <v/>
      </c>
      <c r="R271" s="174" t="str">
        <f t="shared" si="40"/>
        <v/>
      </c>
      <c r="S271" s="174" t="str">
        <f t="shared" si="40"/>
        <v/>
      </c>
      <c r="T271" s="174" t="str">
        <f t="shared" si="40"/>
        <v/>
      </c>
      <c r="U271" s="174" t="str">
        <f t="shared" si="40"/>
        <v/>
      </c>
      <c r="V271" s="174" t="str">
        <f t="shared" si="40"/>
        <v/>
      </c>
      <c r="W271" s="174" t="str">
        <f t="shared" si="40"/>
        <v/>
      </c>
      <c r="X271" s="174" t="str">
        <f t="shared" si="40"/>
        <v/>
      </c>
      <c r="Y271" s="174" t="str">
        <f t="shared" si="40"/>
        <v/>
      </c>
      <c r="Z271" s="174" t="str">
        <f t="shared" si="40"/>
        <v/>
      </c>
      <c r="AA271" s="174" t="str">
        <f t="shared" si="40"/>
        <v/>
      </c>
      <c r="AB271" s="174" t="str">
        <f t="shared" si="40"/>
        <v/>
      </c>
      <c r="AC271" s="174" t="str">
        <f t="shared" si="40"/>
        <v/>
      </c>
      <c r="AD271" s="174" t="str">
        <f t="shared" si="40"/>
        <v/>
      </c>
      <c r="AE271" s="174" t="str">
        <f t="shared" si="40"/>
        <v/>
      </c>
      <c r="AF271" s="174" t="str">
        <f t="shared" si="40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41">IF(B239&lt;100,"",B239-620)</f>
        <v/>
      </c>
      <c r="C272" s="174" t="str">
        <f t="shared" si="41"/>
        <v/>
      </c>
      <c r="D272" s="174" t="str">
        <f t="shared" si="41"/>
        <v/>
      </c>
      <c r="E272" s="174" t="str">
        <f t="shared" si="41"/>
        <v/>
      </c>
      <c r="F272" s="174" t="str">
        <f t="shared" si="41"/>
        <v/>
      </c>
      <c r="G272" s="174" t="str">
        <f t="shared" si="41"/>
        <v/>
      </c>
      <c r="H272" s="174" t="str">
        <f t="shared" si="41"/>
        <v/>
      </c>
      <c r="I272" s="174" t="str">
        <f t="shared" si="41"/>
        <v/>
      </c>
      <c r="J272" s="174" t="str">
        <f t="shared" si="41"/>
        <v/>
      </c>
      <c r="K272" s="174" t="str">
        <f t="shared" si="41"/>
        <v/>
      </c>
      <c r="L272" s="174" t="str">
        <f t="shared" si="41"/>
        <v/>
      </c>
      <c r="M272" s="174" t="str">
        <f t="shared" si="41"/>
        <v/>
      </c>
      <c r="N272" s="174" t="str">
        <f t="shared" si="41"/>
        <v/>
      </c>
      <c r="O272" s="174" t="str">
        <f t="shared" si="41"/>
        <v/>
      </c>
      <c r="P272" s="174" t="str">
        <f t="shared" si="41"/>
        <v/>
      </c>
      <c r="Q272" s="174" t="str">
        <f t="shared" si="41"/>
        <v/>
      </c>
      <c r="R272" s="174" t="str">
        <f t="shared" si="41"/>
        <v/>
      </c>
      <c r="S272" s="174" t="str">
        <f t="shared" si="41"/>
        <v/>
      </c>
      <c r="T272" s="174" t="str">
        <f t="shared" si="41"/>
        <v/>
      </c>
      <c r="U272" s="174" t="str">
        <f t="shared" si="41"/>
        <v/>
      </c>
      <c r="V272" s="174" t="str">
        <f t="shared" si="41"/>
        <v/>
      </c>
      <c r="W272" s="174" t="str">
        <f t="shared" si="41"/>
        <v/>
      </c>
      <c r="X272" s="174" t="str">
        <f t="shared" si="41"/>
        <v/>
      </c>
      <c r="Y272" s="174" t="str">
        <f t="shared" si="41"/>
        <v/>
      </c>
      <c r="Z272" s="174" t="str">
        <f t="shared" si="41"/>
        <v/>
      </c>
      <c r="AA272" s="174" t="str">
        <f t="shared" si="41"/>
        <v/>
      </c>
      <c r="AB272" s="174" t="str">
        <f t="shared" si="41"/>
        <v/>
      </c>
      <c r="AC272" s="174" t="str">
        <f t="shared" si="41"/>
        <v/>
      </c>
      <c r="AD272" s="174" t="str">
        <f t="shared" si="41"/>
        <v/>
      </c>
      <c r="AE272" s="174" t="str">
        <f t="shared" si="41"/>
        <v/>
      </c>
      <c r="AF272" s="174" t="str">
        <f t="shared" si="41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42">IF(B240&lt;100,"",B240-330)</f>
        <v/>
      </c>
      <c r="C273" s="174" t="str">
        <f t="shared" si="42"/>
        <v/>
      </c>
      <c r="D273" s="174" t="str">
        <f t="shared" si="42"/>
        <v/>
      </c>
      <c r="E273" s="174" t="str">
        <f t="shared" si="42"/>
        <v/>
      </c>
      <c r="F273" s="174" t="str">
        <f t="shared" si="42"/>
        <v/>
      </c>
      <c r="G273" s="174" t="str">
        <f t="shared" si="42"/>
        <v/>
      </c>
      <c r="H273" s="174" t="str">
        <f t="shared" si="42"/>
        <v/>
      </c>
      <c r="I273" s="174" t="str">
        <f t="shared" si="42"/>
        <v/>
      </c>
      <c r="J273" s="174" t="str">
        <f t="shared" si="42"/>
        <v/>
      </c>
      <c r="K273" s="174" t="str">
        <f t="shared" si="42"/>
        <v/>
      </c>
      <c r="L273" s="174" t="str">
        <f t="shared" si="42"/>
        <v/>
      </c>
      <c r="M273" s="174" t="str">
        <f t="shared" si="42"/>
        <v/>
      </c>
      <c r="N273" s="174" t="str">
        <f t="shared" si="42"/>
        <v/>
      </c>
      <c r="O273" s="174" t="str">
        <f t="shared" si="42"/>
        <v/>
      </c>
      <c r="P273" s="174" t="str">
        <f t="shared" si="42"/>
        <v/>
      </c>
      <c r="Q273" s="174" t="str">
        <f t="shared" si="42"/>
        <v/>
      </c>
      <c r="R273" s="174" t="str">
        <f t="shared" si="42"/>
        <v/>
      </c>
      <c r="S273" s="174" t="str">
        <f t="shared" si="42"/>
        <v/>
      </c>
      <c r="T273" s="174" t="str">
        <f t="shared" si="42"/>
        <v/>
      </c>
      <c r="U273" s="174" t="str">
        <f t="shared" si="42"/>
        <v/>
      </c>
      <c r="V273" s="174" t="str">
        <f t="shared" si="42"/>
        <v/>
      </c>
      <c r="W273" s="174" t="str">
        <f t="shared" si="42"/>
        <v/>
      </c>
      <c r="X273" s="174" t="str">
        <f t="shared" si="42"/>
        <v/>
      </c>
      <c r="Y273" s="174" t="str">
        <f t="shared" si="42"/>
        <v/>
      </c>
      <c r="Z273" s="174" t="str">
        <f t="shared" si="42"/>
        <v/>
      </c>
      <c r="AA273" s="174" t="str">
        <f t="shared" si="42"/>
        <v/>
      </c>
      <c r="AB273" s="174" t="str">
        <f t="shared" si="42"/>
        <v/>
      </c>
      <c r="AC273" s="174" t="str">
        <f t="shared" si="42"/>
        <v/>
      </c>
      <c r="AD273" s="174" t="str">
        <f t="shared" si="42"/>
        <v/>
      </c>
      <c r="AE273" s="174" t="str">
        <f t="shared" si="42"/>
        <v/>
      </c>
      <c r="AF273" s="174" t="str">
        <f t="shared" si="42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43">IF(B241&lt;100,"",B241-1500)</f>
        <v/>
      </c>
      <c r="C274" s="174" t="str">
        <f t="shared" si="43"/>
        <v/>
      </c>
      <c r="D274" s="174" t="str">
        <f t="shared" si="43"/>
        <v/>
      </c>
      <c r="E274" s="174" t="str">
        <f t="shared" si="43"/>
        <v/>
      </c>
      <c r="F274" s="174" t="str">
        <f t="shared" si="43"/>
        <v/>
      </c>
      <c r="G274" s="174" t="str">
        <f t="shared" si="43"/>
        <v/>
      </c>
      <c r="H274" s="174" t="str">
        <f t="shared" si="43"/>
        <v/>
      </c>
      <c r="I274" s="174" t="str">
        <f t="shared" si="43"/>
        <v/>
      </c>
      <c r="J274" s="174" t="str">
        <f t="shared" si="43"/>
        <v/>
      </c>
      <c r="K274" s="174" t="str">
        <f t="shared" si="43"/>
        <v/>
      </c>
      <c r="L274" s="174" t="str">
        <f t="shared" si="43"/>
        <v/>
      </c>
      <c r="M274" s="174" t="str">
        <f t="shared" si="43"/>
        <v/>
      </c>
      <c r="N274" s="174" t="str">
        <f t="shared" si="43"/>
        <v/>
      </c>
      <c r="O274" s="174" t="str">
        <f t="shared" si="43"/>
        <v/>
      </c>
      <c r="P274" s="174" t="str">
        <f t="shared" si="43"/>
        <v/>
      </c>
      <c r="Q274" s="174" t="str">
        <f t="shared" si="43"/>
        <v/>
      </c>
      <c r="R274" s="174" t="str">
        <f t="shared" si="43"/>
        <v/>
      </c>
      <c r="S274" s="174" t="str">
        <f t="shared" si="43"/>
        <v/>
      </c>
      <c r="T274" s="174" t="str">
        <f t="shared" si="43"/>
        <v/>
      </c>
      <c r="U274" s="174" t="str">
        <f t="shared" si="43"/>
        <v/>
      </c>
      <c r="V274" s="174" t="str">
        <f t="shared" si="43"/>
        <v/>
      </c>
      <c r="W274" s="174" t="str">
        <f t="shared" si="43"/>
        <v/>
      </c>
      <c r="X274" s="174" t="str">
        <f t="shared" si="43"/>
        <v/>
      </c>
      <c r="Y274" s="174" t="str">
        <f t="shared" si="43"/>
        <v/>
      </c>
      <c r="Z274" s="174" t="str">
        <f t="shared" si="43"/>
        <v/>
      </c>
      <c r="AA274" s="174" t="str">
        <f t="shared" si="43"/>
        <v/>
      </c>
      <c r="AB274" s="174" t="str">
        <f t="shared" si="43"/>
        <v/>
      </c>
      <c r="AC274" s="174" t="str">
        <f t="shared" si="43"/>
        <v/>
      </c>
      <c r="AD274" s="174" t="str">
        <f t="shared" si="43"/>
        <v/>
      </c>
      <c r="AE274" s="174" t="str">
        <f t="shared" si="43"/>
        <v/>
      </c>
      <c r="AF274" s="174" t="str">
        <f t="shared" si="43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2349" priority="72">
      <formula>$AH11=0</formula>
    </cfRule>
  </conditionalFormatting>
  <conditionalFormatting sqref="B8 M8 S8 AB8">
    <cfRule type="expression" dxfId="2348" priority="124">
      <formula>AND(C$9&gt;=8/24,C$9&lt;14/24)</formula>
    </cfRule>
    <cfRule type="expression" dxfId="2347" priority="123">
      <formula>AND(C$9&gt;=14/24,C$9&lt;20/24)</formula>
    </cfRule>
    <cfRule type="expression" dxfId="2346" priority="125">
      <formula>C$9&lt;8/24</formula>
    </cfRule>
  </conditionalFormatting>
  <conditionalFormatting sqref="B54:C54">
    <cfRule type="expression" dxfId="2345" priority="46">
      <formula>B$9&gt;=20/24</formula>
    </cfRule>
    <cfRule type="expression" dxfId="2344" priority="47">
      <formula>AND(B$9&gt;=14/24,B$9&lt;20/24)</formula>
    </cfRule>
    <cfRule type="expression" dxfId="2343" priority="48">
      <formula>AND(B$9&gt;=8/24,B$9&lt;14/24)</formula>
    </cfRule>
    <cfRule type="expression" dxfId="2342" priority="49">
      <formula>B$9&lt;8/24</formula>
    </cfRule>
  </conditionalFormatting>
  <conditionalFormatting sqref="B54:C66">
    <cfRule type="expression" dxfId="2341" priority="41">
      <formula>B54&gt;$AG54</formula>
    </cfRule>
  </conditionalFormatting>
  <conditionalFormatting sqref="B55:J59">
    <cfRule type="expression" dxfId="2340" priority="71">
      <formula>B$9&lt;8/24</formula>
    </cfRule>
    <cfRule type="expression" dxfId="2339" priority="70">
      <formula>AND(B$9&gt;=8/24,B$9&lt;14/24)</formula>
    </cfRule>
    <cfRule type="expression" dxfId="2338" priority="69">
      <formula>AND(B$9&gt;=14/24,B$9&lt;20/24)</formula>
    </cfRule>
    <cfRule type="expression" dxfId="2337" priority="68">
      <formula>B$9&gt;=20/24</formula>
    </cfRule>
  </conditionalFormatting>
  <conditionalFormatting sqref="B60:R60">
    <cfRule type="expression" dxfId="2336" priority="61">
      <formula>AND(B$9&gt;=8/24,B$9&lt;14/24)</formula>
    </cfRule>
    <cfRule type="expression" dxfId="2335" priority="60">
      <formula>AND(B$9&gt;=14/24,B$9&lt;20/24)</formula>
    </cfRule>
    <cfRule type="expression" dxfId="2334" priority="62">
      <formula>B$9&lt;8/24</formula>
    </cfRule>
    <cfRule type="expression" dxfId="2333" priority="59">
      <formula>B$9&gt;=20/24</formula>
    </cfRule>
  </conditionalFormatting>
  <conditionalFormatting sqref="B9:AF45">
    <cfRule type="expression" dxfId="2332" priority="34">
      <formula>B$9&lt;8/24</formula>
    </cfRule>
    <cfRule type="expression" dxfId="2331" priority="33">
      <formula>AND(B$9&gt;=8/24,B$9&lt;14/24)</formula>
    </cfRule>
    <cfRule type="expression" dxfId="2330" priority="32">
      <formula>AND(B$9&gt;=14/24,B$9&lt;20/24)</formula>
    </cfRule>
    <cfRule type="expression" dxfId="2329" priority="31">
      <formula>B$9&gt;=20/24</formula>
    </cfRule>
  </conditionalFormatting>
  <conditionalFormatting sqref="B11:AF46">
    <cfRule type="expression" dxfId="2328" priority="30">
      <formula>B11&gt;$AG11</formula>
    </cfRule>
  </conditionalFormatting>
  <conditionalFormatting sqref="B46:AF46">
    <cfRule type="expression" dxfId="2327" priority="27">
      <formula>AND(B$9&gt;=14/24,B$9&lt;20/24)</formula>
    </cfRule>
    <cfRule type="expression" dxfId="2326" priority="28">
      <formula>AND(B$9&gt;=8/24,B$9&lt;14/24)</formula>
    </cfRule>
    <cfRule type="expression" dxfId="2325" priority="29">
      <formula>B$9&lt;8/24</formula>
    </cfRule>
    <cfRule type="expression" dxfId="2324" priority="26">
      <formula>B$9&gt;=20/24</formula>
    </cfRule>
  </conditionalFormatting>
  <conditionalFormatting sqref="B47:AF47">
    <cfRule type="expression" dxfId="2323" priority="40">
      <formula>B47&gt;$AG47</formula>
    </cfRule>
  </conditionalFormatting>
  <conditionalFormatting sqref="B47:AF49">
    <cfRule type="expression" dxfId="2322" priority="36">
      <formula>B$9&gt;=20/24</formula>
    </cfRule>
    <cfRule type="expression" dxfId="2321" priority="37">
      <formula>AND(B$9&gt;=14/24,B$9&lt;20/24)</formula>
    </cfRule>
    <cfRule type="expression" dxfId="2320" priority="38">
      <formula>AND(B$9&gt;=8/24,B$9&lt;14/24)</formula>
    </cfRule>
    <cfRule type="expression" dxfId="2319" priority="39">
      <formula>B$9&lt;8/24</formula>
    </cfRule>
  </conditionalFormatting>
  <conditionalFormatting sqref="B48:AF53">
    <cfRule type="expression" dxfId="2318" priority="35">
      <formula>B48&gt;$AG48</formula>
    </cfRule>
  </conditionalFormatting>
  <conditionalFormatting sqref="B51:AF53">
    <cfRule type="expression" dxfId="2317" priority="56">
      <formula>AND(B$9&gt;=14/24,B$9&lt;20/24)</formula>
    </cfRule>
    <cfRule type="expression" dxfId="2316" priority="57">
      <formula>AND(B$9&gt;=8/24,B$9&lt;14/24)</formula>
    </cfRule>
    <cfRule type="expression" dxfId="2315" priority="58">
      <formula>B$9&lt;8/24</formula>
    </cfRule>
    <cfRule type="expression" dxfId="2314" priority="55">
      <formula>B$9&gt;=20/24</formula>
    </cfRule>
  </conditionalFormatting>
  <conditionalFormatting sqref="B61:AF66">
    <cfRule type="expression" dxfId="2313" priority="45">
      <formula>B$9&lt;8/24</formula>
    </cfRule>
    <cfRule type="expression" dxfId="2312" priority="42">
      <formula>B$9&gt;=20/24</formula>
    </cfRule>
    <cfRule type="expression" dxfId="2311" priority="43">
      <formula>AND(B$9&gt;=14/24,B$9&lt;20/24)</formula>
    </cfRule>
    <cfRule type="expression" dxfId="2310" priority="44">
      <formula>AND(B$9&gt;=8/24,B$9&lt;14/24)</formula>
    </cfRule>
  </conditionalFormatting>
  <conditionalFormatting sqref="B69:AF71">
    <cfRule type="expression" dxfId="2309" priority="63">
      <formula>B69&gt;$AG69</formula>
    </cfRule>
    <cfRule type="expression" dxfId="2308" priority="64">
      <formula>B$9&gt;=20/24</formula>
    </cfRule>
    <cfRule type="expression" dxfId="2307" priority="65">
      <formula>AND(B$9&gt;=14/24,B$9&lt;20/24)</formula>
    </cfRule>
    <cfRule type="expression" dxfId="2306" priority="67">
      <formula>B$9&lt;8/24</formula>
    </cfRule>
    <cfRule type="expression" dxfId="2305" priority="66">
      <formula>AND(B$9&gt;=8/24,B$9&lt;14/24)</formula>
    </cfRule>
  </conditionalFormatting>
  <conditionalFormatting sqref="B73:AF91">
    <cfRule type="expression" dxfId="2304" priority="11">
      <formula>AND(B$9&gt;=8/24,B$9&lt;14/24)</formula>
    </cfRule>
    <cfRule type="expression" dxfId="2303" priority="9">
      <formula>B$9&gt;=20/24</formula>
    </cfRule>
    <cfRule type="expression" dxfId="2302" priority="10">
      <formula>AND(B$9&gt;=14/24,B$9&lt;20/24)</formula>
    </cfRule>
    <cfRule type="expression" dxfId="2301" priority="12">
      <formula>B$9&lt;8/24</formula>
    </cfRule>
  </conditionalFormatting>
  <conditionalFormatting sqref="B111:AF120">
    <cfRule type="expression" dxfId="2300" priority="25">
      <formula>B$9&lt;8/24</formula>
    </cfRule>
    <cfRule type="expression" dxfId="2299" priority="22">
      <formula>B$9&gt;=20/24</formula>
    </cfRule>
    <cfRule type="expression" dxfId="2298" priority="24">
      <formula>AND(B$9&gt;=8/24,B$9&lt;14/24)</formula>
    </cfRule>
    <cfRule type="expression" dxfId="2297" priority="23">
      <formula>AND(B$9&gt;=14/24,B$9&lt;20/24)</formula>
    </cfRule>
  </conditionalFormatting>
  <conditionalFormatting sqref="B227:AF227 D229:AF230 B229:B235 D231:H231 J231:AF231 D232:AF235 U248:AF248">
    <cfRule type="expression" dxfId="2296" priority="116">
      <formula>B$9&gt;=20/24</formula>
    </cfRule>
    <cfRule type="expression" dxfId="2295" priority="117">
      <formula>AND(B$9&gt;=14/24,B$9&lt;20/24)</formula>
    </cfRule>
    <cfRule type="expression" dxfId="2294" priority="118">
      <formula>AND(B$9&gt;=8/24,B$9&lt;14/24)</formula>
    </cfRule>
    <cfRule type="expression" dxfId="2293" priority="119">
      <formula>B$9&lt;8/24</formula>
    </cfRule>
  </conditionalFormatting>
  <conditionalFormatting sqref="B67:AG68 B72:AG72">
    <cfRule type="expression" dxfId="2292" priority="50">
      <formula>B67&gt;$AG67</formula>
    </cfRule>
  </conditionalFormatting>
  <conditionalFormatting sqref="B72:AG72 B93:AF109">
    <cfRule type="expression" dxfId="2291" priority="53">
      <formula>AND(B$9&gt;=8/24,B$9&lt;14/24)</formula>
    </cfRule>
    <cfRule type="expression" dxfId="2290" priority="52">
      <formula>AND(B$9&gt;=14/24,B$9&lt;20/24)</formula>
    </cfRule>
    <cfRule type="expression" dxfId="2289" priority="51">
      <formula>B$9&gt;=20/24</formula>
    </cfRule>
    <cfRule type="expression" dxfId="2288" priority="54">
      <formula>B$9&lt;8/24</formula>
    </cfRule>
  </conditionalFormatting>
  <conditionalFormatting sqref="D55:AF66">
    <cfRule type="expression" dxfId="2287" priority="13">
      <formula>D55&gt;$AG55</formula>
    </cfRule>
  </conditionalFormatting>
  <conditionalFormatting sqref="D54:AG54">
    <cfRule type="expression" dxfId="2286" priority="88">
      <formula>D$9&lt;8/24</formula>
    </cfRule>
    <cfRule type="expression" dxfId="2285" priority="84">
      <formula>D54&gt;$AG54</formula>
    </cfRule>
    <cfRule type="expression" dxfId="2284" priority="85">
      <formula>D$9&gt;=20/24</formula>
    </cfRule>
    <cfRule type="expression" dxfId="2283" priority="86">
      <formula>AND(D$9&gt;=14/24,D$9&lt;20/24)</formula>
    </cfRule>
    <cfRule type="expression" dxfId="2282" priority="87">
      <formula>AND(D$9&gt;=8/24,D$9&lt;14/24)</formula>
    </cfRule>
  </conditionalFormatting>
  <conditionalFormatting sqref="E55:L57">
    <cfRule type="expression" dxfId="2281" priority="97">
      <formula>E$9&gt;=20/24</formula>
    </cfRule>
    <cfRule type="expression" dxfId="2280" priority="99">
      <formula>AND(E$9&gt;=8/24,E$9&lt;14/24)</formula>
    </cfRule>
    <cfRule type="expression" dxfId="2279" priority="100">
      <formula>E$9&lt;8/24</formula>
    </cfRule>
    <cfRule type="expression" dxfId="2278" priority="98">
      <formula>AND(E$9&gt;=14/24,E$9&lt;20/24)</formula>
    </cfRule>
  </conditionalFormatting>
  <conditionalFormatting sqref="M55:M57">
    <cfRule type="expression" dxfId="2277" priority="5">
      <formula>M$9&gt;=20/24</formula>
    </cfRule>
    <cfRule type="expression" dxfId="2276" priority="6">
      <formula>AND(M$9&gt;=14/24,M$9&lt;20/24)</formula>
    </cfRule>
    <cfRule type="expression" dxfId="2275" priority="7">
      <formula>AND(M$9&gt;=8/24,M$9&lt;14/24)</formula>
    </cfRule>
    <cfRule type="expression" dxfId="2274" priority="8">
      <formula>M$9&lt;8/24</formula>
    </cfRule>
  </conditionalFormatting>
  <conditionalFormatting sqref="M55:M59">
    <cfRule type="expression" dxfId="2273" priority="3">
      <formula>AND(M$9&gt;=8/24,M$9&lt;14/24)</formula>
    </cfRule>
    <cfRule type="expression" dxfId="2272" priority="4">
      <formula>M$9&lt;8/24</formula>
    </cfRule>
    <cfRule type="expression" dxfId="2271" priority="1">
      <formula>M$9&gt;=20/24</formula>
    </cfRule>
    <cfRule type="expression" dxfId="2270" priority="2">
      <formula>AND(M$9&gt;=14/24,M$9&lt;20/24)</formula>
    </cfRule>
  </conditionalFormatting>
  <conditionalFormatting sqref="M55:R59">
    <cfRule type="expression" dxfId="2269" priority="103">
      <formula>AND(M$9&gt;=8/24,M$9&lt;14/24)</formula>
    </cfRule>
    <cfRule type="expression" dxfId="2268" priority="104">
      <formula>M$9&lt;8/24</formula>
    </cfRule>
    <cfRule type="expression" dxfId="2267" priority="102">
      <formula>AND(M$9&gt;=14/24,M$9&lt;20/24)</formula>
    </cfRule>
    <cfRule type="expression" dxfId="2266" priority="101">
      <formula>M$9&gt;=20/24</formula>
    </cfRule>
  </conditionalFormatting>
  <conditionalFormatting sqref="O3:P3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265" priority="122">
      <formula>C$9&gt;=20/24</formula>
    </cfRule>
  </conditionalFormatting>
  <conditionalFormatting sqref="S8">
    <cfRule type="expression" dxfId="2264" priority="111">
      <formula>AND(U$9&gt;=8/24,U$9&lt;14/24)</formula>
    </cfRule>
    <cfRule type="expression" dxfId="2263" priority="112">
      <formula>U$9&lt;8/24</formula>
    </cfRule>
    <cfRule type="expression" dxfId="2262" priority="109">
      <formula>U$9&gt;=20/24</formula>
    </cfRule>
    <cfRule type="expression" dxfId="2261" priority="110">
      <formula>AND(U$9&gt;=14/24,U$9&lt;20/24)</formula>
    </cfRule>
  </conditionalFormatting>
  <conditionalFormatting sqref="S55:AF60">
    <cfRule type="expression" dxfId="2260" priority="20">
      <formula>AND(S$9&gt;=8/24,S$9&lt;14/24)</formula>
    </cfRule>
    <cfRule type="expression" dxfId="2259" priority="21">
      <formula>S$9&lt;8/24</formula>
    </cfRule>
    <cfRule type="expression" dxfId="2258" priority="19">
      <formula>AND(S$9&gt;=14/24,S$9&lt;20/24)</formula>
    </cfRule>
    <cfRule type="expression" dxfId="2257" priority="18">
      <formula>S$9&gt;=20/24</formula>
    </cfRule>
  </conditionalFormatting>
  <conditionalFormatting sqref="T248">
    <cfRule type="expression" dxfId="2256" priority="134">
      <formula>AX$9&gt;=20/24</formula>
    </cfRule>
    <cfRule type="expression" dxfId="2255" priority="135">
      <formula>AND(AX$9&gt;=14/24,AX$9&lt;20/24)</formula>
    </cfRule>
    <cfRule type="expression" dxfId="2254" priority="136">
      <formula>AND(AX$9&gt;=8/24,AX$9&lt;14/24)</formula>
    </cfRule>
    <cfRule type="expression" dxfId="2253" priority="137">
      <formula>AX$9&lt;8/24</formula>
    </cfRule>
  </conditionalFormatting>
  <conditionalFormatting sqref="V3 AB3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252" priority="106">
      <formula>AND(AD$9&gt;=14/24,AD$9&lt;20/24)</formula>
    </cfRule>
    <cfRule type="expression" dxfId="2251" priority="107">
      <formula>AND(AD$9&gt;=8/24,AD$9&lt;14/24)</formula>
    </cfRule>
    <cfRule type="expression" dxfId="2250" priority="108">
      <formula>AD$9&lt;8/24</formula>
    </cfRule>
    <cfRule type="expression" dxfId="2249" priority="105">
      <formula>AD$9&gt;=20/24</formula>
    </cfRule>
  </conditionalFormatting>
  <conditionalFormatting sqref="AG50">
    <cfRule type="expression" dxfId="2248" priority="92">
      <formula>AG50&gt;$AG50</formula>
    </cfRule>
  </conditionalFormatting>
  <conditionalFormatting sqref="AG89">
    <cfRule type="expression" dxfId="2247" priority="93">
      <formula>AG$9&gt;=20/24</formula>
    </cfRule>
    <cfRule type="expression" dxfId="2246" priority="94">
      <formula>AND(AG$9&gt;=14/24,AG$9&lt;20/24)</formula>
    </cfRule>
    <cfRule type="expression" dxfId="2245" priority="95">
      <formula>AND(AG$9&gt;=8/24,AG$9&lt;14/24)</formula>
    </cfRule>
    <cfRule type="expression" dxfId="2244" priority="96">
      <formula>AG$9&lt;8/24</formula>
    </cfRule>
  </conditionalFormatting>
  <conditionalFormatting sqref="AG248">
    <cfRule type="expression" dxfId="2243" priority="129">
      <formula>B$9&lt;8/24</formula>
    </cfRule>
    <cfRule type="expression" dxfId="2242" priority="128">
      <formula>AND(B$9&gt;=8/24,B$9&lt;14/24)</formula>
    </cfRule>
    <cfRule type="expression" dxfId="2241" priority="127">
      <formula>AND(B$9&gt;=14/24,B$9&lt;20/24)</formula>
    </cfRule>
    <cfRule type="expression" dxfId="2240" priority="126">
      <formula>B$9&gt;=20/24</formula>
    </cfRule>
  </conditionalFormatting>
  <conditionalFormatting sqref="AH248:AX248">
    <cfRule type="expression" dxfId="2239" priority="133">
      <formula>AG$9&lt;8/24</formula>
    </cfRule>
    <cfRule type="expression" dxfId="2238" priority="132">
      <formula>AND(AG$9&gt;=8/24,AG$9&lt;14/24)</formula>
    </cfRule>
    <cfRule type="expression" dxfId="2237" priority="131">
      <formula>AND(AG$9&gt;=14/24,AG$9&lt;20/24)</formula>
    </cfRule>
    <cfRule type="expression" dxfId="2236" priority="130">
      <formula>AG$9&gt;=20/24</formula>
    </cfRule>
  </conditionalFormatting>
  <conditionalFormatting sqref="AL4:AL6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75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90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7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9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235" priority="139">
      <formula>AJ$9&gt;=20/24</formula>
    </cfRule>
    <cfRule type="expression" dxfId="2234" priority="140">
      <formula>AND(AJ$9&gt;=14/24,AJ$9&lt;20/24)</formula>
    </cfRule>
    <cfRule type="expression" dxfId="2233" priority="141">
      <formula>AND(AJ$9&gt;=8/24,AJ$9&lt;14/24)</formula>
    </cfRule>
    <cfRule type="expression" dxfId="2232" priority="142">
      <formula>AJ$9&lt;8/24</formula>
    </cfRule>
  </conditionalFormatting>
  <conditionalFormatting sqref="AL80:AN80 AL86:AN86">
    <cfRule type="expression" dxfId="2231" priority="83">
      <formula>AL$9&lt;8/24</formula>
    </cfRule>
    <cfRule type="expression" dxfId="2230" priority="82">
      <formula>AND(AL$9&gt;=8/24,AL$9&lt;14/24)</formula>
    </cfRule>
    <cfRule type="expression" dxfId="2229" priority="81">
      <formula>AND(AL$9&gt;=14/24,AL$9&lt;20/24)</formula>
    </cfRule>
    <cfRule type="expression" dxfId="2228" priority="80">
      <formula>AL$9&gt;=20/24</formula>
    </cfRule>
  </conditionalFormatting>
  <conditionalFormatting sqref="AN81:AN84">
    <cfRule type="expression" dxfId="2227" priority="79">
      <formula>AN$9&lt;8/24</formula>
    </cfRule>
    <cfRule type="expression" dxfId="2226" priority="76">
      <formula>AN$9&gt;=20/24</formula>
    </cfRule>
    <cfRule type="expression" dxfId="2225" priority="77">
      <formula>AND(AN$9&gt;=14/24,AN$9&lt;20/24)</formula>
    </cfRule>
    <cfRule type="expression" dxfId="2224" priority="78">
      <formula>AND(AN$9&gt;=8/24,AN$9&lt;14/24)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0D23-5AA1-412D-BA83-B63869500EB6}">
  <dimension ref="A1:CJ281"/>
  <sheetViews>
    <sheetView zoomScaleNormal="100" zoomScaleSheetLayoutView="110"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L54" sqref="AL5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85546875" style="1" customWidth="1"/>
    <col min="4" max="4" width="7" style="1" customWidth="1"/>
    <col min="5" max="9" width="6.42578125" style="1" bestFit="1" customWidth="1"/>
    <col min="10" max="10" width="8.28515625" style="1" customWidth="1"/>
    <col min="11" max="11" width="8" style="1" customWidth="1"/>
    <col min="12" max="12" width="7.42578125" style="1" customWidth="1"/>
    <col min="13" max="15" width="6.5703125" style="1" bestFit="1" customWidth="1"/>
    <col min="16" max="16" width="6.7109375" style="1" customWidth="1"/>
    <col min="17" max="17" width="7.140625" style="1" customWidth="1"/>
    <col min="18" max="18" width="6.8554687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2080/04/8</v>
      </c>
      <c r="C4" s="203"/>
      <c r="D4" s="203"/>
      <c r="E4" s="204" t="str">
        <f ca="1">"2079/"&amp;"12/"&amp;INT(MID(CELL("filename",G6),FIND("]",CELL("filename",G6))+1,200))</f>
        <v>2079/12/8</v>
      </c>
      <c r="F4" s="204"/>
      <c r="G4" s="204"/>
      <c r="H4" s="204" t="str">
        <f ca="1">TEXT(E4,"dddd")</f>
        <v>Friday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45</v>
      </c>
      <c r="C5" s="30">
        <f t="shared" si="0"/>
        <v>45</v>
      </c>
      <c r="D5" s="30">
        <f t="shared" si="0"/>
        <v>45</v>
      </c>
      <c r="E5" s="30">
        <f t="shared" si="0"/>
        <v>45</v>
      </c>
      <c r="F5" s="30">
        <f t="shared" si="0"/>
        <v>55</v>
      </c>
      <c r="G5" s="30">
        <f t="shared" si="0"/>
        <v>58</v>
      </c>
      <c r="H5" s="30">
        <f t="shared" si="0"/>
        <v>35</v>
      </c>
      <c r="I5" s="30">
        <f t="shared" si="0"/>
        <v>30</v>
      </c>
      <c r="J5" s="30">
        <f t="shared" si="0"/>
        <v>5</v>
      </c>
      <c r="K5" s="30">
        <f t="shared" si="0"/>
        <v>33.9</v>
      </c>
      <c r="L5" s="30">
        <f t="shared" si="0"/>
        <v>21.2</v>
      </c>
      <c r="M5" s="30">
        <f t="shared" si="0"/>
        <v>35</v>
      </c>
      <c r="N5" s="30">
        <f t="shared" si="0"/>
        <v>53.9</v>
      </c>
      <c r="O5" s="30">
        <f t="shared" si="0"/>
        <v>65.7</v>
      </c>
      <c r="P5" s="30">
        <f t="shared" si="0"/>
        <v>59.4</v>
      </c>
      <c r="Q5" s="30">
        <f t="shared" si="0"/>
        <v>65</v>
      </c>
      <c r="R5" s="30">
        <f t="shared" si="0"/>
        <v>70</v>
      </c>
      <c r="S5" s="30">
        <f t="shared" si="0"/>
        <v>66.8</v>
      </c>
      <c r="T5" s="30">
        <f t="shared" si="0"/>
        <v>77.5</v>
      </c>
      <c r="U5" s="30">
        <f t="shared" si="0"/>
        <v>75.3</v>
      </c>
      <c r="V5" s="30">
        <f t="shared" si="0"/>
        <v>26.4</v>
      </c>
      <c r="W5" s="30">
        <f t="shared" si="0"/>
        <v>20.6</v>
      </c>
      <c r="X5" s="30">
        <f t="shared" si="0"/>
        <v>34.200000000000003</v>
      </c>
      <c r="Y5" s="30">
        <f t="shared" si="0"/>
        <v>26.7</v>
      </c>
      <c r="Z5" s="30">
        <f t="shared" si="0"/>
        <v>26.6</v>
      </c>
      <c r="AA5" s="30">
        <f t="shared" si="0"/>
        <v>45</v>
      </c>
      <c r="AB5" s="30">
        <f t="shared" si="0"/>
        <v>47.7</v>
      </c>
      <c r="AC5" s="30">
        <f t="shared" si="0"/>
        <v>46.8</v>
      </c>
      <c r="AD5" s="30">
        <f t="shared" si="0"/>
        <v>45.6</v>
      </c>
      <c r="AE5" s="30">
        <f t="shared" si="0"/>
        <v>47.6</v>
      </c>
      <c r="AF5" s="30">
        <f>B84</f>
        <v>51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2055MW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Load=1955</v>
      </c>
      <c r="B7" s="35">
        <f t="shared" ref="B7:AF7" si="1">B91</f>
        <v>2084.54</v>
      </c>
      <c r="C7" s="35">
        <f t="shared" si="1"/>
        <v>1997.4399999999998</v>
      </c>
      <c r="D7" s="35">
        <f t="shared" si="1"/>
        <v>1955.44</v>
      </c>
      <c r="E7" s="35">
        <f t="shared" si="1"/>
        <v>1956.94</v>
      </c>
      <c r="F7" s="35">
        <f t="shared" si="1"/>
        <v>1956.94</v>
      </c>
      <c r="G7" s="35">
        <f t="shared" si="1"/>
        <v>1974.94</v>
      </c>
      <c r="H7" s="35">
        <f t="shared" si="1"/>
        <v>1982.94</v>
      </c>
      <c r="I7" s="35">
        <f t="shared" si="1"/>
        <v>1964.9399999999998</v>
      </c>
      <c r="J7" s="35">
        <f t="shared" si="1"/>
        <v>1985.9399999999998</v>
      </c>
      <c r="K7" s="35">
        <f t="shared" si="1"/>
        <v>1999.9400000000003</v>
      </c>
      <c r="L7" s="35">
        <f t="shared" si="1"/>
        <v>2054.84</v>
      </c>
      <c r="M7" s="35">
        <f t="shared" si="1"/>
        <v>2021.7400000000002</v>
      </c>
      <c r="N7" s="35">
        <f>N91</f>
        <v>2014.7400000000002</v>
      </c>
      <c r="O7" s="35">
        <f t="shared" si="1"/>
        <v>2055.34</v>
      </c>
      <c r="P7" s="35">
        <f t="shared" si="1"/>
        <v>1962.44</v>
      </c>
      <c r="Q7" s="35">
        <f t="shared" si="1"/>
        <v>2062.14</v>
      </c>
      <c r="R7" s="35">
        <f t="shared" si="1"/>
        <v>2054.9400000000005</v>
      </c>
      <c r="S7" s="35">
        <f t="shared" si="1"/>
        <v>2051.1400000000003</v>
      </c>
      <c r="T7" s="35">
        <f t="shared" si="1"/>
        <v>2028.5400000000002</v>
      </c>
      <c r="U7" s="35">
        <f t="shared" si="1"/>
        <v>2018.8400000000001</v>
      </c>
      <c r="V7" s="35">
        <f t="shared" si="1"/>
        <v>2039.1399999999999</v>
      </c>
      <c r="W7" s="35">
        <f t="shared" si="1"/>
        <v>1974.7400000000002</v>
      </c>
      <c r="X7" s="35">
        <f t="shared" si="1"/>
        <v>1968.6399999999999</v>
      </c>
      <c r="Y7" s="35">
        <f t="shared" si="1"/>
        <v>1981.0400000000002</v>
      </c>
      <c r="Z7" s="35">
        <f t="shared" si="1"/>
        <v>2000.7400000000005</v>
      </c>
      <c r="AA7" s="35">
        <f t="shared" si="1"/>
        <v>2000.6400000000003</v>
      </c>
      <c r="AB7" s="35">
        <f t="shared" si="1"/>
        <v>2061.1400000000003</v>
      </c>
      <c r="AC7" s="35">
        <f t="shared" si="1"/>
        <v>2063.94</v>
      </c>
      <c r="AD7" s="35">
        <f t="shared" si="1"/>
        <v>2063.0400000000004</v>
      </c>
      <c r="AE7" s="35">
        <f t="shared" si="1"/>
        <v>2037.6399999999999</v>
      </c>
      <c r="AF7" s="35">
        <f t="shared" si="1"/>
        <v>2022.2399999999998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</v>
      </c>
      <c r="C11" s="45">
        <v>90</v>
      </c>
      <c r="D11" s="45">
        <v>90</v>
      </c>
      <c r="E11" s="45">
        <v>90</v>
      </c>
      <c r="F11" s="45">
        <v>90</v>
      </c>
      <c r="G11" s="45">
        <v>90</v>
      </c>
      <c r="H11" s="45">
        <v>90</v>
      </c>
      <c r="I11" s="45">
        <v>90</v>
      </c>
      <c r="J11" s="45">
        <v>90</v>
      </c>
      <c r="K11" s="45">
        <v>90</v>
      </c>
      <c r="L11" s="45">
        <v>90</v>
      </c>
      <c r="M11" s="45">
        <v>90</v>
      </c>
      <c r="N11" s="45">
        <v>90</v>
      </c>
      <c r="O11" s="45">
        <v>90</v>
      </c>
      <c r="P11" s="45">
        <v>0</v>
      </c>
      <c r="Q11" s="45">
        <v>81.7</v>
      </c>
      <c r="R11" s="45">
        <v>90.3</v>
      </c>
      <c r="S11" s="45">
        <v>90.3</v>
      </c>
      <c r="T11" s="45">
        <v>90.3</v>
      </c>
      <c r="U11" s="45">
        <v>90.3</v>
      </c>
      <c r="V11" s="45">
        <v>90.3</v>
      </c>
      <c r="W11" s="45">
        <v>90.3</v>
      </c>
      <c r="X11" s="45">
        <v>90.3</v>
      </c>
      <c r="Y11" s="45">
        <v>90.3</v>
      </c>
      <c r="Z11" s="45">
        <v>90.3</v>
      </c>
      <c r="AA11" s="45">
        <v>90.3</v>
      </c>
      <c r="AB11" s="45">
        <v>90.2</v>
      </c>
      <c r="AC11" s="45">
        <v>90.2</v>
      </c>
      <c r="AD11" s="45">
        <v>90.2</v>
      </c>
      <c r="AE11" s="45">
        <v>90.1</v>
      </c>
      <c r="AF11" s="45">
        <v>90.2</v>
      </c>
      <c r="AG11" s="46">
        <v>86</v>
      </c>
      <c r="AH11" s="47">
        <f t="shared" ref="AH11:AH76" si="2">MAX(B11:AF11)</f>
        <v>90.3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15</v>
      </c>
      <c r="C12" s="45">
        <v>15</v>
      </c>
      <c r="D12" s="45">
        <v>8</v>
      </c>
      <c r="E12" s="45">
        <v>0</v>
      </c>
      <c r="F12" s="45">
        <v>0</v>
      </c>
      <c r="G12" s="45">
        <v>8</v>
      </c>
      <c r="H12" s="45">
        <v>8</v>
      </c>
      <c r="I12" s="45">
        <v>18</v>
      </c>
      <c r="J12" s="45">
        <v>8</v>
      </c>
      <c r="K12" s="45">
        <v>8</v>
      </c>
      <c r="L12" s="45">
        <v>8</v>
      </c>
      <c r="M12" s="45">
        <v>26</v>
      </c>
      <c r="N12" s="45">
        <v>20</v>
      </c>
      <c r="O12" s="45">
        <v>20</v>
      </c>
      <c r="P12" s="45">
        <v>20</v>
      </c>
      <c r="Q12" s="45">
        <v>20</v>
      </c>
      <c r="R12" s="45">
        <v>20</v>
      </c>
      <c r="S12" s="45">
        <v>20</v>
      </c>
      <c r="T12" s="45">
        <v>10</v>
      </c>
      <c r="U12" s="45">
        <v>10</v>
      </c>
      <c r="V12" s="45">
        <v>27</v>
      </c>
      <c r="W12" s="45">
        <v>27</v>
      </c>
      <c r="X12" s="45">
        <v>27</v>
      </c>
      <c r="Y12" s="45">
        <v>27</v>
      </c>
      <c r="Z12" s="45">
        <v>27</v>
      </c>
      <c r="AA12" s="45">
        <v>27</v>
      </c>
      <c r="AB12" s="45">
        <v>27</v>
      </c>
      <c r="AC12" s="45">
        <v>27</v>
      </c>
      <c r="AD12" s="45">
        <v>27</v>
      </c>
      <c r="AE12" s="45">
        <v>27</v>
      </c>
      <c r="AF12" s="45">
        <v>27</v>
      </c>
      <c r="AG12" s="49">
        <v>54</v>
      </c>
      <c r="AH12" s="47">
        <f t="shared" si="2"/>
        <v>27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54.9</v>
      </c>
      <c r="C13" s="45">
        <v>54.9</v>
      </c>
      <c r="D13" s="45">
        <v>54.9</v>
      </c>
      <c r="E13" s="45">
        <v>54.9</v>
      </c>
      <c r="F13" s="45">
        <v>54.9</v>
      </c>
      <c r="G13" s="45">
        <v>54.9</v>
      </c>
      <c r="H13" s="45">
        <v>54.9</v>
      </c>
      <c r="I13" s="45">
        <v>54.9</v>
      </c>
      <c r="J13" s="45">
        <v>54.9</v>
      </c>
      <c r="K13" s="45">
        <v>54.9</v>
      </c>
      <c r="L13" s="45">
        <v>54.9</v>
      </c>
      <c r="M13" s="45">
        <v>55</v>
      </c>
      <c r="N13" s="45">
        <v>55</v>
      </c>
      <c r="O13" s="45">
        <v>55</v>
      </c>
      <c r="P13" s="45">
        <v>55</v>
      </c>
      <c r="Q13" s="45">
        <v>55</v>
      </c>
      <c r="R13" s="45">
        <v>55</v>
      </c>
      <c r="S13" s="45">
        <v>55</v>
      </c>
      <c r="T13" s="45">
        <v>55</v>
      </c>
      <c r="U13" s="45">
        <v>55</v>
      </c>
      <c r="V13" s="45">
        <v>55</v>
      </c>
      <c r="W13" s="45">
        <v>55</v>
      </c>
      <c r="X13" s="45">
        <v>55</v>
      </c>
      <c r="Y13" s="45">
        <v>55</v>
      </c>
      <c r="Z13" s="45">
        <v>55</v>
      </c>
      <c r="AA13" s="45">
        <v>55</v>
      </c>
      <c r="AB13" s="45">
        <v>54.8</v>
      </c>
      <c r="AC13" s="45">
        <v>54.8</v>
      </c>
      <c r="AD13" s="45">
        <v>54.8</v>
      </c>
      <c r="AE13" s="45">
        <v>55.1</v>
      </c>
      <c r="AF13" s="45">
        <v>54.9</v>
      </c>
      <c r="AG13" s="46">
        <v>52.4</v>
      </c>
      <c r="AH13" s="47">
        <f t="shared" si="2"/>
        <v>55.1</v>
      </c>
      <c r="AI13" s="48">
        <f t="shared" si="3"/>
        <v>54.8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50.4</v>
      </c>
      <c r="C14" s="58">
        <v>50.4</v>
      </c>
      <c r="D14" s="58">
        <v>50.4</v>
      </c>
      <c r="E14" s="58">
        <v>50.4</v>
      </c>
      <c r="F14" s="58">
        <v>50.4</v>
      </c>
      <c r="G14" s="58">
        <v>50.4</v>
      </c>
      <c r="H14" s="58">
        <v>50.4</v>
      </c>
      <c r="I14" s="58">
        <v>50.4</v>
      </c>
      <c r="J14" s="58">
        <v>50.4</v>
      </c>
      <c r="K14" s="58">
        <v>50.4</v>
      </c>
      <c r="L14" s="58">
        <v>50.4</v>
      </c>
      <c r="M14" s="58">
        <v>50.4</v>
      </c>
      <c r="N14" s="58">
        <v>50.4</v>
      </c>
      <c r="O14" s="58">
        <v>50.4</v>
      </c>
      <c r="P14" s="58">
        <v>50.4</v>
      </c>
      <c r="Q14" s="58">
        <v>50.4</v>
      </c>
      <c r="R14" s="58">
        <v>50.4</v>
      </c>
      <c r="S14" s="58">
        <v>50.4</v>
      </c>
      <c r="T14" s="58">
        <v>50.4</v>
      </c>
      <c r="U14" s="58">
        <v>50.4</v>
      </c>
      <c r="V14" s="58">
        <v>50.4</v>
      </c>
      <c r="W14" s="58">
        <v>50.4</v>
      </c>
      <c r="X14" s="58">
        <v>50.4</v>
      </c>
      <c r="Y14" s="58">
        <v>50.4</v>
      </c>
      <c r="Z14" s="58">
        <v>50.4</v>
      </c>
      <c r="AA14" s="58">
        <v>50.4</v>
      </c>
      <c r="AB14" s="45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49">
        <v>50</v>
      </c>
      <c r="AH14" s="47">
        <f t="shared" si="2"/>
        <v>50.5</v>
      </c>
      <c r="AI14" s="48">
        <f t="shared" si="3"/>
        <v>50.4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</v>
      </c>
      <c r="C15" s="45">
        <v>46</v>
      </c>
      <c r="D15" s="45">
        <v>46</v>
      </c>
      <c r="E15" s="45">
        <v>46</v>
      </c>
      <c r="F15" s="45">
        <v>46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46.2</v>
      </c>
      <c r="N15" s="45">
        <v>46.2</v>
      </c>
      <c r="O15" s="45">
        <v>46.2</v>
      </c>
      <c r="P15" s="45">
        <v>46.2</v>
      </c>
      <c r="Q15" s="45">
        <v>46.2</v>
      </c>
      <c r="R15" s="45">
        <v>46.2</v>
      </c>
      <c r="S15" s="45">
        <v>46.2</v>
      </c>
      <c r="T15" s="45">
        <v>46.2</v>
      </c>
      <c r="U15" s="45">
        <v>46.2</v>
      </c>
      <c r="V15" s="45">
        <v>46.2</v>
      </c>
      <c r="W15" s="45">
        <v>46.2</v>
      </c>
      <c r="X15" s="45">
        <v>46.2</v>
      </c>
      <c r="Y15" s="45">
        <v>46.2</v>
      </c>
      <c r="Z15" s="45">
        <v>46.2</v>
      </c>
      <c r="AA15" s="45">
        <v>46.2</v>
      </c>
      <c r="AB15" s="45">
        <v>46</v>
      </c>
      <c r="AC15" s="45">
        <v>46.1</v>
      </c>
      <c r="AD15" s="45">
        <v>46.1</v>
      </c>
      <c r="AE15" s="45">
        <v>46</v>
      </c>
      <c r="AF15" s="45">
        <v>46.1</v>
      </c>
      <c r="AG15" s="49">
        <v>45</v>
      </c>
      <c r="AH15" s="47">
        <f t="shared" si="2"/>
        <v>46.2</v>
      </c>
      <c r="AI15" s="48">
        <f t="shared" si="3"/>
        <v>46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29</v>
      </c>
      <c r="C17" s="45">
        <v>29</v>
      </c>
      <c r="D17" s="45">
        <v>29</v>
      </c>
      <c r="E17" s="45">
        <v>29</v>
      </c>
      <c r="F17" s="45">
        <v>29</v>
      </c>
      <c r="G17" s="45">
        <v>29</v>
      </c>
      <c r="H17" s="45">
        <v>29</v>
      </c>
      <c r="I17" s="45">
        <v>29</v>
      </c>
      <c r="J17" s="45">
        <v>29</v>
      </c>
      <c r="K17" s="45">
        <v>29</v>
      </c>
      <c r="L17" s="45">
        <v>40</v>
      </c>
      <c r="M17" s="45">
        <v>41</v>
      </c>
      <c r="N17" s="45">
        <v>31</v>
      </c>
      <c r="O17" s="45">
        <v>31</v>
      </c>
      <c r="P17" s="45">
        <v>31</v>
      </c>
      <c r="Q17" s="45">
        <v>31</v>
      </c>
      <c r="R17" s="45">
        <v>31</v>
      </c>
      <c r="S17" s="45">
        <v>31</v>
      </c>
      <c r="T17" s="45">
        <v>31</v>
      </c>
      <c r="U17" s="45">
        <v>31</v>
      </c>
      <c r="V17" s="45">
        <v>31</v>
      </c>
      <c r="W17" s="45">
        <v>31</v>
      </c>
      <c r="X17" s="45">
        <v>31</v>
      </c>
      <c r="Y17" s="45">
        <v>31</v>
      </c>
      <c r="Z17" s="45">
        <v>31</v>
      </c>
      <c r="AA17" s="45">
        <v>31</v>
      </c>
      <c r="AB17" s="45">
        <v>36</v>
      </c>
      <c r="AC17" s="45">
        <v>36</v>
      </c>
      <c r="AD17" s="45">
        <v>36</v>
      </c>
      <c r="AE17" s="45">
        <v>0</v>
      </c>
      <c r="AF17" s="45">
        <v>0</v>
      </c>
      <c r="AG17" s="49">
        <v>42</v>
      </c>
      <c r="AH17" s="47">
        <f t="shared" si="2"/>
        <v>41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38.799999999999997</v>
      </c>
      <c r="C18" s="45">
        <v>38.799999999999997</v>
      </c>
      <c r="D18" s="45">
        <v>38.799999999999997</v>
      </c>
      <c r="E18" s="45">
        <v>38.799999999999997</v>
      </c>
      <c r="F18" s="45">
        <v>38.799999999999997</v>
      </c>
      <c r="G18" s="45">
        <v>38.799999999999997</v>
      </c>
      <c r="H18" s="45">
        <v>38.799999999999997</v>
      </c>
      <c r="I18" s="45">
        <v>38.799999999999997</v>
      </c>
      <c r="J18" s="45">
        <v>38.799999999999997</v>
      </c>
      <c r="K18" s="45">
        <v>38.799999999999997</v>
      </c>
      <c r="L18" s="45">
        <v>38.799999999999997</v>
      </c>
      <c r="M18" s="45">
        <v>38.799999999999997</v>
      </c>
      <c r="N18" s="45">
        <v>38.799999999999997</v>
      </c>
      <c r="O18" s="45">
        <v>38.799999999999997</v>
      </c>
      <c r="P18" s="45">
        <v>38.799999999999997</v>
      </c>
      <c r="Q18" s="45">
        <v>38.799999999999997</v>
      </c>
      <c r="R18" s="45">
        <v>38.799999999999997</v>
      </c>
      <c r="S18" s="45">
        <v>38.799999999999997</v>
      </c>
      <c r="T18" s="45">
        <v>38.799999999999997</v>
      </c>
      <c r="U18" s="45">
        <v>38.799999999999997</v>
      </c>
      <c r="V18" s="45">
        <v>38.799999999999997</v>
      </c>
      <c r="W18" s="45">
        <v>38.799999999999997</v>
      </c>
      <c r="X18" s="45">
        <v>38.799999999999997</v>
      </c>
      <c r="Y18" s="45">
        <v>38.799999999999997</v>
      </c>
      <c r="Z18" s="45">
        <v>38.799999999999997</v>
      </c>
      <c r="AA18" s="45">
        <v>38.799999999999997</v>
      </c>
      <c r="AB18" s="45">
        <v>38.799999999999997</v>
      </c>
      <c r="AC18" s="45">
        <v>38.799999999999997</v>
      </c>
      <c r="AD18" s="45">
        <v>38.799999999999997</v>
      </c>
      <c r="AE18" s="45">
        <v>38.799999999999997</v>
      </c>
      <c r="AF18" s="45">
        <v>38.799999999999997</v>
      </c>
      <c r="AG18" s="49">
        <v>38.46</v>
      </c>
      <c r="AH18" s="47">
        <f t="shared" si="2"/>
        <v>38.799999999999997</v>
      </c>
      <c r="AI18" s="48">
        <f t="shared" si="3"/>
        <v>38.799999999999997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36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5.5</v>
      </c>
      <c r="C20" s="45">
        <v>5.5</v>
      </c>
      <c r="D20" s="45">
        <v>5.5</v>
      </c>
      <c r="E20" s="45">
        <v>15</v>
      </c>
      <c r="F20" s="45">
        <v>15</v>
      </c>
      <c r="G20" s="45">
        <v>15</v>
      </c>
      <c r="H20" s="45">
        <v>15</v>
      </c>
      <c r="I20" s="45">
        <v>20</v>
      </c>
      <c r="J20" s="45">
        <v>20</v>
      </c>
      <c r="K20" s="45">
        <v>29</v>
      </c>
      <c r="L20" s="45">
        <v>29</v>
      </c>
      <c r="M20" s="45">
        <v>16</v>
      </c>
      <c r="N20" s="45">
        <v>16</v>
      </c>
      <c r="O20" s="45">
        <v>16</v>
      </c>
      <c r="P20" s="45">
        <v>10.6</v>
      </c>
      <c r="Q20" s="45">
        <v>10.6</v>
      </c>
      <c r="R20" s="45">
        <v>10.6</v>
      </c>
      <c r="S20" s="45">
        <v>10.6</v>
      </c>
      <c r="T20" s="45">
        <v>5.5</v>
      </c>
      <c r="U20" s="45">
        <v>5.5</v>
      </c>
      <c r="V20" s="45">
        <v>14.8</v>
      </c>
      <c r="W20" s="45">
        <v>14.8</v>
      </c>
      <c r="X20" s="45">
        <v>14.8</v>
      </c>
      <c r="Y20" s="45">
        <v>14.8</v>
      </c>
      <c r="Z20" s="45">
        <v>30</v>
      </c>
      <c r="AA20" s="45">
        <v>30</v>
      </c>
      <c r="AB20" s="45">
        <v>30</v>
      </c>
      <c r="AC20" s="45">
        <v>30</v>
      </c>
      <c r="AD20" s="45">
        <v>30</v>
      </c>
      <c r="AE20" s="45">
        <v>29.9</v>
      </c>
      <c r="AF20" s="45">
        <v>15</v>
      </c>
      <c r="AG20" s="51">
        <v>30</v>
      </c>
      <c r="AH20" s="47">
        <f t="shared" si="2"/>
        <v>30</v>
      </c>
      <c r="AI20" s="48">
        <f t="shared" si="3"/>
        <v>5.5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20.8</v>
      </c>
      <c r="C21" s="45">
        <v>20.8</v>
      </c>
      <c r="D21" s="45">
        <v>20.8</v>
      </c>
      <c r="E21" s="45">
        <v>20.8</v>
      </c>
      <c r="F21" s="45">
        <v>20.8</v>
      </c>
      <c r="G21" s="45">
        <v>20.8</v>
      </c>
      <c r="H21" s="45">
        <v>20.8</v>
      </c>
      <c r="I21" s="45">
        <v>20.8</v>
      </c>
      <c r="J21" s="45">
        <v>20.8</v>
      </c>
      <c r="K21" s="45">
        <v>20.8</v>
      </c>
      <c r="L21" s="45">
        <v>20.8</v>
      </c>
      <c r="M21" s="45">
        <v>20.8</v>
      </c>
      <c r="N21" s="45">
        <v>20.8</v>
      </c>
      <c r="O21" s="45">
        <v>20.8</v>
      </c>
      <c r="P21" s="45">
        <v>20.8</v>
      </c>
      <c r="Q21" s="45">
        <v>20.8</v>
      </c>
      <c r="R21" s="45">
        <v>20.8</v>
      </c>
      <c r="S21" s="45">
        <v>20.8</v>
      </c>
      <c r="T21" s="45">
        <v>20.8</v>
      </c>
      <c r="U21" s="45">
        <v>20.8</v>
      </c>
      <c r="V21" s="45">
        <v>20.8</v>
      </c>
      <c r="W21" s="45">
        <v>20.8</v>
      </c>
      <c r="X21" s="45">
        <v>20.8</v>
      </c>
      <c r="Y21" s="45">
        <v>20.8</v>
      </c>
      <c r="Z21" s="45">
        <v>20.8</v>
      </c>
      <c r="AA21" s="45">
        <v>20.8</v>
      </c>
      <c r="AB21" s="45">
        <v>20.8</v>
      </c>
      <c r="AC21" s="45">
        <v>20.8</v>
      </c>
      <c r="AD21" s="45">
        <v>20.8</v>
      </c>
      <c r="AE21" s="45">
        <v>20.9</v>
      </c>
      <c r="AF21" s="45">
        <v>20.9</v>
      </c>
      <c r="AG21" s="49">
        <v>24.2</v>
      </c>
      <c r="AH21" s="47">
        <f t="shared" si="2"/>
        <v>20.9</v>
      </c>
      <c r="AI21" s="48">
        <f t="shared" si="3"/>
        <v>20.8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20.5</v>
      </c>
      <c r="C22" s="45">
        <v>20.5</v>
      </c>
      <c r="D22" s="45">
        <v>20.5</v>
      </c>
      <c r="E22" s="45">
        <v>20.5</v>
      </c>
      <c r="F22" s="45">
        <v>20.5</v>
      </c>
      <c r="G22" s="45">
        <v>20.5</v>
      </c>
      <c r="H22" s="45">
        <v>20.5</v>
      </c>
      <c r="I22" s="45">
        <v>20.5</v>
      </c>
      <c r="J22" s="45">
        <v>20.5</v>
      </c>
      <c r="K22" s="45">
        <v>20.5</v>
      </c>
      <c r="L22" s="45">
        <v>20.5</v>
      </c>
      <c r="M22" s="45">
        <v>20.8</v>
      </c>
      <c r="N22" s="45">
        <v>20.8</v>
      </c>
      <c r="O22" s="45">
        <v>20.8</v>
      </c>
      <c r="P22" s="45">
        <v>20.8</v>
      </c>
      <c r="Q22" s="45">
        <v>20.8</v>
      </c>
      <c r="R22" s="45">
        <v>20.8</v>
      </c>
      <c r="S22" s="45">
        <v>20.8</v>
      </c>
      <c r="T22" s="45">
        <v>20.8</v>
      </c>
      <c r="U22" s="45">
        <v>20.8</v>
      </c>
      <c r="V22" s="45">
        <v>20.8</v>
      </c>
      <c r="W22" s="45">
        <v>20.8</v>
      </c>
      <c r="X22" s="45">
        <v>20.8</v>
      </c>
      <c r="Y22" s="45">
        <v>20.8</v>
      </c>
      <c r="Z22" s="45">
        <v>20.8</v>
      </c>
      <c r="AA22" s="45">
        <v>20.8</v>
      </c>
      <c r="AB22" s="45">
        <v>20.8</v>
      </c>
      <c r="AC22" s="45">
        <v>20.8</v>
      </c>
      <c r="AD22" s="45">
        <v>20.8</v>
      </c>
      <c r="AE22" s="45">
        <v>20.7</v>
      </c>
      <c r="AF22" s="45">
        <v>20.7</v>
      </c>
      <c r="AG22" s="49">
        <v>28</v>
      </c>
      <c r="AH22" s="47">
        <f t="shared" si="2"/>
        <v>20.8</v>
      </c>
      <c r="AI22" s="48">
        <f t="shared" si="3"/>
        <v>20.5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9</v>
      </c>
      <c r="C23" s="45">
        <v>9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5</v>
      </c>
      <c r="J23" s="45">
        <v>5</v>
      </c>
      <c r="K23" s="45">
        <v>25</v>
      </c>
      <c r="L23" s="45">
        <v>25</v>
      </c>
      <c r="M23" s="45">
        <v>9.3000000000000007</v>
      </c>
      <c r="N23" s="45">
        <v>9.3000000000000007</v>
      </c>
      <c r="O23" s="45">
        <v>9.3000000000000007</v>
      </c>
      <c r="P23" s="45">
        <v>9</v>
      </c>
      <c r="Q23" s="45">
        <v>9</v>
      </c>
      <c r="R23" s="45">
        <v>9</v>
      </c>
      <c r="S23" s="45">
        <v>9</v>
      </c>
      <c r="T23" s="45">
        <v>5.3</v>
      </c>
      <c r="U23" s="45">
        <v>5.3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25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24.4</v>
      </c>
      <c r="C24" s="45">
        <v>24.4</v>
      </c>
      <c r="D24" s="45">
        <v>24.4</v>
      </c>
      <c r="E24" s="45">
        <v>24.4</v>
      </c>
      <c r="F24" s="45">
        <v>24.4</v>
      </c>
      <c r="G24" s="45">
        <v>24.4</v>
      </c>
      <c r="H24" s="45">
        <v>24.4</v>
      </c>
      <c r="I24" s="45">
        <v>24.4</v>
      </c>
      <c r="J24" s="45">
        <v>24.4</v>
      </c>
      <c r="K24" s="45">
        <v>24.4</v>
      </c>
      <c r="L24" s="45">
        <v>24.4</v>
      </c>
      <c r="M24" s="45">
        <v>26.3</v>
      </c>
      <c r="N24" s="45">
        <v>26.3</v>
      </c>
      <c r="O24" s="45">
        <v>26.3</v>
      </c>
      <c r="P24" s="45">
        <v>26.1</v>
      </c>
      <c r="Q24" s="45">
        <v>26.1</v>
      </c>
      <c r="R24" s="45">
        <v>26.1</v>
      </c>
      <c r="S24" s="45">
        <v>26.1</v>
      </c>
      <c r="T24" s="45">
        <v>26.1</v>
      </c>
      <c r="U24" s="45">
        <v>26.1</v>
      </c>
      <c r="V24" s="45">
        <v>26.1</v>
      </c>
      <c r="W24" s="45">
        <v>26.1</v>
      </c>
      <c r="X24" s="45">
        <v>26.1</v>
      </c>
      <c r="Y24" s="45">
        <v>26.1</v>
      </c>
      <c r="Z24" s="45">
        <v>26.1</v>
      </c>
      <c r="AA24" s="45">
        <v>26.1</v>
      </c>
      <c r="AB24" s="45">
        <v>26.1</v>
      </c>
      <c r="AC24" s="45">
        <v>26.1</v>
      </c>
      <c r="AD24" s="45">
        <v>26.1</v>
      </c>
      <c r="AE24" s="45">
        <v>26.2</v>
      </c>
      <c r="AF24" s="45">
        <v>26.1</v>
      </c>
      <c r="AG24" s="49">
        <v>25</v>
      </c>
      <c r="AH24" s="47">
        <f t="shared" si="2"/>
        <v>26.3</v>
      </c>
      <c r="AI24" s="48">
        <f t="shared" si="3"/>
        <v>24.4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0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5</v>
      </c>
      <c r="C27" s="45">
        <v>5</v>
      </c>
      <c r="D27" s="45">
        <v>0</v>
      </c>
      <c r="E27" s="45">
        <v>0</v>
      </c>
      <c r="F27" s="45">
        <v>0</v>
      </c>
      <c r="G27" s="45">
        <v>0</v>
      </c>
      <c r="H27" s="45">
        <v>5</v>
      </c>
      <c r="I27" s="45">
        <v>5</v>
      </c>
      <c r="J27" s="45">
        <v>25</v>
      </c>
      <c r="K27" s="45">
        <v>25</v>
      </c>
      <c r="L27" s="45">
        <v>25</v>
      </c>
      <c r="M27" s="45">
        <v>25</v>
      </c>
      <c r="N27" s="45">
        <v>12</v>
      </c>
      <c r="O27" s="45">
        <v>12</v>
      </c>
      <c r="P27" s="45">
        <v>12</v>
      </c>
      <c r="Q27" s="45">
        <v>12</v>
      </c>
      <c r="R27" s="45">
        <v>12</v>
      </c>
      <c r="S27" s="45">
        <v>12</v>
      </c>
      <c r="T27" s="45">
        <v>12</v>
      </c>
      <c r="U27" s="45">
        <v>12</v>
      </c>
      <c r="V27" s="45">
        <v>12.5</v>
      </c>
      <c r="W27" s="45">
        <v>12.5</v>
      </c>
      <c r="X27" s="45">
        <v>12.5</v>
      </c>
      <c r="Y27" s="45">
        <v>12.5</v>
      </c>
      <c r="Z27" s="45">
        <v>12.5</v>
      </c>
      <c r="AA27" s="45">
        <v>12.5</v>
      </c>
      <c r="AB27" s="45">
        <v>25</v>
      </c>
      <c r="AC27" s="45">
        <v>25</v>
      </c>
      <c r="AD27" s="45">
        <v>25</v>
      </c>
      <c r="AE27" s="45">
        <v>25</v>
      </c>
      <c r="AF27" s="45">
        <v>12.5</v>
      </c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24.8</v>
      </c>
      <c r="C28" s="45">
        <v>24.8</v>
      </c>
      <c r="D28" s="45">
        <v>24.8</v>
      </c>
      <c r="E28" s="45">
        <v>24.8</v>
      </c>
      <c r="F28" s="45">
        <v>24.8</v>
      </c>
      <c r="G28" s="45">
        <v>24.8</v>
      </c>
      <c r="H28" s="45">
        <v>24.8</v>
      </c>
      <c r="I28" s="45">
        <v>24.8</v>
      </c>
      <c r="J28" s="45">
        <v>24.8</v>
      </c>
      <c r="K28" s="45">
        <v>24.8</v>
      </c>
      <c r="L28" s="45">
        <v>24.8</v>
      </c>
      <c r="M28" s="45">
        <v>25.1</v>
      </c>
      <c r="N28" s="45">
        <v>25.1</v>
      </c>
      <c r="O28" s="45">
        <v>25.1</v>
      </c>
      <c r="P28" s="45">
        <v>25.1</v>
      </c>
      <c r="Q28" s="45">
        <v>25.1</v>
      </c>
      <c r="R28" s="45">
        <v>25.1</v>
      </c>
      <c r="S28" s="45">
        <v>25.1</v>
      </c>
      <c r="T28" s="45">
        <v>25.1</v>
      </c>
      <c r="U28" s="45">
        <v>25.1</v>
      </c>
      <c r="V28" s="45">
        <v>25.1</v>
      </c>
      <c r="W28" s="45">
        <v>25.1</v>
      </c>
      <c r="X28" s="45">
        <v>25.1</v>
      </c>
      <c r="Y28" s="45">
        <v>25.1</v>
      </c>
      <c r="Z28" s="45">
        <v>25.1</v>
      </c>
      <c r="AA28" s="45">
        <v>25.1</v>
      </c>
      <c r="AB28" s="45">
        <v>25.1</v>
      </c>
      <c r="AC28" s="45">
        <v>25.1</v>
      </c>
      <c r="AD28" s="45">
        <v>25.1</v>
      </c>
      <c r="AE28" s="45">
        <v>25.2</v>
      </c>
      <c r="AF28" s="45">
        <v>25.3</v>
      </c>
      <c r="AG28" s="49">
        <v>23.5</v>
      </c>
      <c r="AH28" s="47">
        <f t="shared" si="2"/>
        <v>25.3</v>
      </c>
      <c r="AI28" s="48">
        <f t="shared" si="3"/>
        <v>24.8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5</v>
      </c>
      <c r="K33" s="45">
        <v>10</v>
      </c>
      <c r="L33" s="45">
        <v>10</v>
      </c>
      <c r="M33" s="45">
        <v>10</v>
      </c>
      <c r="N33" s="45">
        <v>10</v>
      </c>
      <c r="O33" s="45">
        <v>10</v>
      </c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20</v>
      </c>
      <c r="AF33" s="45">
        <v>20</v>
      </c>
      <c r="AG33" s="49">
        <v>20</v>
      </c>
      <c r="AH33" s="47">
        <f t="shared" si="2"/>
        <v>20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5</v>
      </c>
      <c r="K34" s="45">
        <v>10</v>
      </c>
      <c r="L34" s="45">
        <v>10</v>
      </c>
      <c r="M34" s="45">
        <v>4</v>
      </c>
      <c r="N34" s="45">
        <v>4</v>
      </c>
      <c r="O34" s="45">
        <v>4</v>
      </c>
      <c r="P34" s="45">
        <v>4</v>
      </c>
      <c r="Q34" s="45">
        <v>4</v>
      </c>
      <c r="R34" s="45">
        <v>4</v>
      </c>
      <c r="S34" s="45">
        <v>4</v>
      </c>
      <c r="T34" s="45">
        <v>4</v>
      </c>
      <c r="U34" s="45">
        <v>4</v>
      </c>
      <c r="V34" s="45">
        <v>4</v>
      </c>
      <c r="W34" s="45">
        <v>4</v>
      </c>
      <c r="X34" s="45">
        <v>4</v>
      </c>
      <c r="Y34" s="45">
        <v>4</v>
      </c>
      <c r="Z34" s="45">
        <v>4</v>
      </c>
      <c r="AA34" s="45">
        <v>4</v>
      </c>
      <c r="AB34" s="45">
        <v>4</v>
      </c>
      <c r="AC34" s="45">
        <v>4</v>
      </c>
      <c r="AD34" s="45">
        <v>4</v>
      </c>
      <c r="AE34" s="45">
        <v>18</v>
      </c>
      <c r="AF34" s="45">
        <v>18</v>
      </c>
      <c r="AG34" s="49">
        <v>18</v>
      </c>
      <c r="AH34" s="47">
        <f t="shared" si="2"/>
        <v>18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14</v>
      </c>
      <c r="C35" s="45">
        <v>14</v>
      </c>
      <c r="D35" s="45">
        <v>14</v>
      </c>
      <c r="E35" s="45">
        <v>14</v>
      </c>
      <c r="F35" s="45">
        <v>14</v>
      </c>
      <c r="G35" s="45">
        <v>14</v>
      </c>
      <c r="H35" s="45">
        <v>14</v>
      </c>
      <c r="I35" s="45">
        <v>14</v>
      </c>
      <c r="J35" s="45">
        <v>14</v>
      </c>
      <c r="K35" s="45">
        <v>14</v>
      </c>
      <c r="L35" s="45">
        <v>14</v>
      </c>
      <c r="M35" s="45">
        <v>14</v>
      </c>
      <c r="N35" s="45">
        <v>14</v>
      </c>
      <c r="O35" s="45">
        <v>14</v>
      </c>
      <c r="P35" s="45">
        <v>14</v>
      </c>
      <c r="Q35" s="45">
        <v>14</v>
      </c>
      <c r="R35" s="45">
        <v>14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>
        <v>14</v>
      </c>
      <c r="Z35" s="45">
        <v>14</v>
      </c>
      <c r="AA35" s="45">
        <v>14</v>
      </c>
      <c r="AB35" s="45">
        <v>14</v>
      </c>
      <c r="AC35" s="45">
        <v>14</v>
      </c>
      <c r="AD35" s="45">
        <v>14</v>
      </c>
      <c r="AE35" s="45">
        <v>14</v>
      </c>
      <c r="AF35" s="45">
        <v>14</v>
      </c>
      <c r="AG35" s="49">
        <v>14.9</v>
      </c>
      <c r="AH35" s="47">
        <f t="shared" si="2"/>
        <v>14</v>
      </c>
      <c r="AI35" s="48">
        <f t="shared" si="3"/>
        <v>14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6</v>
      </c>
      <c r="C39" s="45">
        <v>6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6</v>
      </c>
      <c r="P39" s="45">
        <v>4</v>
      </c>
      <c r="Q39" s="45">
        <v>4</v>
      </c>
      <c r="R39" s="45">
        <v>4</v>
      </c>
      <c r="S39" s="45">
        <v>4</v>
      </c>
      <c r="T39" s="45">
        <v>2</v>
      </c>
      <c r="U39" s="45">
        <v>2</v>
      </c>
      <c r="V39" s="45">
        <v>6</v>
      </c>
      <c r="W39" s="45">
        <v>6</v>
      </c>
      <c r="X39" s="45">
        <v>6</v>
      </c>
      <c r="Y39" s="45">
        <v>6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6</v>
      </c>
      <c r="C41" s="45">
        <v>6</v>
      </c>
      <c r="D41" s="45">
        <v>6</v>
      </c>
      <c r="E41" s="45">
        <v>6</v>
      </c>
      <c r="F41" s="45">
        <v>6</v>
      </c>
      <c r="G41" s="45">
        <v>6</v>
      </c>
      <c r="H41" s="45">
        <v>6</v>
      </c>
      <c r="I41" s="45">
        <v>6</v>
      </c>
      <c r="J41" s="45">
        <v>6</v>
      </c>
      <c r="K41" s="45">
        <v>6</v>
      </c>
      <c r="L41" s="45">
        <v>6</v>
      </c>
      <c r="M41" s="45">
        <v>6</v>
      </c>
      <c r="N41" s="45">
        <v>6</v>
      </c>
      <c r="O41" s="45">
        <v>6</v>
      </c>
      <c r="P41" s="45">
        <v>6</v>
      </c>
      <c r="Q41" s="45">
        <v>6</v>
      </c>
      <c r="R41" s="45">
        <v>6</v>
      </c>
      <c r="S41" s="45">
        <v>6</v>
      </c>
      <c r="T41" s="45">
        <v>6</v>
      </c>
      <c r="U41" s="45">
        <v>6</v>
      </c>
      <c r="V41" s="45">
        <v>6</v>
      </c>
      <c r="W41" s="45">
        <v>6</v>
      </c>
      <c r="X41" s="45">
        <v>6</v>
      </c>
      <c r="Y41" s="45">
        <v>6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6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</v>
      </c>
      <c r="C43" s="45">
        <v>11</v>
      </c>
      <c r="D43" s="45">
        <v>11</v>
      </c>
      <c r="E43" s="45">
        <v>11</v>
      </c>
      <c r="F43" s="45">
        <v>11</v>
      </c>
      <c r="G43" s="45">
        <v>11</v>
      </c>
      <c r="H43" s="45">
        <v>11</v>
      </c>
      <c r="I43" s="45">
        <v>11</v>
      </c>
      <c r="J43" s="45">
        <v>11</v>
      </c>
      <c r="K43" s="45">
        <v>11</v>
      </c>
      <c r="L43" s="45">
        <v>11</v>
      </c>
      <c r="M43" s="45">
        <v>11</v>
      </c>
      <c r="N43" s="45">
        <v>11</v>
      </c>
      <c r="O43" s="45">
        <v>11</v>
      </c>
      <c r="P43" s="45">
        <v>11</v>
      </c>
      <c r="Q43" s="45">
        <v>11</v>
      </c>
      <c r="R43" s="45">
        <v>11</v>
      </c>
      <c r="S43" s="45">
        <v>11</v>
      </c>
      <c r="T43" s="45">
        <v>11</v>
      </c>
      <c r="U43" s="45">
        <v>11</v>
      </c>
      <c r="V43" s="45">
        <v>11</v>
      </c>
      <c r="W43" s="45">
        <v>11</v>
      </c>
      <c r="X43" s="45">
        <v>11</v>
      </c>
      <c r="Y43" s="45">
        <v>11</v>
      </c>
      <c r="Z43" s="45">
        <v>11</v>
      </c>
      <c r="AA43" s="45">
        <v>11</v>
      </c>
      <c r="AB43" s="45">
        <v>11</v>
      </c>
      <c r="AC43" s="45">
        <v>11</v>
      </c>
      <c r="AD43" s="45">
        <v>11</v>
      </c>
      <c r="AE43" s="45">
        <v>11</v>
      </c>
      <c r="AF43" s="45">
        <v>11</v>
      </c>
      <c r="AG43" s="51">
        <v>11.88</v>
      </c>
      <c r="AH43" s="47">
        <f t="shared" si="2"/>
        <v>11</v>
      </c>
      <c r="AI43" s="48">
        <f t="shared" si="3"/>
        <v>11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9.5</v>
      </c>
      <c r="C45" s="45">
        <v>9.5</v>
      </c>
      <c r="D45" s="45">
        <v>9.5</v>
      </c>
      <c r="E45" s="45">
        <v>9.5</v>
      </c>
      <c r="F45" s="45">
        <v>9.5</v>
      </c>
      <c r="G45" s="45">
        <v>9.5</v>
      </c>
      <c r="H45" s="45">
        <v>9.5</v>
      </c>
      <c r="I45" s="45">
        <v>9.5</v>
      </c>
      <c r="J45" s="45">
        <v>9.5</v>
      </c>
      <c r="K45" s="45">
        <v>9.5</v>
      </c>
      <c r="L45" s="45">
        <v>9.5</v>
      </c>
      <c r="M45" s="45">
        <v>9.5</v>
      </c>
      <c r="N45" s="45">
        <v>9.5</v>
      </c>
      <c r="O45" s="45">
        <v>9.5</v>
      </c>
      <c r="P45" s="45">
        <v>9.5</v>
      </c>
      <c r="Q45" s="45">
        <v>9.5</v>
      </c>
      <c r="R45" s="45">
        <v>9.5</v>
      </c>
      <c r="S45" s="45">
        <v>9.5</v>
      </c>
      <c r="T45" s="45">
        <v>9.5</v>
      </c>
      <c r="U45" s="45">
        <v>9.5</v>
      </c>
      <c r="V45" s="45">
        <v>9.5</v>
      </c>
      <c r="W45" s="45">
        <v>9.5</v>
      </c>
      <c r="X45" s="45">
        <v>9.5</v>
      </c>
      <c r="Y45" s="45">
        <v>9.5</v>
      </c>
      <c r="Z45" s="45">
        <v>9.5</v>
      </c>
      <c r="AA45" s="45">
        <v>9.5</v>
      </c>
      <c r="AB45" s="45">
        <v>9.5</v>
      </c>
      <c r="AC45" s="45">
        <v>9.5</v>
      </c>
      <c r="AD45" s="45">
        <v>9.5</v>
      </c>
      <c r="AE45" s="45">
        <v>9.5</v>
      </c>
      <c r="AF45" s="45">
        <v>9.5</v>
      </c>
      <c r="AG45" s="54">
        <v>10</v>
      </c>
      <c r="AH45" s="47">
        <f t="shared" si="2"/>
        <v>9.5</v>
      </c>
      <c r="AI45" s="48">
        <f t="shared" si="3"/>
        <v>9.5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>
        <v>96.1</v>
      </c>
      <c r="C49" s="56">
        <v>96.1</v>
      </c>
      <c r="D49" s="56">
        <v>96.1</v>
      </c>
      <c r="E49" s="56">
        <v>96.1</v>
      </c>
      <c r="F49" s="56">
        <v>96.1</v>
      </c>
      <c r="G49" s="56">
        <v>96.1</v>
      </c>
      <c r="H49" s="56">
        <v>96.1</v>
      </c>
      <c r="I49" s="56">
        <v>96.1</v>
      </c>
      <c r="J49" s="56">
        <v>96.1</v>
      </c>
      <c r="K49" s="56">
        <v>96.1</v>
      </c>
      <c r="L49" s="56">
        <v>96.1</v>
      </c>
      <c r="M49" s="58">
        <f>80.3+22.1</f>
        <v>102.4</v>
      </c>
      <c r="N49" s="58">
        <f>81.1+22.4</f>
        <v>103.5</v>
      </c>
      <c r="O49" s="58">
        <f>81.1+22.4</f>
        <v>103.5</v>
      </c>
      <c r="P49" s="58">
        <f>81.1+22.4</f>
        <v>103.5</v>
      </c>
      <c r="Q49" s="58">
        <f>81.1+22.4</f>
        <v>103.5</v>
      </c>
      <c r="R49" s="58">
        <f>81.1+22.4</f>
        <v>103.5</v>
      </c>
      <c r="S49" s="58">
        <f>23.5+80.7</f>
        <v>104.2</v>
      </c>
      <c r="T49" s="58">
        <f>23.5+80.7</f>
        <v>104.2</v>
      </c>
      <c r="U49" s="58">
        <f>23.5+80.7</f>
        <v>104.2</v>
      </c>
      <c r="V49" s="58">
        <f>23.5+80.7</f>
        <v>104.2</v>
      </c>
      <c r="W49" s="58">
        <v>106.6</v>
      </c>
      <c r="X49" s="56">
        <v>106.5</v>
      </c>
      <c r="Y49" s="56">
        <v>105</v>
      </c>
      <c r="Z49" s="56">
        <v>100</v>
      </c>
      <c r="AA49" s="56">
        <v>104</v>
      </c>
      <c r="AB49" s="56">
        <v>104</v>
      </c>
      <c r="AC49" s="56">
        <v>104</v>
      </c>
      <c r="AD49" s="56">
        <f>22.9+80.2</f>
        <v>103.1</v>
      </c>
      <c r="AE49" s="56">
        <f>23.6+82.1</f>
        <v>105.69999999999999</v>
      </c>
      <c r="AF49" s="56">
        <f>24+82.2</f>
        <v>106.2</v>
      </c>
      <c r="AG49" s="54">
        <v>240</v>
      </c>
      <c r="AH49" s="47">
        <f t="shared" si="2"/>
        <v>106.6</v>
      </c>
      <c r="AI49" s="48">
        <f t="shared" si="3"/>
        <v>96.1</v>
      </c>
      <c r="AK49" s="50"/>
    </row>
    <row r="50" spans="1:41" ht="15.75" thickBot="1" x14ac:dyDescent="0.3">
      <c r="A50" s="59" t="s">
        <v>58</v>
      </c>
      <c r="B50" s="60">
        <v>1050.5999999999999</v>
      </c>
      <c r="C50" s="60">
        <f t="shared" ref="C50:AD50" si="4">SUM(C11:C48)</f>
        <v>996.3</v>
      </c>
      <c r="D50" s="60">
        <f t="shared" ref="D50:F50" si="5">SUM(D11:D48)</f>
        <v>969.30000000000007</v>
      </c>
      <c r="E50" s="60">
        <f t="shared" si="5"/>
        <v>970.80000000000007</v>
      </c>
      <c r="F50" s="60">
        <f t="shared" si="5"/>
        <v>970.80000000000007</v>
      </c>
      <c r="G50" s="60">
        <f t="shared" ref="G50:H50" si="6">SUM(G11:G48)</f>
        <v>978.80000000000007</v>
      </c>
      <c r="H50" s="60">
        <f t="shared" si="6"/>
        <v>983.80000000000007</v>
      </c>
      <c r="I50" s="60">
        <f t="shared" ref="I50:J50" si="7">SUM(I11:I48)</f>
        <v>1003.8</v>
      </c>
      <c r="J50" s="60">
        <f t="shared" si="7"/>
        <v>1029.8</v>
      </c>
      <c r="K50" s="60">
        <f t="shared" ref="K50:L50" si="8">SUM(K11:K48)</f>
        <v>1068.8000000000002</v>
      </c>
      <c r="L50" s="60">
        <f t="shared" si="8"/>
        <v>1079.8000000000002</v>
      </c>
      <c r="M50" s="60">
        <f t="shared" si="4"/>
        <v>1041.9000000000001</v>
      </c>
      <c r="N50" s="60">
        <f t="shared" si="4"/>
        <v>1037.9000000000001</v>
      </c>
      <c r="O50" s="60">
        <f t="shared" si="4"/>
        <v>1037.9000000000001</v>
      </c>
      <c r="P50" s="60">
        <f t="shared" si="4"/>
        <v>918.00000000000023</v>
      </c>
      <c r="Q50" s="60">
        <f t="shared" ref="Q50:R50" si="9">SUM(Q11:Q48)</f>
        <v>999.70000000000016</v>
      </c>
      <c r="R50" s="60">
        <f t="shared" si="9"/>
        <v>1008.3000000000002</v>
      </c>
      <c r="S50" s="60">
        <f t="shared" si="4"/>
        <v>1008.3000000000002</v>
      </c>
      <c r="T50" s="60">
        <f t="shared" ref="T50:U50" si="10">SUM(T11:T48)</f>
        <v>987.50000000000011</v>
      </c>
      <c r="U50" s="60">
        <f t="shared" si="10"/>
        <v>987.50000000000011</v>
      </c>
      <c r="V50" s="60">
        <f t="shared" ref="V50" si="11">SUM(V11:V48)</f>
        <v>1022.0000000000001</v>
      </c>
      <c r="W50" s="60">
        <f t="shared" si="4"/>
        <v>1022.0000000000001</v>
      </c>
      <c r="X50" s="60">
        <f t="shared" si="4"/>
        <v>1022.0000000000001</v>
      </c>
      <c r="Y50" s="60">
        <f t="shared" si="4"/>
        <v>1022.0000000000001</v>
      </c>
      <c r="Z50" s="60">
        <f t="shared" si="4"/>
        <v>1049.2000000000003</v>
      </c>
      <c r="AA50" s="60">
        <f t="shared" si="4"/>
        <v>1049.2000000000003</v>
      </c>
      <c r="AB50" s="60">
        <f t="shared" si="4"/>
        <v>1088.3000000000002</v>
      </c>
      <c r="AC50" s="60">
        <f t="shared" si="4"/>
        <v>1088.4000000000001</v>
      </c>
      <c r="AD50" s="60">
        <f t="shared" si="4"/>
        <v>1088.4000000000001</v>
      </c>
      <c r="AE50" s="60">
        <f t="shared" ref="AE50:AF50" si="12">SUM(AE11:AE48)</f>
        <v>1076.5999999999999</v>
      </c>
      <c r="AF50" s="60">
        <f t="shared" si="12"/>
        <v>1049.2</v>
      </c>
      <c r="AG50" s="61">
        <f>SUM(AG13:AG48)</f>
        <v>922.14</v>
      </c>
      <c r="AH50" s="47">
        <f t="shared" si="2"/>
        <v>1088.4000000000001</v>
      </c>
      <c r="AI50" s="48">
        <f t="shared" si="3"/>
        <v>918.00000000000023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58</v>
      </c>
      <c r="AC52" s="64">
        <v>58</v>
      </c>
      <c r="AD52" s="64">
        <v>58</v>
      </c>
      <c r="AE52" s="64">
        <v>55</v>
      </c>
      <c r="AF52" s="64">
        <v>55</v>
      </c>
      <c r="AG52" s="54">
        <v>60</v>
      </c>
      <c r="AH52" s="47">
        <f t="shared" si="2"/>
        <v>58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22.4</v>
      </c>
      <c r="N53" s="66">
        <v>22.4</v>
      </c>
      <c r="O53" s="66">
        <v>22.4</v>
      </c>
      <c r="P53" s="66">
        <v>22.4</v>
      </c>
      <c r="Q53" s="66">
        <v>22.4</v>
      </c>
      <c r="R53" s="66">
        <v>22.4</v>
      </c>
      <c r="S53" s="66">
        <v>22.4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22.4</v>
      </c>
      <c r="AI53" s="48">
        <f t="shared" si="3"/>
        <v>22.4</v>
      </c>
      <c r="AK53" s="50"/>
    </row>
    <row r="54" spans="1:41" ht="15.75" thickBot="1" x14ac:dyDescent="0.3">
      <c r="A54" s="68" t="s">
        <v>62</v>
      </c>
      <c r="B54" s="60">
        <v>533.4</v>
      </c>
      <c r="C54" s="60">
        <f t="shared" ref="C54:AG54" si="13">SUM(C51:C53)</f>
        <v>533.4</v>
      </c>
      <c r="D54" s="60">
        <f t="shared" si="13"/>
        <v>533.4</v>
      </c>
      <c r="E54" s="60">
        <f t="shared" si="13"/>
        <v>533.4</v>
      </c>
      <c r="F54" s="60">
        <f t="shared" si="13"/>
        <v>533.4</v>
      </c>
      <c r="G54" s="60">
        <f t="shared" ref="G54:H54" si="14">SUM(G51:G53)</f>
        <v>533.4</v>
      </c>
      <c r="H54" s="60">
        <f t="shared" si="14"/>
        <v>533.4</v>
      </c>
      <c r="I54" s="60">
        <f t="shared" ref="I54:J54" si="15">SUM(I51:I53)</f>
        <v>533.4</v>
      </c>
      <c r="J54" s="60">
        <f t="shared" si="15"/>
        <v>533.4</v>
      </c>
      <c r="K54" s="60">
        <f t="shared" si="13"/>
        <v>533.4</v>
      </c>
      <c r="L54" s="60">
        <f t="shared" ref="L54" si="16">SUM(L51:L53)</f>
        <v>533.4</v>
      </c>
      <c r="M54" s="60">
        <f t="shared" si="13"/>
        <v>533.4</v>
      </c>
      <c r="N54" s="60">
        <f t="shared" si="13"/>
        <v>533.4</v>
      </c>
      <c r="O54" s="60">
        <f t="shared" si="13"/>
        <v>533.4</v>
      </c>
      <c r="P54" s="60">
        <f t="shared" si="13"/>
        <v>533.4</v>
      </c>
      <c r="Q54" s="60">
        <f t="shared" ref="Q54:R54" si="17">SUM(Q51:Q53)</f>
        <v>533.4</v>
      </c>
      <c r="R54" s="60">
        <f t="shared" si="17"/>
        <v>533.4</v>
      </c>
      <c r="S54" s="60">
        <f t="shared" si="13"/>
        <v>533.4</v>
      </c>
      <c r="T54" s="60">
        <f t="shared" ref="T54:U54" si="18">SUM(T51:T53)</f>
        <v>533.4</v>
      </c>
      <c r="U54" s="60">
        <f t="shared" si="18"/>
        <v>533.4</v>
      </c>
      <c r="V54" s="60">
        <f t="shared" ref="V54" si="19">SUM(V51:V53)</f>
        <v>533.4</v>
      </c>
      <c r="W54" s="60">
        <f t="shared" si="13"/>
        <v>533.4</v>
      </c>
      <c r="X54" s="60">
        <f t="shared" si="13"/>
        <v>533.4</v>
      </c>
      <c r="Y54" s="60">
        <f t="shared" si="13"/>
        <v>533.4</v>
      </c>
      <c r="Z54" s="60">
        <f t="shared" si="13"/>
        <v>533.4</v>
      </c>
      <c r="AA54" s="60">
        <f t="shared" si="13"/>
        <v>533.4</v>
      </c>
      <c r="AB54" s="60">
        <f t="shared" si="13"/>
        <v>536.4</v>
      </c>
      <c r="AC54" s="60">
        <f t="shared" si="13"/>
        <v>536.4</v>
      </c>
      <c r="AD54" s="60">
        <f t="shared" si="13"/>
        <v>536.4</v>
      </c>
      <c r="AE54" s="60">
        <f t="shared" ref="AE54:AF54" si="20">SUM(AE51:AE53)</f>
        <v>533.4</v>
      </c>
      <c r="AF54" s="60">
        <f t="shared" si="20"/>
        <v>533.4</v>
      </c>
      <c r="AG54" s="61">
        <f t="shared" si="13"/>
        <v>538.1</v>
      </c>
      <c r="AH54" s="47">
        <f t="shared" si="2"/>
        <v>536.4</v>
      </c>
      <c r="AI54" s="48">
        <f t="shared" si="3"/>
        <v>533.4</v>
      </c>
      <c r="AK54" s="50"/>
    </row>
    <row r="55" spans="1:41" x14ac:dyDescent="0.25">
      <c r="A55" s="44" t="s">
        <v>63</v>
      </c>
      <c r="B55" s="45">
        <v>137.69999999999999</v>
      </c>
      <c r="C55" s="45">
        <v>137.69999999999999</v>
      </c>
      <c r="D55" s="45">
        <v>137.69999999999999</v>
      </c>
      <c r="E55" s="45">
        <v>137.69999999999999</v>
      </c>
      <c r="F55" s="45">
        <v>137.69999999999999</v>
      </c>
      <c r="G55" s="45">
        <v>137.69999999999999</v>
      </c>
      <c r="H55" s="45">
        <v>137.69999999999999</v>
      </c>
      <c r="I55" s="45">
        <v>137.69999999999999</v>
      </c>
      <c r="J55" s="45">
        <v>137.69999999999999</v>
      </c>
      <c r="K55" s="45">
        <v>137.69999999999999</v>
      </c>
      <c r="L55" s="45">
        <v>137.69999999999999</v>
      </c>
      <c r="M55" s="45">
        <v>137.30000000000001</v>
      </c>
      <c r="N55" s="45">
        <v>137.30000000000001</v>
      </c>
      <c r="O55" s="45">
        <v>137.30000000000001</v>
      </c>
      <c r="P55" s="45">
        <v>138.30000000000001</v>
      </c>
      <c r="Q55" s="45">
        <v>137.69999999999999</v>
      </c>
      <c r="R55" s="45">
        <v>138</v>
      </c>
      <c r="S55" s="45">
        <v>138</v>
      </c>
      <c r="T55" s="45">
        <v>136.9</v>
      </c>
      <c r="U55" s="45">
        <v>137</v>
      </c>
      <c r="V55" s="45">
        <v>137.4</v>
      </c>
      <c r="W55" s="45">
        <v>137.4</v>
      </c>
      <c r="X55" s="45">
        <v>137.4</v>
      </c>
      <c r="Y55" s="45">
        <v>137.4</v>
      </c>
      <c r="Z55" s="45">
        <v>137.4</v>
      </c>
      <c r="AA55" s="45">
        <v>137.4</v>
      </c>
      <c r="AB55" s="45">
        <v>137.4</v>
      </c>
      <c r="AC55" s="45">
        <v>137.4</v>
      </c>
      <c r="AD55" s="45">
        <v>137.4</v>
      </c>
      <c r="AE55" s="45">
        <v>137.69999999999999</v>
      </c>
      <c r="AF55" s="45">
        <v>137.5</v>
      </c>
      <c r="AG55" s="51">
        <v>144</v>
      </c>
      <c r="AH55" s="47">
        <f t="shared" si="2"/>
        <v>138.30000000000001</v>
      </c>
      <c r="AI55" s="48">
        <f t="shared" si="3"/>
        <v>136.9</v>
      </c>
      <c r="AK55" s="50"/>
    </row>
    <row r="56" spans="1:41" x14ac:dyDescent="0.25">
      <c r="A56" s="53" t="s">
        <v>64</v>
      </c>
      <c r="B56" s="64">
        <v>70.5</v>
      </c>
      <c r="C56" s="64">
        <v>70.5</v>
      </c>
      <c r="D56" s="64">
        <v>70.5</v>
      </c>
      <c r="E56" s="64">
        <v>70.5</v>
      </c>
      <c r="F56" s="64">
        <v>70.5</v>
      </c>
      <c r="G56" s="64">
        <v>70.5</v>
      </c>
      <c r="H56" s="64">
        <v>70.5</v>
      </c>
      <c r="I56" s="64">
        <v>70.5</v>
      </c>
      <c r="J56" s="64">
        <v>70.5</v>
      </c>
      <c r="K56" s="64">
        <v>70.5</v>
      </c>
      <c r="L56" s="64">
        <v>70.5</v>
      </c>
      <c r="M56" s="64">
        <v>69.8</v>
      </c>
      <c r="N56" s="64">
        <v>69.8</v>
      </c>
      <c r="O56" s="64">
        <v>69.8</v>
      </c>
      <c r="P56" s="64">
        <v>70.099999999999994</v>
      </c>
      <c r="Q56" s="64">
        <v>70.099999999999994</v>
      </c>
      <c r="R56" s="64">
        <v>69.900000000000006</v>
      </c>
      <c r="S56" s="64">
        <v>60</v>
      </c>
      <c r="T56" s="64">
        <v>70.8</v>
      </c>
      <c r="U56" s="64">
        <v>70.099999999999994</v>
      </c>
      <c r="V56" s="64">
        <v>70.099999999999994</v>
      </c>
      <c r="W56" s="64">
        <v>70.099999999999994</v>
      </c>
      <c r="X56" s="64">
        <v>70.099999999999994</v>
      </c>
      <c r="Y56" s="64">
        <v>70.099999999999994</v>
      </c>
      <c r="Z56" s="64">
        <v>70.099999999999994</v>
      </c>
      <c r="AA56" s="64">
        <v>70.099999999999994</v>
      </c>
      <c r="AB56" s="64">
        <v>70.099999999999994</v>
      </c>
      <c r="AC56" s="64">
        <v>70.099999999999994</v>
      </c>
      <c r="AD56" s="64">
        <v>70.099999999999994</v>
      </c>
      <c r="AE56" s="64">
        <v>70</v>
      </c>
      <c r="AF56" s="64">
        <v>69.5</v>
      </c>
      <c r="AG56" s="54">
        <v>70</v>
      </c>
      <c r="AH56" s="47">
        <f t="shared" si="2"/>
        <v>70.8</v>
      </c>
      <c r="AI56" s="48">
        <f t="shared" si="3"/>
        <v>60</v>
      </c>
      <c r="AK56" s="50"/>
    </row>
    <row r="57" spans="1:41" x14ac:dyDescent="0.25">
      <c r="A57" s="53" t="s">
        <v>65</v>
      </c>
      <c r="B57" s="64">
        <v>65.599999999999994</v>
      </c>
      <c r="C57" s="64">
        <v>65.599999999999994</v>
      </c>
      <c r="D57" s="64">
        <v>65.599999999999994</v>
      </c>
      <c r="E57" s="64">
        <v>65.599999999999994</v>
      </c>
      <c r="F57" s="64">
        <v>65.599999999999994</v>
      </c>
      <c r="G57" s="64">
        <v>65.599999999999994</v>
      </c>
      <c r="H57" s="64">
        <v>65.599999999999994</v>
      </c>
      <c r="I57" s="64">
        <v>65.599999999999994</v>
      </c>
      <c r="J57" s="64">
        <v>65.599999999999994</v>
      </c>
      <c r="K57" s="64">
        <v>65.599999999999994</v>
      </c>
      <c r="L57" s="64">
        <v>65.599999999999994</v>
      </c>
      <c r="M57" s="64">
        <v>64.599999999999994</v>
      </c>
      <c r="N57" s="64">
        <v>64.599999999999994</v>
      </c>
      <c r="O57" s="64">
        <v>64.599999999999994</v>
      </c>
      <c r="P57" s="64">
        <v>64.8</v>
      </c>
      <c r="Q57" s="64">
        <v>64.8</v>
      </c>
      <c r="R57" s="64">
        <v>64.8</v>
      </c>
      <c r="S57" s="64">
        <v>64.8</v>
      </c>
      <c r="T57" s="64">
        <v>64.900000000000006</v>
      </c>
      <c r="U57" s="64">
        <v>48.8</v>
      </c>
      <c r="V57" s="64">
        <v>62.5</v>
      </c>
      <c r="W57" s="64">
        <v>65</v>
      </c>
      <c r="X57" s="64">
        <v>65</v>
      </c>
      <c r="Y57" s="64">
        <v>65</v>
      </c>
      <c r="Z57" s="64">
        <v>65</v>
      </c>
      <c r="AA57" s="64">
        <v>65</v>
      </c>
      <c r="AB57" s="64">
        <v>65</v>
      </c>
      <c r="AC57" s="64">
        <v>65</v>
      </c>
      <c r="AD57" s="64">
        <v>65</v>
      </c>
      <c r="AE57" s="64">
        <v>63.5</v>
      </c>
      <c r="AF57" s="64">
        <v>64.8</v>
      </c>
      <c r="AG57" s="54">
        <v>69</v>
      </c>
      <c r="AH57" s="47">
        <f t="shared" si="2"/>
        <v>65.599999999999994</v>
      </c>
      <c r="AI57" s="48">
        <f t="shared" si="3"/>
        <v>48.8</v>
      </c>
      <c r="AK57" s="50"/>
    </row>
    <row r="58" spans="1:41" x14ac:dyDescent="0.25">
      <c r="A58" s="53" t="s">
        <v>66</v>
      </c>
      <c r="B58" s="64">
        <v>60</v>
      </c>
      <c r="C58" s="64">
        <v>60</v>
      </c>
      <c r="D58" s="64">
        <v>60</v>
      </c>
      <c r="E58" s="64">
        <v>60</v>
      </c>
      <c r="F58" s="64">
        <v>60</v>
      </c>
      <c r="G58" s="64">
        <v>60</v>
      </c>
      <c r="H58" s="64">
        <v>60</v>
      </c>
      <c r="I58" s="64">
        <v>60</v>
      </c>
      <c r="J58" s="64">
        <v>60</v>
      </c>
      <c r="K58" s="64">
        <v>60</v>
      </c>
      <c r="L58" s="64">
        <v>60</v>
      </c>
      <c r="M58" s="64">
        <v>59.2</v>
      </c>
      <c r="N58" s="64">
        <v>51.4</v>
      </c>
      <c r="O58" s="64">
        <v>51.4</v>
      </c>
      <c r="P58" s="64">
        <v>60.4</v>
      </c>
      <c r="Q58" s="64">
        <v>60.4</v>
      </c>
      <c r="R58" s="64">
        <v>60.4</v>
      </c>
      <c r="S58" s="64">
        <v>60.4</v>
      </c>
      <c r="T58" s="64">
        <v>60.4</v>
      </c>
      <c r="U58" s="64">
        <v>60.4</v>
      </c>
      <c r="V58" s="64">
        <v>30</v>
      </c>
      <c r="W58" s="64">
        <v>30</v>
      </c>
      <c r="X58" s="64">
        <v>30</v>
      </c>
      <c r="Y58" s="64">
        <v>30</v>
      </c>
      <c r="Z58" s="64">
        <v>30</v>
      </c>
      <c r="AA58" s="64">
        <v>30</v>
      </c>
      <c r="AB58" s="64">
        <v>30</v>
      </c>
      <c r="AC58" s="64">
        <v>30</v>
      </c>
      <c r="AD58" s="64">
        <v>30</v>
      </c>
      <c r="AE58" s="64">
        <v>30</v>
      </c>
      <c r="AF58" s="64">
        <v>30</v>
      </c>
      <c r="AG58" s="54">
        <v>60</v>
      </c>
      <c r="AH58" s="47">
        <f t="shared" si="2"/>
        <v>60.4</v>
      </c>
      <c r="AI58" s="48">
        <f t="shared" si="3"/>
        <v>30</v>
      </c>
      <c r="AK58" s="50"/>
    </row>
    <row r="59" spans="1:41" x14ac:dyDescent="0.25">
      <c r="A59" s="53" t="s">
        <v>67</v>
      </c>
      <c r="B59" s="64">
        <v>30</v>
      </c>
      <c r="C59" s="64">
        <v>30</v>
      </c>
      <c r="D59" s="64">
        <v>15</v>
      </c>
      <c r="E59" s="64">
        <v>15</v>
      </c>
      <c r="F59" s="64">
        <v>15</v>
      </c>
      <c r="G59" s="64">
        <v>15</v>
      </c>
      <c r="H59" s="64">
        <v>15</v>
      </c>
      <c r="I59" s="64">
        <v>0</v>
      </c>
      <c r="J59" s="64">
        <v>0</v>
      </c>
      <c r="K59" s="64">
        <v>0</v>
      </c>
      <c r="L59" s="64">
        <v>15</v>
      </c>
      <c r="M59" s="64">
        <v>28</v>
      </c>
      <c r="N59" s="64">
        <v>28</v>
      </c>
      <c r="O59" s="64">
        <v>28</v>
      </c>
      <c r="P59" s="64">
        <v>28</v>
      </c>
      <c r="Q59" s="64">
        <v>28</v>
      </c>
      <c r="R59" s="64">
        <v>28</v>
      </c>
      <c r="S59" s="64">
        <v>28</v>
      </c>
      <c r="T59" s="64">
        <v>28</v>
      </c>
      <c r="U59" s="64">
        <v>28</v>
      </c>
      <c r="V59" s="64">
        <v>28</v>
      </c>
      <c r="W59" s="64">
        <v>28</v>
      </c>
      <c r="X59" s="64">
        <v>28</v>
      </c>
      <c r="Y59" s="64">
        <v>28</v>
      </c>
      <c r="Z59" s="64">
        <v>28</v>
      </c>
      <c r="AA59" s="64">
        <v>28</v>
      </c>
      <c r="AB59" s="64">
        <v>28</v>
      </c>
      <c r="AC59" s="64">
        <v>28</v>
      </c>
      <c r="AD59" s="64">
        <v>28</v>
      </c>
      <c r="AE59" s="64">
        <v>28</v>
      </c>
      <c r="AF59" s="64">
        <v>28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7.4</v>
      </c>
      <c r="N60" s="64">
        <v>7.4</v>
      </c>
      <c r="O60" s="64">
        <v>7.4</v>
      </c>
      <c r="P60" s="64">
        <v>17</v>
      </c>
      <c r="Q60" s="64">
        <v>19.3</v>
      </c>
      <c r="R60" s="64">
        <v>18</v>
      </c>
      <c r="S60" s="64">
        <v>10</v>
      </c>
      <c r="T60" s="64">
        <v>6.7</v>
      </c>
      <c r="U60" s="64">
        <v>3.2</v>
      </c>
      <c r="V60" s="64">
        <v>3.2</v>
      </c>
      <c r="W60" s="64">
        <v>1.8</v>
      </c>
      <c r="X60" s="64">
        <v>1.2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54">
        <v>25</v>
      </c>
      <c r="AH60" s="47">
        <f t="shared" si="2"/>
        <v>19.3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13</v>
      </c>
      <c r="C61" s="64">
        <v>13</v>
      </c>
      <c r="D61" s="64">
        <v>13</v>
      </c>
      <c r="E61" s="64">
        <v>13</v>
      </c>
      <c r="F61" s="64">
        <v>13</v>
      </c>
      <c r="G61" s="64">
        <v>13</v>
      </c>
      <c r="H61" s="64">
        <v>13</v>
      </c>
      <c r="I61" s="64">
        <v>13</v>
      </c>
      <c r="J61" s="64">
        <v>13</v>
      </c>
      <c r="K61" s="64">
        <v>13</v>
      </c>
      <c r="L61" s="64">
        <v>13</v>
      </c>
      <c r="M61" s="64">
        <v>13</v>
      </c>
      <c r="N61" s="64">
        <v>13</v>
      </c>
      <c r="O61" s="64">
        <v>13</v>
      </c>
      <c r="P61" s="64">
        <v>13</v>
      </c>
      <c r="Q61" s="64">
        <v>13</v>
      </c>
      <c r="R61" s="64">
        <v>13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13</v>
      </c>
      <c r="AK61" s="50"/>
    </row>
    <row r="62" spans="1:41" x14ac:dyDescent="0.25">
      <c r="A62" s="53" t="s">
        <v>70</v>
      </c>
      <c r="B62" s="64">
        <v>3.2</v>
      </c>
      <c r="C62" s="64">
        <v>3.2</v>
      </c>
      <c r="D62" s="64">
        <v>3.2</v>
      </c>
      <c r="E62" s="64">
        <v>3.2</v>
      </c>
      <c r="F62" s="64">
        <v>3.2</v>
      </c>
      <c r="G62" s="64">
        <v>3.2</v>
      </c>
      <c r="H62" s="64">
        <v>3.2</v>
      </c>
      <c r="I62" s="64">
        <v>3.2</v>
      </c>
      <c r="J62" s="64">
        <v>3.2</v>
      </c>
      <c r="K62" s="64">
        <v>3.2</v>
      </c>
      <c r="L62" s="64">
        <v>3.2</v>
      </c>
      <c r="M62" s="64">
        <v>3.2</v>
      </c>
      <c r="N62" s="64">
        <v>3.2</v>
      </c>
      <c r="O62" s="64">
        <v>3.2</v>
      </c>
      <c r="P62" s="64">
        <v>3.2</v>
      </c>
      <c r="Q62" s="64">
        <v>3.2</v>
      </c>
      <c r="R62" s="64">
        <v>3.2</v>
      </c>
      <c r="S62" s="64">
        <v>3.2</v>
      </c>
      <c r="T62" s="64">
        <v>3.2</v>
      </c>
      <c r="U62" s="64">
        <v>3.2</v>
      </c>
      <c r="V62" s="64">
        <v>3.2</v>
      </c>
      <c r="W62" s="64">
        <v>3.2</v>
      </c>
      <c r="X62" s="64">
        <v>3.2</v>
      </c>
      <c r="Y62" s="64">
        <v>3.2</v>
      </c>
      <c r="Z62" s="64">
        <v>3.2</v>
      </c>
      <c r="AA62" s="64">
        <v>3.2</v>
      </c>
      <c r="AB62" s="64">
        <v>3.2</v>
      </c>
      <c r="AC62" s="64">
        <v>3.2</v>
      </c>
      <c r="AD62" s="64">
        <v>3.2</v>
      </c>
      <c r="AE62" s="64">
        <v>3.2</v>
      </c>
      <c r="AF62" s="64">
        <v>3.2</v>
      </c>
      <c r="AG62" s="54">
        <v>15</v>
      </c>
      <c r="AH62" s="47">
        <f t="shared" si="2"/>
        <v>3.2</v>
      </c>
      <c r="AI62" s="48">
        <f t="shared" si="3"/>
        <v>3.2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10.199999999999999</v>
      </c>
      <c r="C63" s="64">
        <v>10.199999999999999</v>
      </c>
      <c r="D63" s="64">
        <v>10.199999999999999</v>
      </c>
      <c r="E63" s="64">
        <v>10.199999999999999</v>
      </c>
      <c r="F63" s="64">
        <v>10.199999999999999</v>
      </c>
      <c r="G63" s="64">
        <v>10.199999999999999</v>
      </c>
      <c r="H63" s="64">
        <v>10.199999999999999</v>
      </c>
      <c r="I63" s="64">
        <v>10.199999999999999</v>
      </c>
      <c r="J63" s="64">
        <v>10.199999999999999</v>
      </c>
      <c r="K63" s="64">
        <v>10.199999999999999</v>
      </c>
      <c r="L63" s="64">
        <v>10.199999999999999</v>
      </c>
      <c r="M63" s="64">
        <v>10.199999999999999</v>
      </c>
      <c r="N63" s="64">
        <v>10.199999999999999</v>
      </c>
      <c r="O63" s="64">
        <v>10.199999999999999</v>
      </c>
      <c r="P63" s="64">
        <v>10.199999999999999</v>
      </c>
      <c r="Q63" s="64">
        <v>8.5</v>
      </c>
      <c r="R63" s="64">
        <v>8.5</v>
      </c>
      <c r="S63" s="64">
        <v>8.5</v>
      </c>
      <c r="T63" s="64">
        <v>8.5</v>
      </c>
      <c r="U63" s="64">
        <v>8.5</v>
      </c>
      <c r="V63" s="64">
        <v>9.9</v>
      </c>
      <c r="W63" s="64">
        <v>9.9</v>
      </c>
      <c r="X63" s="64">
        <v>10.199999999999999</v>
      </c>
      <c r="Y63" s="64">
        <v>10.199999999999999</v>
      </c>
      <c r="Z63" s="64">
        <v>10.199999999999999</v>
      </c>
      <c r="AA63" s="64">
        <v>10.199999999999999</v>
      </c>
      <c r="AB63" s="64">
        <v>10.199999999999999</v>
      </c>
      <c r="AC63" s="64">
        <v>10.199999999999999</v>
      </c>
      <c r="AD63" s="64">
        <v>10.199999999999999</v>
      </c>
      <c r="AE63" s="64">
        <v>10.7</v>
      </c>
      <c r="AF63" s="64">
        <v>11</v>
      </c>
      <c r="AG63" s="54">
        <v>14.1</v>
      </c>
      <c r="AH63" s="47">
        <f t="shared" si="2"/>
        <v>11</v>
      </c>
      <c r="AI63" s="48">
        <f t="shared" si="3"/>
        <v>8.5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13.8</v>
      </c>
      <c r="C64" s="64">
        <v>13.8</v>
      </c>
      <c r="D64" s="64">
        <v>13.8</v>
      </c>
      <c r="E64" s="64">
        <v>13.8</v>
      </c>
      <c r="F64" s="64">
        <v>13.8</v>
      </c>
      <c r="G64" s="64">
        <v>13.8</v>
      </c>
      <c r="H64" s="64">
        <v>13.8</v>
      </c>
      <c r="I64" s="64">
        <v>13.8</v>
      </c>
      <c r="J64" s="64">
        <v>13.8</v>
      </c>
      <c r="K64" s="64">
        <v>13.8</v>
      </c>
      <c r="L64" s="64">
        <v>13.8</v>
      </c>
      <c r="M64" s="64">
        <v>13.8</v>
      </c>
      <c r="N64" s="64">
        <v>13.8</v>
      </c>
      <c r="O64" s="64">
        <v>13.8</v>
      </c>
      <c r="P64" s="64">
        <v>13.8</v>
      </c>
      <c r="Q64" s="64">
        <v>13.8</v>
      </c>
      <c r="R64" s="64">
        <v>13.8</v>
      </c>
      <c r="S64" s="64">
        <v>13.8</v>
      </c>
      <c r="T64" s="64">
        <v>13.3</v>
      </c>
      <c r="U64" s="64">
        <v>13.6</v>
      </c>
      <c r="V64" s="64">
        <v>13.6</v>
      </c>
      <c r="W64" s="64">
        <v>13.6</v>
      </c>
      <c r="X64" s="64">
        <v>13.6</v>
      </c>
      <c r="Y64" s="64">
        <v>13.6</v>
      </c>
      <c r="Z64" s="64">
        <v>13.6</v>
      </c>
      <c r="AA64" s="64">
        <v>13.6</v>
      </c>
      <c r="AB64" s="64">
        <v>13.6</v>
      </c>
      <c r="AC64" s="64">
        <v>13.6</v>
      </c>
      <c r="AD64" s="64">
        <v>13.6</v>
      </c>
      <c r="AE64" s="64">
        <v>5</v>
      </c>
      <c r="AF64" s="64">
        <v>14.1</v>
      </c>
      <c r="AG64" s="54">
        <v>14</v>
      </c>
      <c r="AH64" s="47">
        <f t="shared" si="2"/>
        <v>14.1</v>
      </c>
      <c r="AI64" s="48">
        <f t="shared" si="3"/>
        <v>5</v>
      </c>
      <c r="AK64" s="50"/>
    </row>
    <row r="65" spans="1:40" x14ac:dyDescent="0.25">
      <c r="A65" s="53" t="s">
        <v>73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>
        <v>9</v>
      </c>
      <c r="L65" s="64">
        <v>9</v>
      </c>
      <c r="M65" s="64">
        <v>9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9.1999999999999993</v>
      </c>
      <c r="T65" s="64">
        <v>9.1999999999999993</v>
      </c>
      <c r="U65" s="64">
        <v>9.1999999999999993</v>
      </c>
      <c r="V65" s="64">
        <v>9.1999999999999993</v>
      </c>
      <c r="W65" s="64">
        <v>9.1999999999999993</v>
      </c>
      <c r="X65" s="64">
        <v>9.1999999999999993</v>
      </c>
      <c r="Y65" s="64">
        <v>9.1999999999999993</v>
      </c>
      <c r="Z65" s="64">
        <v>9.1999999999999993</v>
      </c>
      <c r="AA65" s="64">
        <v>9.1999999999999993</v>
      </c>
      <c r="AB65" s="64">
        <v>9.1999999999999993</v>
      </c>
      <c r="AC65" s="64">
        <v>9.1999999999999993</v>
      </c>
      <c r="AD65" s="64">
        <v>9.1999999999999993</v>
      </c>
      <c r="AE65" s="64">
        <v>9.1999999999999993</v>
      </c>
      <c r="AF65" s="64">
        <v>9.1999999999999993</v>
      </c>
      <c r="AG65" s="54">
        <v>10.050000000000001</v>
      </c>
      <c r="AH65" s="47">
        <f t="shared" si="2"/>
        <v>9.1999999999999993</v>
      </c>
      <c r="AI65" s="48">
        <f t="shared" si="3"/>
        <v>0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v>449.53999999999996</v>
      </c>
      <c r="C68" s="60">
        <f t="shared" ref="C68:AG68" si="21">SUM(C55:C67)</f>
        <v>422.73999999999995</v>
      </c>
      <c r="D68" s="60">
        <f t="shared" si="21"/>
        <v>407.73999999999995</v>
      </c>
      <c r="E68" s="60">
        <f t="shared" si="21"/>
        <v>407.73999999999995</v>
      </c>
      <c r="F68" s="60">
        <f t="shared" si="21"/>
        <v>407.73999999999995</v>
      </c>
      <c r="G68" s="60">
        <f t="shared" ref="G68:H68" si="22">SUM(G55:G67)</f>
        <v>407.73999999999995</v>
      </c>
      <c r="H68" s="60">
        <f t="shared" si="22"/>
        <v>407.73999999999995</v>
      </c>
      <c r="I68" s="60">
        <f t="shared" ref="I68:J68" si="23">SUM(I55:I67)</f>
        <v>392.73999999999995</v>
      </c>
      <c r="J68" s="60">
        <f t="shared" si="23"/>
        <v>392.73999999999995</v>
      </c>
      <c r="K68" s="60">
        <f t="shared" si="21"/>
        <v>392.73999999999995</v>
      </c>
      <c r="L68" s="60">
        <f t="shared" si="21"/>
        <v>407.73999999999995</v>
      </c>
      <c r="M68" s="60">
        <f t="shared" si="21"/>
        <v>425.24</v>
      </c>
      <c r="N68" s="60">
        <f t="shared" si="21"/>
        <v>408.44</v>
      </c>
      <c r="O68" s="60">
        <f t="shared" si="21"/>
        <v>408.44</v>
      </c>
      <c r="P68" s="60">
        <f t="shared" si="21"/>
        <v>428.53999999999996</v>
      </c>
      <c r="Q68" s="60">
        <f t="shared" ref="Q68:R68" si="24">SUM(Q55:Q67)</f>
        <v>428.53999999999996</v>
      </c>
      <c r="R68" s="60">
        <f t="shared" si="24"/>
        <v>427.34</v>
      </c>
      <c r="S68" s="60">
        <f t="shared" si="21"/>
        <v>420.64</v>
      </c>
      <c r="T68" s="60">
        <f t="shared" ref="T68:U68" si="25">SUM(T55:T67)</f>
        <v>426.64</v>
      </c>
      <c r="U68" s="60">
        <f t="shared" si="25"/>
        <v>406.73999999999995</v>
      </c>
      <c r="V68" s="60">
        <f t="shared" ref="V68" si="26">SUM(V55:V67)</f>
        <v>391.84</v>
      </c>
      <c r="W68" s="60">
        <f t="shared" si="21"/>
        <v>392.94</v>
      </c>
      <c r="X68" s="60">
        <f t="shared" si="21"/>
        <v>392.64</v>
      </c>
      <c r="Y68" s="60">
        <f t="shared" si="21"/>
        <v>391.44</v>
      </c>
      <c r="Z68" s="60">
        <f t="shared" si="21"/>
        <v>391.44</v>
      </c>
      <c r="AA68" s="60">
        <f t="shared" si="21"/>
        <v>391.44</v>
      </c>
      <c r="AB68" s="60">
        <f t="shared" si="21"/>
        <v>391.44</v>
      </c>
      <c r="AC68" s="60">
        <f t="shared" si="21"/>
        <v>391.44</v>
      </c>
      <c r="AD68" s="60">
        <f t="shared" si="21"/>
        <v>391.44</v>
      </c>
      <c r="AE68" s="60">
        <f t="shared" ref="AE68:AF68" si="27">SUM(AE55:AE67)</f>
        <v>382.03999999999996</v>
      </c>
      <c r="AF68" s="60">
        <f t="shared" si="27"/>
        <v>392.04</v>
      </c>
      <c r="AG68" s="61">
        <f t="shared" si="21"/>
        <v>489.91</v>
      </c>
      <c r="AH68" s="47">
        <f t="shared" si="2"/>
        <v>449.53999999999996</v>
      </c>
      <c r="AI68" s="48">
        <f t="shared" si="3"/>
        <v>382.03999999999996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14.3</v>
      </c>
      <c r="P69" s="45">
        <v>10.8</v>
      </c>
      <c r="Q69" s="45">
        <v>24.6</v>
      </c>
      <c r="R69" s="45">
        <v>13</v>
      </c>
      <c r="S69" s="45">
        <v>13</v>
      </c>
      <c r="T69" s="45">
        <v>9.8000000000000007</v>
      </c>
      <c r="U69" s="45">
        <v>9.8000000000000007</v>
      </c>
      <c r="V69" s="45">
        <v>9.8000000000000007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24.6</v>
      </c>
      <c r="AI69" s="48">
        <f t="shared" si="3"/>
        <v>0</v>
      </c>
      <c r="AK69" s="50"/>
    </row>
    <row r="70" spans="1:40" x14ac:dyDescent="0.25">
      <c r="A70" s="53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5.3</v>
      </c>
      <c r="P70" s="64">
        <v>4.4000000000000004</v>
      </c>
      <c r="Q70" s="64">
        <v>12.1</v>
      </c>
      <c r="R70" s="64">
        <v>5.8</v>
      </c>
      <c r="S70" s="64">
        <v>5.8</v>
      </c>
      <c r="T70" s="64">
        <v>4.4000000000000004</v>
      </c>
      <c r="U70" s="64">
        <v>3.9</v>
      </c>
      <c r="V70" s="64">
        <v>5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12.1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2.1</v>
      </c>
      <c r="P71" s="66">
        <v>1.6</v>
      </c>
      <c r="Q71" s="66">
        <v>4.4000000000000004</v>
      </c>
      <c r="R71" s="66">
        <v>2.1</v>
      </c>
      <c r="S71" s="66">
        <v>0</v>
      </c>
      <c r="T71" s="66">
        <v>0</v>
      </c>
      <c r="U71" s="66">
        <v>0</v>
      </c>
      <c r="V71" s="66">
        <v>1.8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4.4000000000000004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D72" si="28">M69+M70+M71</f>
        <v>0</v>
      </c>
      <c r="N72" s="60">
        <f t="shared" si="28"/>
        <v>0</v>
      </c>
      <c r="O72" s="60">
        <f t="shared" si="28"/>
        <v>21.700000000000003</v>
      </c>
      <c r="P72" s="60">
        <f t="shared" si="28"/>
        <v>16.8</v>
      </c>
      <c r="Q72" s="60">
        <f t="shared" ref="Q72:R72" si="29">Q69+Q70+Q71</f>
        <v>41.1</v>
      </c>
      <c r="R72" s="60">
        <f t="shared" si="29"/>
        <v>20.900000000000002</v>
      </c>
      <c r="S72" s="60">
        <f t="shared" si="28"/>
        <v>18.8</v>
      </c>
      <c r="T72" s="60">
        <f t="shared" ref="T72:U72" si="30">T69+T70+T71</f>
        <v>14.200000000000001</v>
      </c>
      <c r="U72" s="60">
        <f t="shared" si="30"/>
        <v>13.700000000000001</v>
      </c>
      <c r="V72" s="60">
        <f t="shared" ref="V72" si="31">V69+V70+V71</f>
        <v>16.600000000000001</v>
      </c>
      <c r="W72" s="60">
        <f t="shared" si="28"/>
        <v>0</v>
      </c>
      <c r="X72" s="60">
        <f t="shared" si="28"/>
        <v>0</v>
      </c>
      <c r="Y72" s="60">
        <f t="shared" si="28"/>
        <v>0</v>
      </c>
      <c r="Z72" s="60">
        <f t="shared" si="28"/>
        <v>0</v>
      </c>
      <c r="AA72" s="60">
        <f t="shared" si="28"/>
        <v>0</v>
      </c>
      <c r="AB72" s="60">
        <f t="shared" si="28"/>
        <v>0</v>
      </c>
      <c r="AC72" s="60">
        <f t="shared" si="28"/>
        <v>0</v>
      </c>
      <c r="AD72" s="60">
        <f t="shared" si="28"/>
        <v>0</v>
      </c>
      <c r="AE72" s="60">
        <f t="shared" ref="AE72:AF72" si="32">AE69+AE70+AE71</f>
        <v>0</v>
      </c>
      <c r="AF72" s="60">
        <f t="shared" si="32"/>
        <v>0</v>
      </c>
      <c r="AG72" s="61">
        <f>SUM(AG69:AG71)</f>
        <v>106</v>
      </c>
      <c r="AH72" s="47">
        <f t="shared" si="2"/>
        <v>41.1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50</v>
      </c>
      <c r="C73" s="45">
        <v>40</v>
      </c>
      <c r="D73" s="45">
        <v>40</v>
      </c>
      <c r="E73" s="45">
        <v>40</v>
      </c>
      <c r="F73" s="45">
        <v>40</v>
      </c>
      <c r="G73" s="45">
        <v>50</v>
      </c>
      <c r="H73" s="45">
        <v>53</v>
      </c>
      <c r="I73" s="45">
        <v>30</v>
      </c>
      <c r="J73" s="45">
        <v>25</v>
      </c>
      <c r="K73" s="45">
        <v>-1.4</v>
      </c>
      <c r="L73" s="45">
        <v>28.9</v>
      </c>
      <c r="M73" s="45">
        <v>16.2</v>
      </c>
      <c r="N73" s="45">
        <v>30</v>
      </c>
      <c r="O73" s="45">
        <v>48.9</v>
      </c>
      <c r="P73" s="45">
        <v>60.7</v>
      </c>
      <c r="Q73" s="45">
        <v>54.4</v>
      </c>
      <c r="R73" s="45">
        <v>60</v>
      </c>
      <c r="S73" s="45">
        <v>65</v>
      </c>
      <c r="T73" s="45">
        <v>61.8</v>
      </c>
      <c r="U73" s="45">
        <v>72.5</v>
      </c>
      <c r="V73" s="45">
        <v>70.3</v>
      </c>
      <c r="W73" s="45">
        <v>21.4</v>
      </c>
      <c r="X73" s="45">
        <v>15.6</v>
      </c>
      <c r="Y73" s="45">
        <v>29.2</v>
      </c>
      <c r="Z73" s="45">
        <v>21.7</v>
      </c>
      <c r="AA73" s="45">
        <v>21.6</v>
      </c>
      <c r="AB73" s="45">
        <v>40</v>
      </c>
      <c r="AC73" s="45">
        <v>42.7</v>
      </c>
      <c r="AD73" s="45">
        <v>41.8</v>
      </c>
      <c r="AE73" s="45">
        <v>40.6</v>
      </c>
      <c r="AF73" s="45">
        <v>42.6</v>
      </c>
      <c r="AG73" s="51"/>
      <c r="AH73" s="47">
        <f t="shared" si="2"/>
        <v>72.5</v>
      </c>
      <c r="AI73" s="48">
        <f t="shared" si="3"/>
        <v>-1.4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-228</v>
      </c>
      <c r="C75" s="64">
        <v>-230</v>
      </c>
      <c r="D75" s="64">
        <v>-220</v>
      </c>
      <c r="E75" s="64">
        <v>-230</v>
      </c>
      <c r="F75" s="64">
        <v>-290</v>
      </c>
      <c r="G75" s="64">
        <v>-315</v>
      </c>
      <c r="H75" s="64">
        <v>-350</v>
      </c>
      <c r="I75" s="64">
        <v>-386</v>
      </c>
      <c r="J75" s="64">
        <v>-370</v>
      </c>
      <c r="K75" s="64">
        <v>-341</v>
      </c>
      <c r="L75" s="64">
        <v>-325</v>
      </c>
      <c r="M75" s="64">
        <v>-325</v>
      </c>
      <c r="N75" s="64">
        <v>-305.7</v>
      </c>
      <c r="O75" s="64">
        <v>-300.8</v>
      </c>
      <c r="P75" s="64">
        <v>-177.8</v>
      </c>
      <c r="Q75" s="64">
        <v>-282.39999999999998</v>
      </c>
      <c r="R75" s="64">
        <v>-268.2</v>
      </c>
      <c r="S75" s="64">
        <v>-252</v>
      </c>
      <c r="T75" s="64">
        <v>-277.8</v>
      </c>
      <c r="U75" s="64">
        <v>-267</v>
      </c>
      <c r="V75" s="64">
        <v>-328.7</v>
      </c>
      <c r="W75" s="64">
        <v>-354</v>
      </c>
      <c r="X75" s="64">
        <v>-321</v>
      </c>
      <c r="Y75" s="64">
        <v>-324</v>
      </c>
      <c r="Z75" s="64">
        <v>-247</v>
      </c>
      <c r="AA75" s="64">
        <v>-228</v>
      </c>
      <c r="AB75" s="64">
        <v>-252</v>
      </c>
      <c r="AC75" s="64">
        <v>-256.5</v>
      </c>
      <c r="AD75" s="64">
        <v>-298.2</v>
      </c>
      <c r="AE75" s="64">
        <v>-287</v>
      </c>
      <c r="AF75" s="64">
        <v>-307.2</v>
      </c>
      <c r="AG75" s="74"/>
      <c r="AH75" s="47">
        <f t="shared" si="2"/>
        <v>-177.8</v>
      </c>
      <c r="AI75" s="48">
        <f t="shared" si="3"/>
        <v>-386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64">
        <v>0</v>
      </c>
      <c r="AE76" s="64">
        <v>0</v>
      </c>
      <c r="AF76" s="64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33">MAX(B77:AF77)</f>
        <v>0</v>
      </c>
      <c r="AI77" s="48">
        <f t="shared" ref="AI77:AI120" si="34">MIN(B77:AF77)</f>
        <v>0</v>
      </c>
      <c r="AK77" s="50"/>
    </row>
    <row r="78" spans="1:40" x14ac:dyDescent="0.25">
      <c r="A78" s="53" t="s">
        <v>86</v>
      </c>
      <c r="B78" s="45">
        <v>5</v>
      </c>
      <c r="C78" s="45">
        <v>5</v>
      </c>
      <c r="D78" s="45">
        <v>5</v>
      </c>
      <c r="E78" s="45">
        <v>5</v>
      </c>
      <c r="F78" s="45">
        <v>5</v>
      </c>
      <c r="G78" s="45">
        <v>5</v>
      </c>
      <c r="H78" s="45">
        <v>5</v>
      </c>
      <c r="I78" s="45">
        <v>5</v>
      </c>
      <c r="J78" s="45">
        <v>5</v>
      </c>
      <c r="K78" s="45">
        <v>5</v>
      </c>
      <c r="L78" s="45">
        <v>5</v>
      </c>
      <c r="M78" s="45">
        <v>5</v>
      </c>
      <c r="N78" s="45">
        <v>5</v>
      </c>
      <c r="O78" s="45">
        <v>5</v>
      </c>
      <c r="P78" s="76">
        <v>5</v>
      </c>
      <c r="Q78" s="76">
        <v>5</v>
      </c>
      <c r="R78" s="76">
        <v>5</v>
      </c>
      <c r="S78" s="76">
        <v>5</v>
      </c>
      <c r="T78" s="76">
        <v>5</v>
      </c>
      <c r="U78" s="76">
        <v>5</v>
      </c>
      <c r="V78" s="76">
        <v>5</v>
      </c>
      <c r="W78" s="76">
        <v>5</v>
      </c>
      <c r="X78" s="76">
        <v>5</v>
      </c>
      <c r="Y78" s="76">
        <v>5</v>
      </c>
      <c r="Z78" s="76">
        <v>5</v>
      </c>
      <c r="AA78" s="76">
        <v>5</v>
      </c>
      <c r="AB78" s="76">
        <v>5</v>
      </c>
      <c r="AC78" s="76">
        <v>5</v>
      </c>
      <c r="AD78" s="76">
        <v>5</v>
      </c>
      <c r="AE78" s="76">
        <v>5</v>
      </c>
      <c r="AF78" s="76">
        <v>5</v>
      </c>
      <c r="AG78" s="74"/>
      <c r="AH78" s="47">
        <f t="shared" si="33"/>
        <v>5</v>
      </c>
      <c r="AI78" s="48">
        <f t="shared" si="34"/>
        <v>5</v>
      </c>
      <c r="AK78" s="50"/>
    </row>
    <row r="79" spans="1:40" ht="15.75" thickBot="1" x14ac:dyDescent="0.3">
      <c r="A79" s="53" t="s">
        <v>87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33"/>
        <v>0</v>
      </c>
      <c r="AI79" s="48">
        <f t="shared" si="34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76">
        <v>0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33"/>
        <v>0</v>
      </c>
      <c r="AI80" s="48">
        <f t="shared" si="34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33"/>
        <v>0</v>
      </c>
      <c r="AI81" s="48">
        <f t="shared" si="34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33"/>
        <v>0</v>
      </c>
      <c r="AI82" s="48">
        <f t="shared" si="34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33"/>
        <v>0</v>
      </c>
      <c r="AI83" s="48">
        <f t="shared" si="34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v>51</v>
      </c>
      <c r="C84" s="60">
        <f t="shared" ref="C84:AF84" si="35">SUMIF(C73:C83,"&gt;0")</f>
        <v>45</v>
      </c>
      <c r="D84" s="60">
        <f t="shared" si="35"/>
        <v>45</v>
      </c>
      <c r="E84" s="60">
        <f t="shared" si="35"/>
        <v>45</v>
      </c>
      <c r="F84" s="60">
        <f t="shared" si="35"/>
        <v>45</v>
      </c>
      <c r="G84" s="60">
        <f t="shared" ref="G84:H84" si="36">SUMIF(G73:G83,"&gt;0")</f>
        <v>55</v>
      </c>
      <c r="H84" s="60">
        <f t="shared" si="36"/>
        <v>58</v>
      </c>
      <c r="I84" s="60">
        <f t="shared" ref="I84:J84" si="37">SUMIF(I73:I83,"&gt;0")</f>
        <v>35</v>
      </c>
      <c r="J84" s="60">
        <f t="shared" si="37"/>
        <v>30</v>
      </c>
      <c r="K84" s="60">
        <f t="shared" si="35"/>
        <v>5</v>
      </c>
      <c r="L84" s="60">
        <f t="shared" si="35"/>
        <v>33.9</v>
      </c>
      <c r="M84" s="60">
        <f t="shared" si="35"/>
        <v>21.2</v>
      </c>
      <c r="N84" s="60">
        <f t="shared" si="35"/>
        <v>35</v>
      </c>
      <c r="O84" s="60">
        <f t="shared" si="35"/>
        <v>53.9</v>
      </c>
      <c r="P84" s="60">
        <f t="shared" si="35"/>
        <v>65.7</v>
      </c>
      <c r="Q84" s="60">
        <f t="shared" ref="Q84:R84" si="38">SUMIF(Q73:Q83,"&gt;0")</f>
        <v>59.4</v>
      </c>
      <c r="R84" s="60">
        <f t="shared" si="38"/>
        <v>65</v>
      </c>
      <c r="S84" s="60">
        <f t="shared" si="35"/>
        <v>70</v>
      </c>
      <c r="T84" s="60">
        <f t="shared" ref="T84:U84" si="39">SUMIF(T73:T83,"&gt;0")</f>
        <v>66.8</v>
      </c>
      <c r="U84" s="60">
        <f t="shared" si="39"/>
        <v>77.5</v>
      </c>
      <c r="V84" s="60">
        <f t="shared" ref="V84" si="40">SUMIF(V73:V83,"&gt;0")</f>
        <v>75.3</v>
      </c>
      <c r="W84" s="60">
        <f t="shared" si="35"/>
        <v>26.4</v>
      </c>
      <c r="X84" s="60">
        <f t="shared" si="35"/>
        <v>20.6</v>
      </c>
      <c r="Y84" s="60">
        <f t="shared" si="35"/>
        <v>34.200000000000003</v>
      </c>
      <c r="Z84" s="60">
        <f t="shared" si="35"/>
        <v>26.7</v>
      </c>
      <c r="AA84" s="60">
        <f t="shared" si="35"/>
        <v>26.6</v>
      </c>
      <c r="AB84" s="60">
        <f t="shared" si="35"/>
        <v>45</v>
      </c>
      <c r="AC84" s="60">
        <f t="shared" si="35"/>
        <v>47.7</v>
      </c>
      <c r="AD84" s="60">
        <f t="shared" si="35"/>
        <v>46.8</v>
      </c>
      <c r="AE84" s="60">
        <f t="shared" ref="AE84" si="41">SUMIF(AE73:AE83,"&gt;0")</f>
        <v>45.6</v>
      </c>
      <c r="AF84" s="60">
        <f t="shared" si="35"/>
        <v>47.6</v>
      </c>
      <c r="AG84" s="87">
        <f>SUM(AG73:AG83)</f>
        <v>0</v>
      </c>
      <c r="AH84" s="47">
        <f t="shared" si="33"/>
        <v>77.5</v>
      </c>
      <c r="AI84" s="48">
        <f t="shared" si="34"/>
        <v>5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33"/>
        <v>0</v>
      </c>
      <c r="AI85" s="48">
        <f t="shared" si="34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33"/>
        <v>0</v>
      </c>
      <c r="AI86" s="48">
        <f t="shared" si="34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33"/>
        <v>0</v>
      </c>
      <c r="AI87" s="48">
        <f t="shared" si="34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33"/>
        <v>0</v>
      </c>
      <c r="AI88" s="48">
        <f t="shared" si="34"/>
        <v>0</v>
      </c>
    </row>
    <row r="89" spans="1:40" ht="15.75" thickBot="1" x14ac:dyDescent="0.3">
      <c r="A89" s="73" t="s">
        <v>100</v>
      </c>
      <c r="B89" s="94">
        <v>2084.54</v>
      </c>
      <c r="C89" s="94">
        <f t="shared" ref="C89:AG89" si="42">C50+C54+C72+C68+C84+C88</f>
        <v>1997.4399999999998</v>
      </c>
      <c r="D89" s="94">
        <f t="shared" si="42"/>
        <v>1955.44</v>
      </c>
      <c r="E89" s="94">
        <f t="shared" si="42"/>
        <v>1956.94</v>
      </c>
      <c r="F89" s="94">
        <f t="shared" si="42"/>
        <v>1956.94</v>
      </c>
      <c r="G89" s="94">
        <f t="shared" ref="G89:H89" si="43">G50+G54+G72+G68+G84+G88</f>
        <v>1974.94</v>
      </c>
      <c r="H89" s="94">
        <f t="shared" si="43"/>
        <v>1982.94</v>
      </c>
      <c r="I89" s="94">
        <f t="shared" ref="I89:J89" si="44">I50+I54+I72+I68+I84+I88</f>
        <v>1964.9399999999998</v>
      </c>
      <c r="J89" s="94">
        <f t="shared" si="44"/>
        <v>1985.9399999999998</v>
      </c>
      <c r="K89" s="94">
        <f t="shared" si="42"/>
        <v>1999.9400000000003</v>
      </c>
      <c r="L89" s="94">
        <f t="shared" si="42"/>
        <v>2054.84</v>
      </c>
      <c r="M89" s="94">
        <f t="shared" si="42"/>
        <v>2021.7400000000002</v>
      </c>
      <c r="N89" s="94">
        <f t="shared" si="42"/>
        <v>2014.7400000000002</v>
      </c>
      <c r="O89" s="94">
        <f t="shared" si="42"/>
        <v>2055.34</v>
      </c>
      <c r="P89" s="94">
        <f t="shared" si="42"/>
        <v>1962.44</v>
      </c>
      <c r="Q89" s="94">
        <f t="shared" ref="Q89:R89" si="45">Q50+Q54+Q72+Q68+Q84+Q88</f>
        <v>2062.14</v>
      </c>
      <c r="R89" s="94">
        <f t="shared" si="45"/>
        <v>2054.9400000000005</v>
      </c>
      <c r="S89" s="94">
        <f t="shared" si="42"/>
        <v>2051.1400000000003</v>
      </c>
      <c r="T89" s="94">
        <f t="shared" ref="T89:U89" si="46">T50+T54+T72+T68+T84+T88</f>
        <v>2028.5400000000002</v>
      </c>
      <c r="U89" s="94">
        <f t="shared" si="46"/>
        <v>2018.8400000000001</v>
      </c>
      <c r="V89" s="94">
        <f t="shared" ref="V89" si="47">V50+V54+V72+V68+V84+V88</f>
        <v>2039.1399999999999</v>
      </c>
      <c r="W89" s="94">
        <f t="shared" si="42"/>
        <v>1974.7400000000002</v>
      </c>
      <c r="X89" s="94">
        <f t="shared" si="42"/>
        <v>1968.6399999999999</v>
      </c>
      <c r="Y89" s="94">
        <f t="shared" si="42"/>
        <v>1981.0400000000002</v>
      </c>
      <c r="Z89" s="94">
        <f t="shared" si="42"/>
        <v>2000.7400000000005</v>
      </c>
      <c r="AA89" s="94">
        <f t="shared" si="42"/>
        <v>2000.6400000000003</v>
      </c>
      <c r="AB89" s="94">
        <f t="shared" si="42"/>
        <v>2061.1400000000003</v>
      </c>
      <c r="AC89" s="94">
        <f t="shared" si="42"/>
        <v>2063.94</v>
      </c>
      <c r="AD89" s="94">
        <f t="shared" si="42"/>
        <v>2063.0400000000004</v>
      </c>
      <c r="AE89" s="94">
        <f t="shared" ref="AE89" si="48">AE50+AE54+AE72+AE68+AE84+AE88</f>
        <v>2037.6399999999999</v>
      </c>
      <c r="AF89" s="94">
        <f t="shared" si="42"/>
        <v>2022.2399999999998</v>
      </c>
      <c r="AG89" s="61">
        <f t="shared" si="42"/>
        <v>2111.5500000000002</v>
      </c>
      <c r="AH89" s="47">
        <f t="shared" si="33"/>
        <v>2084.54</v>
      </c>
      <c r="AI89" s="48">
        <f t="shared" si="34"/>
        <v>1955.44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33"/>
        <v>0</v>
      </c>
      <c r="AI90" s="48">
        <f t="shared" si="34"/>
        <v>0</v>
      </c>
    </row>
    <row r="91" spans="1:40" ht="15.75" thickBot="1" x14ac:dyDescent="0.3">
      <c r="A91" s="73" t="s">
        <v>102</v>
      </c>
      <c r="B91" s="94">
        <v>2084.54</v>
      </c>
      <c r="C91" s="94">
        <f t="shared" ref="C91:AF91" si="49">C89+C90</f>
        <v>1997.4399999999998</v>
      </c>
      <c r="D91" s="94">
        <f t="shared" si="49"/>
        <v>1955.44</v>
      </c>
      <c r="E91" s="94">
        <f t="shared" si="49"/>
        <v>1956.94</v>
      </c>
      <c r="F91" s="94">
        <f t="shared" si="49"/>
        <v>1956.94</v>
      </c>
      <c r="G91" s="94">
        <f t="shared" ref="G91:H91" si="50">G89+G90</f>
        <v>1974.94</v>
      </c>
      <c r="H91" s="94">
        <f t="shared" si="50"/>
        <v>1982.94</v>
      </c>
      <c r="I91" s="94">
        <f t="shared" ref="I91:J91" si="51">I89+I90</f>
        <v>1964.9399999999998</v>
      </c>
      <c r="J91" s="94">
        <f t="shared" si="51"/>
        <v>1985.9399999999998</v>
      </c>
      <c r="K91" s="94">
        <f t="shared" si="49"/>
        <v>1999.9400000000003</v>
      </c>
      <c r="L91" s="94">
        <f t="shared" si="49"/>
        <v>2054.84</v>
      </c>
      <c r="M91" s="94">
        <f t="shared" si="49"/>
        <v>2021.7400000000002</v>
      </c>
      <c r="N91" s="94">
        <f t="shared" si="49"/>
        <v>2014.7400000000002</v>
      </c>
      <c r="O91" s="94">
        <f t="shared" si="49"/>
        <v>2055.34</v>
      </c>
      <c r="P91" s="94">
        <f t="shared" si="49"/>
        <v>1962.44</v>
      </c>
      <c r="Q91" s="94">
        <f t="shared" ref="Q91:R91" si="52">Q89+Q90</f>
        <v>2062.14</v>
      </c>
      <c r="R91" s="94">
        <f t="shared" si="52"/>
        <v>2054.9400000000005</v>
      </c>
      <c r="S91" s="94">
        <f t="shared" si="49"/>
        <v>2051.1400000000003</v>
      </c>
      <c r="T91" s="94">
        <f t="shared" ref="T91:U91" si="53">T89+T90</f>
        <v>2028.5400000000002</v>
      </c>
      <c r="U91" s="94">
        <f t="shared" si="53"/>
        <v>2018.8400000000001</v>
      </c>
      <c r="V91" s="94">
        <f t="shared" ref="V91" si="54">V89+V90</f>
        <v>2039.1399999999999</v>
      </c>
      <c r="W91" s="94">
        <f t="shared" si="49"/>
        <v>1974.7400000000002</v>
      </c>
      <c r="X91" s="94">
        <f t="shared" si="49"/>
        <v>1968.6399999999999</v>
      </c>
      <c r="Y91" s="94">
        <f t="shared" si="49"/>
        <v>1981.0400000000002</v>
      </c>
      <c r="Z91" s="94">
        <f t="shared" si="49"/>
        <v>2000.7400000000005</v>
      </c>
      <c r="AA91" s="94">
        <f t="shared" si="49"/>
        <v>2000.6400000000003</v>
      </c>
      <c r="AB91" s="94">
        <f t="shared" si="49"/>
        <v>2061.1400000000003</v>
      </c>
      <c r="AC91" s="94">
        <f t="shared" si="49"/>
        <v>2063.94</v>
      </c>
      <c r="AD91" s="94">
        <f t="shared" si="49"/>
        <v>2063.0400000000004</v>
      </c>
      <c r="AE91" s="94">
        <f t="shared" ref="AE91" si="55">AE89+AE90</f>
        <v>2037.6399999999999</v>
      </c>
      <c r="AF91" s="94">
        <f t="shared" si="49"/>
        <v>2022.2399999999998</v>
      </c>
      <c r="AG91" s="87">
        <f>AG88+AG84+AG72+AG68+AG50+AG90</f>
        <v>1573.45</v>
      </c>
      <c r="AH91" s="47">
        <f t="shared" si="33"/>
        <v>2084.54</v>
      </c>
      <c r="AI91" s="48">
        <f t="shared" si="34"/>
        <v>1955.44</v>
      </c>
    </row>
    <row r="92" spans="1:40" ht="15.75" thickBot="1" x14ac:dyDescent="0.3">
      <c r="A92" s="73" t="s">
        <v>103</v>
      </c>
      <c r="B92" s="94">
        <v>2084.54</v>
      </c>
      <c r="C92" s="94">
        <f t="shared" ref="C92:AF92" si="56">C91-C99</f>
        <v>1997.4399999999998</v>
      </c>
      <c r="D92" s="94">
        <f t="shared" si="56"/>
        <v>1955.44</v>
      </c>
      <c r="E92" s="94">
        <f t="shared" si="56"/>
        <v>1956.94</v>
      </c>
      <c r="F92" s="94">
        <f t="shared" si="56"/>
        <v>1956.94</v>
      </c>
      <c r="G92" s="94">
        <f t="shared" ref="G92:H92" si="57">G91-G99</f>
        <v>1974.94</v>
      </c>
      <c r="H92" s="94">
        <f t="shared" si="57"/>
        <v>1982.94</v>
      </c>
      <c r="I92" s="94">
        <f t="shared" ref="I92:J92" si="58">I91-I99</f>
        <v>1964.9399999999998</v>
      </c>
      <c r="J92" s="94">
        <f t="shared" si="58"/>
        <v>1985.9399999999998</v>
      </c>
      <c r="K92" s="94">
        <f t="shared" si="56"/>
        <v>1999.9400000000003</v>
      </c>
      <c r="L92" s="94">
        <f t="shared" si="56"/>
        <v>2054.84</v>
      </c>
      <c r="M92" s="94">
        <f t="shared" si="56"/>
        <v>2021.7400000000002</v>
      </c>
      <c r="N92" s="94">
        <f t="shared" si="56"/>
        <v>2014.7400000000002</v>
      </c>
      <c r="O92" s="94">
        <f t="shared" si="56"/>
        <v>2055.34</v>
      </c>
      <c r="P92" s="94">
        <f t="shared" si="56"/>
        <v>1962.44</v>
      </c>
      <c r="Q92" s="94">
        <f t="shared" ref="Q92:R92" si="59">Q91-Q99</f>
        <v>2062.14</v>
      </c>
      <c r="R92" s="94">
        <f t="shared" si="59"/>
        <v>2054.9400000000005</v>
      </c>
      <c r="S92" s="94">
        <f t="shared" si="56"/>
        <v>2051.1400000000003</v>
      </c>
      <c r="T92" s="94">
        <f t="shared" ref="T92:U92" si="60">T91-T99</f>
        <v>2028.5400000000002</v>
      </c>
      <c r="U92" s="94">
        <f t="shared" si="60"/>
        <v>2018.8400000000001</v>
      </c>
      <c r="V92" s="94">
        <f t="shared" ref="V92" si="61">V91-V99</f>
        <v>2039.1399999999999</v>
      </c>
      <c r="W92" s="94">
        <f t="shared" si="56"/>
        <v>1974.7400000000002</v>
      </c>
      <c r="X92" s="94">
        <f t="shared" si="56"/>
        <v>1968.6399999999999</v>
      </c>
      <c r="Y92" s="94">
        <f t="shared" si="56"/>
        <v>1981.0400000000002</v>
      </c>
      <c r="Z92" s="94">
        <f t="shared" si="56"/>
        <v>2000.7400000000005</v>
      </c>
      <c r="AA92" s="94">
        <f t="shared" si="56"/>
        <v>2000.6400000000003</v>
      </c>
      <c r="AB92" s="94">
        <f t="shared" si="56"/>
        <v>2061.1400000000003</v>
      </c>
      <c r="AC92" s="94">
        <f t="shared" si="56"/>
        <v>2063.94</v>
      </c>
      <c r="AD92" s="94">
        <f t="shared" si="56"/>
        <v>2063.0400000000004</v>
      </c>
      <c r="AE92" s="94">
        <f t="shared" ref="AE92" si="62">AE91-AE99</f>
        <v>2037.6399999999999</v>
      </c>
      <c r="AF92" s="94">
        <f t="shared" si="56"/>
        <v>2022.2399999999998</v>
      </c>
      <c r="AG92" s="87"/>
      <c r="AH92" s="47">
        <f t="shared" si="33"/>
        <v>2084.54</v>
      </c>
      <c r="AI92" s="48">
        <f t="shared" si="34"/>
        <v>1955.44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33"/>
        <v>0</v>
      </c>
      <c r="AI93" s="48">
        <f t="shared" si="34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33"/>
        <v>0</v>
      </c>
      <c r="AI94" s="48">
        <f t="shared" si="34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33"/>
        <v>0</v>
      </c>
      <c r="AI95" s="48">
        <f t="shared" si="34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33"/>
        <v>0</v>
      </c>
      <c r="AI96" s="48">
        <f t="shared" si="34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33"/>
        <v>0</v>
      </c>
      <c r="AI97" s="48">
        <f t="shared" si="34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33"/>
        <v>0</v>
      </c>
      <c r="AI98" s="48">
        <f t="shared" si="34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33"/>
        <v>0</v>
      </c>
      <c r="AI99" s="48">
        <f t="shared" si="34"/>
        <v>0</v>
      </c>
      <c r="AK99" s="50"/>
    </row>
    <row r="100" spans="1:37" ht="15.75" thickBot="1" x14ac:dyDescent="0.3">
      <c r="A100" s="73" t="s">
        <v>108</v>
      </c>
      <c r="B100" s="60">
        <v>51</v>
      </c>
      <c r="C100" s="60">
        <f t="shared" ref="C100:AF100" si="63">C84-C99</f>
        <v>45</v>
      </c>
      <c r="D100" s="60">
        <f t="shared" si="63"/>
        <v>45</v>
      </c>
      <c r="E100" s="60">
        <f t="shared" si="63"/>
        <v>45</v>
      </c>
      <c r="F100" s="60">
        <f t="shared" si="63"/>
        <v>45</v>
      </c>
      <c r="G100" s="60">
        <f t="shared" ref="G100:H100" si="64">G84-G99</f>
        <v>55</v>
      </c>
      <c r="H100" s="60">
        <f t="shared" si="64"/>
        <v>58</v>
      </c>
      <c r="I100" s="60">
        <f t="shared" ref="I100:J100" si="65">I84-I99</f>
        <v>35</v>
      </c>
      <c r="J100" s="60">
        <f t="shared" si="65"/>
        <v>30</v>
      </c>
      <c r="K100" s="60">
        <f t="shared" si="63"/>
        <v>5</v>
      </c>
      <c r="L100" s="60">
        <f t="shared" si="63"/>
        <v>33.9</v>
      </c>
      <c r="M100" s="60">
        <f t="shared" si="63"/>
        <v>21.2</v>
      </c>
      <c r="N100" s="60">
        <f t="shared" si="63"/>
        <v>35</v>
      </c>
      <c r="O100" s="60">
        <f t="shared" si="63"/>
        <v>53.9</v>
      </c>
      <c r="P100" s="60">
        <f t="shared" si="63"/>
        <v>65.7</v>
      </c>
      <c r="Q100" s="60">
        <f t="shared" ref="Q100:R100" si="66">Q84-Q99</f>
        <v>59.4</v>
      </c>
      <c r="R100" s="60">
        <f t="shared" si="66"/>
        <v>65</v>
      </c>
      <c r="S100" s="60">
        <f t="shared" si="63"/>
        <v>70</v>
      </c>
      <c r="T100" s="60">
        <f t="shared" ref="T100:U100" si="67">T84-T99</f>
        <v>66.8</v>
      </c>
      <c r="U100" s="60">
        <f t="shared" si="67"/>
        <v>77.5</v>
      </c>
      <c r="V100" s="60">
        <f t="shared" ref="V100" si="68">V84-V99</f>
        <v>75.3</v>
      </c>
      <c r="W100" s="60">
        <f t="shared" si="63"/>
        <v>26.4</v>
      </c>
      <c r="X100" s="60">
        <f t="shared" si="63"/>
        <v>20.6</v>
      </c>
      <c r="Y100" s="60">
        <f t="shared" si="63"/>
        <v>34.200000000000003</v>
      </c>
      <c r="Z100" s="60">
        <f t="shared" si="63"/>
        <v>26.7</v>
      </c>
      <c r="AA100" s="60">
        <f t="shared" si="63"/>
        <v>26.6</v>
      </c>
      <c r="AB100" s="60">
        <f t="shared" si="63"/>
        <v>45</v>
      </c>
      <c r="AC100" s="60">
        <f t="shared" si="63"/>
        <v>47.7</v>
      </c>
      <c r="AD100" s="60">
        <f t="shared" si="63"/>
        <v>46.8</v>
      </c>
      <c r="AE100" s="60">
        <f t="shared" ref="AE100" si="69">AE84-AE99</f>
        <v>45.6</v>
      </c>
      <c r="AF100" s="60">
        <f t="shared" si="63"/>
        <v>47.6</v>
      </c>
      <c r="AG100" s="87"/>
      <c r="AH100" s="47">
        <f t="shared" si="33"/>
        <v>77.5</v>
      </c>
      <c r="AI100" s="48">
        <f t="shared" si="34"/>
        <v>5</v>
      </c>
    </row>
    <row r="101" spans="1:37" x14ac:dyDescent="0.25">
      <c r="A101" s="99" t="s">
        <v>109</v>
      </c>
      <c r="B101" s="100">
        <v>50.02</v>
      </c>
      <c r="C101" s="100">
        <v>49.93</v>
      </c>
      <c r="D101" s="100">
        <v>49.98</v>
      </c>
      <c r="E101" s="100">
        <v>49.99</v>
      </c>
      <c r="F101" s="100">
        <v>49.98</v>
      </c>
      <c r="G101" s="100">
        <v>49.98</v>
      </c>
      <c r="H101" s="100">
        <v>49.98</v>
      </c>
      <c r="I101" s="100">
        <v>49.98</v>
      </c>
      <c r="J101" s="100">
        <v>49.98</v>
      </c>
      <c r="K101" s="100">
        <v>49.98</v>
      </c>
      <c r="L101" s="100">
        <v>50.05</v>
      </c>
      <c r="M101" s="100">
        <v>50.037999999999997</v>
      </c>
      <c r="N101" s="100">
        <v>50.002000000000002</v>
      </c>
      <c r="O101" s="100">
        <v>49.991</v>
      </c>
      <c r="P101" s="100">
        <v>50.011000000000003</v>
      </c>
      <c r="Q101" s="100">
        <v>49.94</v>
      </c>
      <c r="R101" s="100">
        <v>49.94</v>
      </c>
      <c r="S101" s="100">
        <v>50.040999999999997</v>
      </c>
      <c r="T101" s="100">
        <v>50.042999999999999</v>
      </c>
      <c r="U101" s="100">
        <v>50.024000000000001</v>
      </c>
      <c r="V101" s="100">
        <v>49.98</v>
      </c>
      <c r="W101" s="100">
        <v>49.981000000000002</v>
      </c>
      <c r="X101" s="100">
        <v>50.01</v>
      </c>
      <c r="Y101" s="100">
        <v>49.957000000000001</v>
      </c>
      <c r="Z101" s="100">
        <v>50.094000000000001</v>
      </c>
      <c r="AA101" s="100">
        <v>50.094000000000001</v>
      </c>
      <c r="AB101" s="100">
        <v>50.094000000000001</v>
      </c>
      <c r="AC101" s="100">
        <v>50.014000000000003</v>
      </c>
      <c r="AD101" s="100">
        <v>50.008000000000003</v>
      </c>
      <c r="AE101" s="100">
        <v>50.04</v>
      </c>
      <c r="AF101" s="100">
        <v>50.03</v>
      </c>
      <c r="AG101" s="101"/>
      <c r="AH101" s="47">
        <f t="shared" si="33"/>
        <v>50.094000000000001</v>
      </c>
      <c r="AI101" s="48">
        <f t="shared" si="34"/>
        <v>49.93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33"/>
        <v>0</v>
      </c>
      <c r="AI102" s="48">
        <f t="shared" si="34"/>
        <v>0</v>
      </c>
    </row>
    <row r="103" spans="1:37" x14ac:dyDescent="0.25">
      <c r="A103" s="102" t="s">
        <v>111</v>
      </c>
      <c r="B103" s="64">
        <v>128</v>
      </c>
      <c r="C103" s="64">
        <v>128</v>
      </c>
      <c r="D103" s="64">
        <v>129</v>
      </c>
      <c r="E103" s="64">
        <v>129.69999999999999</v>
      </c>
      <c r="F103" s="64">
        <v>129</v>
      </c>
      <c r="G103" s="64">
        <v>129</v>
      </c>
      <c r="H103" s="64">
        <v>129</v>
      </c>
      <c r="I103" s="64">
        <v>129</v>
      </c>
      <c r="J103" s="64">
        <v>129</v>
      </c>
      <c r="K103" s="64">
        <v>125.5</v>
      </c>
      <c r="L103" s="64">
        <v>126.7</v>
      </c>
      <c r="M103" s="64">
        <v>124.4</v>
      </c>
      <c r="N103" s="64">
        <v>124.4</v>
      </c>
      <c r="O103" s="64">
        <v>125.1</v>
      </c>
      <c r="P103" s="64">
        <v>126.1</v>
      </c>
      <c r="Q103" s="64">
        <v>127.3</v>
      </c>
      <c r="R103" s="64">
        <v>127.3</v>
      </c>
      <c r="S103" s="64">
        <v>127.5</v>
      </c>
      <c r="T103" s="64">
        <v>126.7</v>
      </c>
      <c r="U103" s="64">
        <v>127.5</v>
      </c>
      <c r="V103" s="64">
        <v>126.8</v>
      </c>
      <c r="W103" s="64">
        <v>127</v>
      </c>
      <c r="X103" s="64">
        <v>127.4</v>
      </c>
      <c r="Y103" s="64">
        <v>126.3</v>
      </c>
      <c r="Z103" s="64">
        <v>126</v>
      </c>
      <c r="AA103" s="64">
        <v>126</v>
      </c>
      <c r="AB103" s="64">
        <v>126</v>
      </c>
      <c r="AC103" s="64">
        <v>126.1</v>
      </c>
      <c r="AD103" s="64">
        <v>127.7</v>
      </c>
      <c r="AE103" s="64">
        <v>128</v>
      </c>
      <c r="AF103" s="64">
        <v>129.9</v>
      </c>
      <c r="AG103" s="103"/>
      <c r="AH103" s="47">
        <f t="shared" si="33"/>
        <v>129.9</v>
      </c>
      <c r="AI103" s="48">
        <f t="shared" si="34"/>
        <v>124.4</v>
      </c>
    </row>
    <row r="104" spans="1:37" x14ac:dyDescent="0.25">
      <c r="A104" s="102" t="s">
        <v>112</v>
      </c>
      <c r="B104" s="64">
        <v>125</v>
      </c>
      <c r="C104" s="64">
        <v>125</v>
      </c>
      <c r="D104" s="64">
        <v>127</v>
      </c>
      <c r="E104" s="64">
        <v>128.9</v>
      </c>
      <c r="F104" s="64">
        <v>127</v>
      </c>
      <c r="G104" s="64">
        <v>127</v>
      </c>
      <c r="H104" s="64">
        <v>127</v>
      </c>
      <c r="I104" s="64">
        <v>127</v>
      </c>
      <c r="J104" s="64">
        <v>127</v>
      </c>
      <c r="K104" s="64">
        <v>127.5</v>
      </c>
      <c r="L104" s="64">
        <v>128</v>
      </c>
      <c r="M104" s="64">
        <v>125.1</v>
      </c>
      <c r="N104" s="64">
        <v>128</v>
      </c>
      <c r="O104" s="64">
        <v>126.2</v>
      </c>
      <c r="P104" s="64">
        <v>127.5</v>
      </c>
      <c r="Q104" s="64">
        <v>128.19999999999999</v>
      </c>
      <c r="R104" s="64">
        <v>128.19999999999999</v>
      </c>
      <c r="S104" s="64">
        <v>125.1</v>
      </c>
      <c r="T104" s="64">
        <v>126.7</v>
      </c>
      <c r="U104" s="64">
        <v>125.1</v>
      </c>
      <c r="V104" s="64">
        <v>126.3</v>
      </c>
      <c r="W104" s="64">
        <v>131.69999999999999</v>
      </c>
      <c r="X104" s="64">
        <v>129.69999999999999</v>
      </c>
      <c r="Y104" s="64">
        <v>124.9</v>
      </c>
      <c r="Z104" s="64">
        <v>127</v>
      </c>
      <c r="AA104" s="64">
        <v>127</v>
      </c>
      <c r="AB104" s="64">
        <v>127</v>
      </c>
      <c r="AC104" s="64">
        <v>121</v>
      </c>
      <c r="AD104" s="64">
        <v>127</v>
      </c>
      <c r="AE104" s="64">
        <v>130.1</v>
      </c>
      <c r="AF104" s="64">
        <v>127.8</v>
      </c>
      <c r="AG104" s="103"/>
      <c r="AH104" s="47">
        <f t="shared" si="33"/>
        <v>131.69999999999999</v>
      </c>
      <c r="AI104" s="48">
        <f t="shared" si="34"/>
        <v>121</v>
      </c>
    </row>
    <row r="105" spans="1:37" x14ac:dyDescent="0.25">
      <c r="A105" s="104" t="s">
        <v>113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3"/>
      <c r="AH105" s="47">
        <f t="shared" si="33"/>
        <v>0</v>
      </c>
      <c r="AI105" s="48">
        <f t="shared" si="34"/>
        <v>0</v>
      </c>
    </row>
    <row r="106" spans="1:37" x14ac:dyDescent="0.25">
      <c r="A106" s="104" t="s">
        <v>114</v>
      </c>
      <c r="B106" s="105">
        <v>130.30000000000001</v>
      </c>
      <c r="C106" s="105">
        <v>130.30000000000001</v>
      </c>
      <c r="D106" s="105">
        <v>132.9</v>
      </c>
      <c r="E106" s="105">
        <v>130.9</v>
      </c>
      <c r="F106" s="105">
        <v>132.9</v>
      </c>
      <c r="G106" s="105">
        <v>132.9</v>
      </c>
      <c r="H106" s="105">
        <v>132.9</v>
      </c>
      <c r="I106" s="105">
        <v>132.9</v>
      </c>
      <c r="J106" s="105">
        <v>132.9</v>
      </c>
      <c r="K106" s="105">
        <v>132.5</v>
      </c>
      <c r="L106" s="105">
        <v>135</v>
      </c>
      <c r="M106" s="105">
        <v>130.69999999999999</v>
      </c>
      <c r="N106" s="105">
        <v>130.19999999999999</v>
      </c>
      <c r="O106" s="105">
        <v>130.4</v>
      </c>
      <c r="P106" s="105">
        <v>130.4</v>
      </c>
      <c r="Q106" s="105">
        <v>137.80000000000001</v>
      </c>
      <c r="R106" s="105">
        <v>137.80000000000001</v>
      </c>
      <c r="S106" s="105">
        <v>132.9</v>
      </c>
      <c r="T106" s="105">
        <v>130.69999999999999</v>
      </c>
      <c r="U106" s="105">
        <v>132.9</v>
      </c>
      <c r="V106" s="105">
        <v>135.1</v>
      </c>
      <c r="W106" s="105">
        <v>132.6</v>
      </c>
      <c r="X106" s="105">
        <v>134</v>
      </c>
      <c r="Y106" s="105">
        <v>133.80000000000001</v>
      </c>
      <c r="Z106" s="105">
        <v>135.19999999999999</v>
      </c>
      <c r="AA106" s="105">
        <v>135.19999999999999</v>
      </c>
      <c r="AB106" s="105">
        <v>135.19999999999999</v>
      </c>
      <c r="AC106" s="105">
        <v>132.69999999999999</v>
      </c>
      <c r="AD106" s="105">
        <v>131.69999999999999</v>
      </c>
      <c r="AE106" s="105">
        <v>132.19999999999999</v>
      </c>
      <c r="AF106" s="105">
        <v>133</v>
      </c>
      <c r="AG106" s="106"/>
      <c r="AH106" s="47">
        <f t="shared" si="33"/>
        <v>137.80000000000001</v>
      </c>
      <c r="AI106" s="48">
        <f t="shared" si="34"/>
        <v>130.19999999999999</v>
      </c>
    </row>
    <row r="107" spans="1:37" x14ac:dyDescent="0.25">
      <c r="A107" s="102" t="s">
        <v>115</v>
      </c>
      <c r="B107" s="64">
        <v>125</v>
      </c>
      <c r="C107" s="64">
        <v>125</v>
      </c>
      <c r="D107" s="64">
        <v>131</v>
      </c>
      <c r="E107" s="64">
        <v>129.9</v>
      </c>
      <c r="F107" s="64">
        <v>131</v>
      </c>
      <c r="G107" s="64">
        <v>131</v>
      </c>
      <c r="H107" s="64">
        <v>131</v>
      </c>
      <c r="I107" s="64">
        <v>131</v>
      </c>
      <c r="J107" s="64">
        <v>131</v>
      </c>
      <c r="K107" s="64">
        <v>135.6</v>
      </c>
      <c r="L107" s="64">
        <v>134.6</v>
      </c>
      <c r="M107" s="64">
        <v>131.4</v>
      </c>
      <c r="N107" s="64">
        <v>133.80000000000001</v>
      </c>
      <c r="O107" s="64">
        <v>131.69999999999999</v>
      </c>
      <c r="P107" s="64">
        <v>129.80000000000001</v>
      </c>
      <c r="Q107" s="64">
        <v>128.30000000000001</v>
      </c>
      <c r="R107" s="64">
        <v>128.30000000000001</v>
      </c>
      <c r="S107" s="64">
        <v>127.3</v>
      </c>
      <c r="T107" s="64">
        <v>124.6</v>
      </c>
      <c r="U107" s="64">
        <v>127.3</v>
      </c>
      <c r="V107" s="64">
        <v>125.6</v>
      </c>
      <c r="W107" s="64">
        <v>134</v>
      </c>
      <c r="X107" s="64">
        <v>135.5</v>
      </c>
      <c r="Y107" s="64">
        <v>135.19999999999999</v>
      </c>
      <c r="Z107" s="64">
        <v>141</v>
      </c>
      <c r="AA107" s="64">
        <v>141</v>
      </c>
      <c r="AB107" s="64">
        <v>141</v>
      </c>
      <c r="AC107" s="64">
        <v>125.8</v>
      </c>
      <c r="AD107" s="64">
        <v>127.6</v>
      </c>
      <c r="AE107" s="64">
        <v>129.9</v>
      </c>
      <c r="AF107" s="64">
        <v>124.9</v>
      </c>
      <c r="AG107" s="103"/>
      <c r="AH107" s="47">
        <f t="shared" si="33"/>
        <v>141</v>
      </c>
      <c r="AI107" s="48">
        <f t="shared" si="34"/>
        <v>124.6</v>
      </c>
    </row>
    <row r="108" spans="1:37" ht="15.75" thickBot="1" x14ac:dyDescent="0.3">
      <c r="A108" s="102" t="s">
        <v>116</v>
      </c>
      <c r="B108" s="91">
        <v>64.7</v>
      </c>
      <c r="C108" s="91">
        <v>64.7</v>
      </c>
      <c r="D108" s="91">
        <v>65.599999999999994</v>
      </c>
      <c r="E108" s="91">
        <v>65.599999999999994</v>
      </c>
      <c r="F108" s="91">
        <v>65.599999999999994</v>
      </c>
      <c r="G108" s="91">
        <v>65.599999999999994</v>
      </c>
      <c r="H108" s="91">
        <v>65.599999999999994</v>
      </c>
      <c r="I108" s="91">
        <v>65.599999999999994</v>
      </c>
      <c r="J108" s="91">
        <v>65.599999999999994</v>
      </c>
      <c r="K108" s="91">
        <v>65.599999999999994</v>
      </c>
      <c r="L108" s="91">
        <v>63.7</v>
      </c>
      <c r="M108" s="91">
        <v>62.2</v>
      </c>
      <c r="N108" s="91">
        <v>62.5</v>
      </c>
      <c r="O108" s="91">
        <v>62.9</v>
      </c>
      <c r="P108" s="91">
        <v>63.3</v>
      </c>
      <c r="Q108" s="91">
        <v>63.7</v>
      </c>
      <c r="R108" s="91">
        <v>63.7</v>
      </c>
      <c r="S108" s="91">
        <v>63.7</v>
      </c>
      <c r="T108" s="91">
        <v>63.5</v>
      </c>
      <c r="U108" s="91">
        <v>63.7</v>
      </c>
      <c r="V108" s="91">
        <v>63.7</v>
      </c>
      <c r="W108" s="91">
        <v>63.9</v>
      </c>
      <c r="X108" s="91">
        <v>64.099999999999994</v>
      </c>
      <c r="Y108" s="91">
        <v>63.4</v>
      </c>
      <c r="Z108" s="91">
        <v>63.2</v>
      </c>
      <c r="AA108" s="91">
        <v>63.2</v>
      </c>
      <c r="AB108" s="91">
        <v>63.2</v>
      </c>
      <c r="AC108" s="91">
        <v>63.2</v>
      </c>
      <c r="AD108" s="91">
        <v>64.5</v>
      </c>
      <c r="AE108" s="91">
        <v>64.3</v>
      </c>
      <c r="AF108" s="91">
        <v>65.5</v>
      </c>
      <c r="AG108" s="107"/>
      <c r="AH108" s="47">
        <f t="shared" si="33"/>
        <v>65.599999999999994</v>
      </c>
      <c r="AI108" s="48">
        <f t="shared" si="34"/>
        <v>62.2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33"/>
        <v>0</v>
      </c>
      <c r="AI109" s="48">
        <f t="shared" si="34"/>
        <v>0</v>
      </c>
    </row>
    <row r="110" spans="1:37" ht="15.75" thickBot="1" x14ac:dyDescent="0.3">
      <c r="A110" s="109" t="s">
        <v>118</v>
      </c>
      <c r="B110" s="110">
        <v>70.5</v>
      </c>
      <c r="C110" s="110">
        <f t="shared" ref="C110:O110" si="70">SUM(C20,C26,C29:C30,C58,C60:C61,C63,C65,C111:C115,C138,C144,C150,C159,C161,C173,C180,C183:C184,C191,C193,C195,C199:C201,C203:C205,C210,C216:C217,C219:C221,C229,C234)</f>
        <v>30.63999999999999</v>
      </c>
      <c r="D110" s="110">
        <f t="shared" si="70"/>
        <v>28.63999999999999</v>
      </c>
      <c r="E110" s="110">
        <f t="shared" si="70"/>
        <v>32.040000000000006</v>
      </c>
      <c r="F110" s="110">
        <f t="shared" si="70"/>
        <v>27.940000000000012</v>
      </c>
      <c r="G110" s="110">
        <f t="shared" ref="G110:H110" si="71">SUM(G20,G26,G29:G30,G58,G60:G61,G63,G65,G111:G115,G138,G144,G150,G159,G161,G173,G180,G183:G184,G191,G193,G195,G199:G201,G203:G205,G210,G216:G217,G219:G221,G229,G234)</f>
        <v>27.940000000000012</v>
      </c>
      <c r="H110" s="110">
        <f t="shared" si="71"/>
        <v>27.940000000000012</v>
      </c>
      <c r="I110" s="110">
        <f t="shared" ref="I110:J110" si="72">SUM(I20,I26,I29:I30,I58,I60:I61,I63,I65,I111:I115,I138,I144,I150,I159,I161,I173,I180,I183:I184,I191,I193,I195,I199:I201,I203:I205,I210,I216:I217,I219:I221,I229,I234)</f>
        <v>36.940000000000012</v>
      </c>
      <c r="J110" s="110">
        <f t="shared" si="72"/>
        <v>89.240000000000009</v>
      </c>
      <c r="K110" s="110">
        <f t="shared" si="70"/>
        <v>186.04</v>
      </c>
      <c r="L110" s="110">
        <f t="shared" si="70"/>
        <v>188.09</v>
      </c>
      <c r="M110" s="110">
        <f t="shared" si="70"/>
        <v>174.24000000000004</v>
      </c>
      <c r="N110" s="110">
        <f t="shared" si="70"/>
        <v>182.34</v>
      </c>
      <c r="O110" s="110">
        <f t="shared" si="70"/>
        <v>184.83999999999997</v>
      </c>
      <c r="P110" s="110">
        <v>42</v>
      </c>
      <c r="Q110" s="110">
        <v>42</v>
      </c>
      <c r="R110" s="110">
        <v>42</v>
      </c>
      <c r="S110" s="110">
        <f t="shared" ref="S110:AF110" si="73">SUM(S20,S26,S29:S30,S58,S60:S61,S63,S65,S111:S115,S138,S144,S150,S159,S161,S173,S180,S183:S184,S191,S193,S195,S199:S201,S203:S205,S210,S216:S217,S219:S221,S229,S234)</f>
        <v>174.1</v>
      </c>
      <c r="T110" s="110">
        <f t="shared" ref="T110:U110" si="74">SUM(T20,T26,T29:T30,T58,T60:T61,T63,T65,T111:T115,T138,T144,T150,T159,T161,T173,T180,T183:T184,T191,T193,T195,T199:T201,T203:T205,T210,T216:T217,T219:T221,T229,T234)</f>
        <v>151.20000000000002</v>
      </c>
      <c r="U110" s="110">
        <f t="shared" si="74"/>
        <v>152.1</v>
      </c>
      <c r="V110" s="110">
        <f t="shared" ref="V110" si="75">SUM(V20,V26,V29:V30,V58,V60:V61,V63,V65,V111:V115,V138,V144,V150,V159,V161,V173,V180,V183:V184,V191,V193,V195,V199:V201,V203:V205,V210,V216:V217,V219:V221,V229,V234)</f>
        <v>149.69999999999999</v>
      </c>
      <c r="W110" s="110">
        <f t="shared" si="73"/>
        <v>160.00000000000003</v>
      </c>
      <c r="X110" s="110">
        <f t="shared" si="73"/>
        <v>156.29999999999998</v>
      </c>
      <c r="Y110" s="110">
        <f t="shared" si="73"/>
        <v>167.00000000000003</v>
      </c>
      <c r="Z110" s="110">
        <f t="shared" si="73"/>
        <v>217.5</v>
      </c>
      <c r="AA110" s="110">
        <f t="shared" si="73"/>
        <v>217.5</v>
      </c>
      <c r="AB110" s="110">
        <f t="shared" si="73"/>
        <v>239.5</v>
      </c>
      <c r="AC110" s="110">
        <f t="shared" si="73"/>
        <v>192.59999999999997</v>
      </c>
      <c r="AD110" s="110"/>
      <c r="AE110" s="110">
        <f t="shared" si="73"/>
        <v>88.399999999999991</v>
      </c>
      <c r="AF110" s="110">
        <f t="shared" si="73"/>
        <v>51.19999999999996</v>
      </c>
      <c r="AG110" s="111"/>
      <c r="AH110" s="47">
        <f t="shared" si="33"/>
        <v>239.5</v>
      </c>
      <c r="AI110" s="48">
        <f t="shared" si="34"/>
        <v>27.940000000000012</v>
      </c>
    </row>
    <row r="111" spans="1:37" x14ac:dyDescent="0.25">
      <c r="A111" s="99" t="s">
        <v>119</v>
      </c>
      <c r="B111" s="112">
        <v>40</v>
      </c>
      <c r="C111" s="112">
        <v>50</v>
      </c>
      <c r="D111" s="112">
        <v>33</v>
      </c>
      <c r="E111" s="112">
        <v>21.5</v>
      </c>
      <c r="F111" s="112">
        <v>20</v>
      </c>
      <c r="G111" s="112">
        <v>20</v>
      </c>
      <c r="H111" s="112">
        <v>20</v>
      </c>
      <c r="I111" s="112">
        <v>22</v>
      </c>
      <c r="J111" s="112">
        <v>20</v>
      </c>
      <c r="K111" s="112">
        <v>53.6</v>
      </c>
      <c r="L111" s="112">
        <v>50.05</v>
      </c>
      <c r="M111" s="112">
        <v>49.9</v>
      </c>
      <c r="N111" s="112">
        <v>63</v>
      </c>
      <c r="O111" s="112">
        <v>39.1</v>
      </c>
      <c r="P111" s="112">
        <v>35.9</v>
      </c>
      <c r="Q111" s="112">
        <v>24.5</v>
      </c>
      <c r="R111" s="112">
        <v>24.5</v>
      </c>
      <c r="S111" s="112">
        <v>24.4</v>
      </c>
      <c r="T111" s="112">
        <v>26.7</v>
      </c>
      <c r="U111" s="112">
        <v>26.6</v>
      </c>
      <c r="V111" s="112">
        <v>68.099999999999994</v>
      </c>
      <c r="W111" s="112">
        <v>57.4</v>
      </c>
      <c r="X111" s="112">
        <v>59.5</v>
      </c>
      <c r="Y111" s="112">
        <v>66.3</v>
      </c>
      <c r="Z111" s="112">
        <v>68.099999999999994</v>
      </c>
      <c r="AA111" s="112">
        <v>68.099999999999994</v>
      </c>
      <c r="AB111" s="112">
        <v>68.099999999999994</v>
      </c>
      <c r="AC111" s="112">
        <v>61.2</v>
      </c>
      <c r="AD111" s="112">
        <v>59</v>
      </c>
      <c r="AE111" s="112">
        <v>41.2</v>
      </c>
      <c r="AF111" s="112">
        <v>32.5</v>
      </c>
      <c r="AG111" s="113">
        <v>75</v>
      </c>
      <c r="AH111" s="47">
        <f t="shared" si="33"/>
        <v>68.099999999999994</v>
      </c>
      <c r="AI111" s="48">
        <f t="shared" si="34"/>
        <v>20</v>
      </c>
    </row>
    <row r="112" spans="1:37" x14ac:dyDescent="0.25">
      <c r="A112" s="102" t="s">
        <v>120</v>
      </c>
      <c r="B112" s="114">
        <v>26</v>
      </c>
      <c r="C112" s="114">
        <v>34</v>
      </c>
      <c r="D112" s="114">
        <v>23</v>
      </c>
      <c r="E112" s="114">
        <v>32.6</v>
      </c>
      <c r="F112" s="114">
        <v>30</v>
      </c>
      <c r="G112" s="114">
        <v>30</v>
      </c>
      <c r="H112" s="114">
        <v>30</v>
      </c>
      <c r="I112" s="114">
        <v>32</v>
      </c>
      <c r="J112" s="114">
        <v>30</v>
      </c>
      <c r="K112" s="114">
        <v>80.900000000000006</v>
      </c>
      <c r="L112" s="114">
        <v>70</v>
      </c>
      <c r="M112" s="114">
        <v>72.7</v>
      </c>
      <c r="N112" s="114">
        <v>90.1</v>
      </c>
      <c r="O112" s="114">
        <v>54.9</v>
      </c>
      <c r="P112" s="114">
        <v>50.5</v>
      </c>
      <c r="Q112" s="114">
        <v>35.299999999999997</v>
      </c>
      <c r="R112" s="114">
        <v>35.299999999999997</v>
      </c>
      <c r="S112" s="114">
        <v>34</v>
      </c>
      <c r="T112" s="114">
        <v>36.799999999999997</v>
      </c>
      <c r="U112" s="114">
        <v>37.9</v>
      </c>
      <c r="V112" s="114">
        <v>97.8</v>
      </c>
      <c r="W112" s="114">
        <v>83.2</v>
      </c>
      <c r="X112" s="114">
        <v>85</v>
      </c>
      <c r="Y112" s="114">
        <v>93.1</v>
      </c>
      <c r="Z112" s="114">
        <v>100</v>
      </c>
      <c r="AA112" s="114">
        <v>100</v>
      </c>
      <c r="AB112" s="114">
        <v>100</v>
      </c>
      <c r="AC112" s="114">
        <v>91.5</v>
      </c>
      <c r="AD112" s="114">
        <v>90.8</v>
      </c>
      <c r="AE112" s="114">
        <v>62.5</v>
      </c>
      <c r="AF112" s="114">
        <v>52</v>
      </c>
      <c r="AG112" s="113">
        <v>240</v>
      </c>
      <c r="AH112" s="47">
        <f t="shared" si="33"/>
        <v>100</v>
      </c>
      <c r="AI112" s="48">
        <f t="shared" si="34"/>
        <v>23</v>
      </c>
    </row>
    <row r="113" spans="1:37" x14ac:dyDescent="0.25">
      <c r="A113" s="102" t="s">
        <v>121</v>
      </c>
      <c r="B113" s="114">
        <v>-160</v>
      </c>
      <c r="C113" s="114">
        <v>-170</v>
      </c>
      <c r="D113" s="114">
        <v>-160</v>
      </c>
      <c r="E113" s="114">
        <f>-79.6-84.8</f>
        <v>-164.39999999999998</v>
      </c>
      <c r="F113" s="114">
        <f>-79.6-84.8</f>
        <v>-164.39999999999998</v>
      </c>
      <c r="G113" s="114">
        <f t="shared" ref="G113:I113" si="76">-79.6-84.8</f>
        <v>-164.39999999999998</v>
      </c>
      <c r="H113" s="114">
        <f t="shared" si="76"/>
        <v>-164.39999999999998</v>
      </c>
      <c r="I113" s="114">
        <f t="shared" si="76"/>
        <v>-164.39999999999998</v>
      </c>
      <c r="J113" s="114">
        <f>-66.6-71.1</f>
        <v>-137.69999999999999</v>
      </c>
      <c r="K113" s="114">
        <f>-66.2-70.2</f>
        <v>-136.4</v>
      </c>
      <c r="L113" s="114">
        <f>-61.9-62.8</f>
        <v>-124.69999999999999</v>
      </c>
      <c r="M113" s="114">
        <f>-72-75</f>
        <v>-147</v>
      </c>
      <c r="N113" s="114">
        <f>-67-70.4</f>
        <v>-137.4</v>
      </c>
      <c r="O113" s="114">
        <f>-42.4-47.4</f>
        <v>-89.8</v>
      </c>
      <c r="P113" s="114">
        <v>-70.900000000000006</v>
      </c>
      <c r="Q113" s="114">
        <v>-55.8</v>
      </c>
      <c r="R113" s="114">
        <v>-55.8</v>
      </c>
      <c r="S113" s="114">
        <v>-65</v>
      </c>
      <c r="T113" s="114">
        <v>-65.599999999999994</v>
      </c>
      <c r="U113" s="114">
        <v>-70</v>
      </c>
      <c r="V113" s="114">
        <v>-146</v>
      </c>
      <c r="W113" s="114">
        <v>-108</v>
      </c>
      <c r="X113" s="114">
        <v>-115</v>
      </c>
      <c r="Y113" s="114">
        <v>-119</v>
      </c>
      <c r="Z113" s="114">
        <v>-105</v>
      </c>
      <c r="AA113" s="114">
        <v>-105</v>
      </c>
      <c r="AB113" s="114">
        <v>-105</v>
      </c>
      <c r="AC113" s="114">
        <v>-158.4</v>
      </c>
      <c r="AD113" s="114">
        <v>-178</v>
      </c>
      <c r="AE113" s="114">
        <f>-80.7-87.2</f>
        <v>-167.9</v>
      </c>
      <c r="AF113" s="114">
        <f>-76.9-82.7</f>
        <v>-159.60000000000002</v>
      </c>
      <c r="AG113" s="113">
        <v>240</v>
      </c>
      <c r="AH113" s="47">
        <f t="shared" si="33"/>
        <v>-55.8</v>
      </c>
      <c r="AI113" s="48">
        <f t="shared" si="34"/>
        <v>-178</v>
      </c>
    </row>
    <row r="114" spans="1:37" x14ac:dyDescent="0.25">
      <c r="A114" s="102" t="s">
        <v>122</v>
      </c>
      <c r="B114" s="114">
        <v>-130</v>
      </c>
      <c r="C114" s="114">
        <v>-29</v>
      </c>
      <c r="D114" s="114">
        <v>-13</v>
      </c>
      <c r="E114" s="114">
        <v>-12.8</v>
      </c>
      <c r="F114" s="114">
        <v>-12.8</v>
      </c>
      <c r="G114" s="114">
        <v>-12.8</v>
      </c>
      <c r="H114" s="114">
        <v>-12.8</v>
      </c>
      <c r="I114" s="114">
        <v>-12.8</v>
      </c>
      <c r="J114" s="114">
        <v>-1.6</v>
      </c>
      <c r="K114" s="114">
        <v>-1.6</v>
      </c>
      <c r="L114" s="114">
        <v>3.5</v>
      </c>
      <c r="M114" s="114">
        <v>0</v>
      </c>
      <c r="N114" s="114">
        <v>0</v>
      </c>
      <c r="O114" s="114">
        <v>13.5</v>
      </c>
      <c r="P114" s="114">
        <v>17.399999999999999</v>
      </c>
      <c r="Q114" s="114">
        <v>20.6</v>
      </c>
      <c r="R114" s="114">
        <v>20.6</v>
      </c>
      <c r="S114" s="114">
        <v>17</v>
      </c>
      <c r="T114" s="114">
        <v>7.9</v>
      </c>
      <c r="U114" s="114">
        <v>16.7</v>
      </c>
      <c r="V114" s="114">
        <v>7.5</v>
      </c>
      <c r="W114" s="114">
        <v>6.4</v>
      </c>
      <c r="X114" s="114">
        <v>6.2</v>
      </c>
      <c r="Y114" s="114">
        <v>5.4</v>
      </c>
      <c r="Z114" s="114">
        <v>11</v>
      </c>
      <c r="AA114" s="114">
        <v>11</v>
      </c>
      <c r="AB114" s="114">
        <v>11</v>
      </c>
      <c r="AC114" s="114">
        <v>-0.5</v>
      </c>
      <c r="AD114" s="114">
        <v>-5.8</v>
      </c>
      <c r="AE114" s="114">
        <v>-10.9</v>
      </c>
      <c r="AF114" s="114">
        <v>-12.2</v>
      </c>
      <c r="AG114" s="113">
        <v>60</v>
      </c>
      <c r="AH114" s="47">
        <f t="shared" si="33"/>
        <v>20.6</v>
      </c>
      <c r="AI114" s="48">
        <f t="shared" si="34"/>
        <v>-130</v>
      </c>
    </row>
    <row r="115" spans="1:37" x14ac:dyDescent="0.25">
      <c r="A115" s="115" t="s">
        <v>123</v>
      </c>
      <c r="B115" s="116">
        <v>10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18.399999999999999</v>
      </c>
      <c r="K115" s="116">
        <v>20.399999999999999</v>
      </c>
      <c r="L115" s="116">
        <v>20.100000000000001</v>
      </c>
      <c r="M115" s="116">
        <v>60.9</v>
      </c>
      <c r="N115" s="116">
        <v>20.7</v>
      </c>
      <c r="O115" s="116">
        <v>21.2</v>
      </c>
      <c r="P115" s="116">
        <v>20.399999999999999</v>
      </c>
      <c r="Q115" s="116">
        <v>21.5</v>
      </c>
      <c r="R115" s="116">
        <v>21.5</v>
      </c>
      <c r="S115" s="116">
        <v>25</v>
      </c>
      <c r="T115" s="116">
        <v>15.1</v>
      </c>
      <c r="U115" s="116">
        <v>14.1</v>
      </c>
      <c r="V115" s="116">
        <v>15.2</v>
      </c>
      <c r="W115" s="116">
        <v>15.3</v>
      </c>
      <c r="X115" s="116">
        <v>15.2</v>
      </c>
      <c r="Y115" s="116">
        <v>17</v>
      </c>
      <c r="Z115" s="116">
        <v>24</v>
      </c>
      <c r="AA115" s="116">
        <v>24</v>
      </c>
      <c r="AB115" s="116">
        <v>24</v>
      </c>
      <c r="AC115" s="116">
        <v>57.4</v>
      </c>
      <c r="AD115" s="116">
        <v>58.7</v>
      </c>
      <c r="AE115" s="116">
        <v>21.7</v>
      </c>
      <c r="AF115" s="116">
        <v>11.3</v>
      </c>
      <c r="AG115" s="117">
        <v>120</v>
      </c>
      <c r="AH115" s="47">
        <f t="shared" si="33"/>
        <v>60.9</v>
      </c>
      <c r="AI115" s="48">
        <f t="shared" si="34"/>
        <v>0</v>
      </c>
    </row>
    <row r="116" spans="1:37" x14ac:dyDescent="0.25">
      <c r="A116" s="115" t="s">
        <v>124</v>
      </c>
      <c r="B116" s="116">
        <v>76</v>
      </c>
      <c r="C116" s="116">
        <v>79</v>
      </c>
      <c r="D116" s="116">
        <v>72</v>
      </c>
      <c r="E116" s="116">
        <v>69.7</v>
      </c>
      <c r="F116" s="116">
        <v>72</v>
      </c>
      <c r="G116" s="116">
        <v>69.7</v>
      </c>
      <c r="H116" s="116">
        <v>68.400000000000006</v>
      </c>
      <c r="I116" s="116">
        <v>69.7</v>
      </c>
      <c r="J116" s="116">
        <v>70.5</v>
      </c>
      <c r="K116" s="116">
        <v>80.5</v>
      </c>
      <c r="L116" s="116">
        <v>80</v>
      </c>
      <c r="M116" s="116">
        <v>78.3</v>
      </c>
      <c r="N116" s="116">
        <v>84.1</v>
      </c>
      <c r="O116" s="116">
        <v>83.5</v>
      </c>
      <c r="P116" s="116">
        <v>86</v>
      </c>
      <c r="Q116" s="116">
        <v>61.1</v>
      </c>
      <c r="R116" s="116">
        <v>61.1</v>
      </c>
      <c r="S116" s="116">
        <v>70</v>
      </c>
      <c r="T116" s="116">
        <v>60.8</v>
      </c>
      <c r="U116" s="116">
        <v>71.2</v>
      </c>
      <c r="V116" s="116">
        <v>44.4</v>
      </c>
      <c r="W116" s="116">
        <v>60</v>
      </c>
      <c r="X116" s="116">
        <v>60</v>
      </c>
      <c r="Y116" s="116">
        <v>62</v>
      </c>
      <c r="Z116" s="116">
        <v>78</v>
      </c>
      <c r="AA116" s="116">
        <v>78</v>
      </c>
      <c r="AB116" s="116">
        <v>78</v>
      </c>
      <c r="AC116" s="116">
        <v>49</v>
      </c>
      <c r="AD116" s="116">
        <v>29</v>
      </c>
      <c r="AE116" s="116">
        <v>53.2</v>
      </c>
      <c r="AF116" s="116">
        <v>50.4</v>
      </c>
      <c r="AG116" s="117"/>
      <c r="AH116" s="47">
        <f t="shared" si="33"/>
        <v>86</v>
      </c>
      <c r="AI116" s="48">
        <f t="shared" si="34"/>
        <v>29</v>
      </c>
    </row>
    <row r="117" spans="1:37" x14ac:dyDescent="0.25">
      <c r="A117" s="115" t="s">
        <v>125</v>
      </c>
      <c r="B117" s="116">
        <v>16</v>
      </c>
      <c r="C117" s="116">
        <v>16</v>
      </c>
      <c r="D117" s="116">
        <v>15</v>
      </c>
      <c r="E117" s="116">
        <v>-11.1</v>
      </c>
      <c r="F117" s="116">
        <v>-12</v>
      </c>
      <c r="G117" s="116">
        <v>-10.199999999999999</v>
      </c>
      <c r="H117" s="116">
        <v>-12</v>
      </c>
      <c r="I117" s="116">
        <v>-10.4</v>
      </c>
      <c r="J117" s="116">
        <v>-9.1999999999999993</v>
      </c>
      <c r="K117" s="116">
        <v>-17.5</v>
      </c>
      <c r="L117" s="116">
        <v>-13.1</v>
      </c>
      <c r="M117" s="116">
        <v>-8.4</v>
      </c>
      <c r="N117" s="116">
        <v>7.2</v>
      </c>
      <c r="O117" s="116">
        <v>18.899999999999999</v>
      </c>
      <c r="P117" s="116">
        <v>13.4</v>
      </c>
      <c r="Q117" s="116">
        <v>2.5</v>
      </c>
      <c r="R117" s="116">
        <v>2.5</v>
      </c>
      <c r="S117" s="116">
        <v>15</v>
      </c>
      <c r="T117" s="116">
        <v>10.199999999999999</v>
      </c>
      <c r="U117" s="116">
        <v>8.5</v>
      </c>
      <c r="V117" s="116">
        <v>14.5</v>
      </c>
      <c r="W117" s="116">
        <v>2.5</v>
      </c>
      <c r="X117" s="116">
        <v>6</v>
      </c>
      <c r="Y117" s="116">
        <v>6.6</v>
      </c>
      <c r="Z117" s="116">
        <v>3</v>
      </c>
      <c r="AA117" s="116">
        <v>3</v>
      </c>
      <c r="AB117" s="116">
        <v>3</v>
      </c>
      <c r="AC117" s="116">
        <v>-1.2</v>
      </c>
      <c r="AD117" s="116">
        <v>0</v>
      </c>
      <c r="AE117" s="116">
        <v>-9.6</v>
      </c>
      <c r="AF117" s="116">
        <v>-15.7</v>
      </c>
      <c r="AG117" s="118"/>
      <c r="AH117" s="47">
        <f t="shared" si="33"/>
        <v>18.899999999999999</v>
      </c>
      <c r="AI117" s="48">
        <f t="shared" si="34"/>
        <v>-17.5</v>
      </c>
    </row>
    <row r="118" spans="1:37" x14ac:dyDescent="0.25">
      <c r="A118" s="119" t="s">
        <v>126</v>
      </c>
      <c r="B118" s="105">
        <v>26</v>
      </c>
      <c r="C118" s="105">
        <v>26</v>
      </c>
      <c r="D118" s="105">
        <v>26</v>
      </c>
      <c r="E118" s="105">
        <v>24</v>
      </c>
      <c r="F118" s="105">
        <v>24</v>
      </c>
      <c r="G118" s="105">
        <v>24</v>
      </c>
      <c r="H118" s="105">
        <v>24</v>
      </c>
      <c r="I118" s="105">
        <v>24</v>
      </c>
      <c r="J118" s="105">
        <v>24</v>
      </c>
      <c r="K118" s="105">
        <v>24</v>
      </c>
      <c r="L118" s="105">
        <v>63.2</v>
      </c>
      <c r="M118" s="105">
        <v>58.4</v>
      </c>
      <c r="N118" s="105">
        <v>32.4</v>
      </c>
      <c r="O118" s="105">
        <v>22.3</v>
      </c>
      <c r="P118" s="105">
        <v>23</v>
      </c>
      <c r="Q118" s="105">
        <v>27</v>
      </c>
      <c r="R118" s="105">
        <v>27</v>
      </c>
      <c r="S118" s="105">
        <v>22</v>
      </c>
      <c r="T118" s="105">
        <v>23.6</v>
      </c>
      <c r="U118" s="105">
        <v>23.6</v>
      </c>
      <c r="V118" s="105">
        <v>24.1</v>
      </c>
      <c r="W118" s="105">
        <v>26</v>
      </c>
      <c r="X118" s="105">
        <v>26.3</v>
      </c>
      <c r="Y118" s="105">
        <v>16</v>
      </c>
      <c r="Z118" s="105">
        <v>12</v>
      </c>
      <c r="AA118" s="105">
        <v>12</v>
      </c>
      <c r="AB118" s="105">
        <v>12</v>
      </c>
      <c r="AC118" s="105">
        <v>14.9</v>
      </c>
      <c r="AD118" s="105">
        <v>14.6</v>
      </c>
      <c r="AE118" s="105">
        <v>24.8</v>
      </c>
      <c r="AF118" s="105">
        <v>30</v>
      </c>
      <c r="AG118" s="118"/>
      <c r="AH118" s="47">
        <f t="shared" si="33"/>
        <v>63.2</v>
      </c>
      <c r="AI118" s="48">
        <f t="shared" si="34"/>
        <v>12</v>
      </c>
    </row>
    <row r="119" spans="1:37" x14ac:dyDescent="0.25">
      <c r="A119" s="120" t="s">
        <v>127</v>
      </c>
      <c r="B119" s="105">
        <v>90</v>
      </c>
      <c r="C119" s="105">
        <v>88</v>
      </c>
      <c r="D119" s="105">
        <v>85</v>
      </c>
      <c r="E119" s="105">
        <v>86.4</v>
      </c>
      <c r="F119" s="105">
        <v>89</v>
      </c>
      <c r="G119" s="105">
        <v>92</v>
      </c>
      <c r="H119" s="105">
        <v>95</v>
      </c>
      <c r="I119" s="105">
        <v>940</v>
      </c>
      <c r="J119" s="105">
        <v>64.5</v>
      </c>
      <c r="K119" s="105">
        <v>28.5</v>
      </c>
      <c r="L119" s="105">
        <v>29.7</v>
      </c>
      <c r="M119" s="105">
        <v>28.8</v>
      </c>
      <c r="N119" s="105">
        <v>31.3</v>
      </c>
      <c r="O119" s="105">
        <v>30.8</v>
      </c>
      <c r="P119" s="105">
        <v>22.1</v>
      </c>
      <c r="Q119" s="105">
        <v>21.9</v>
      </c>
      <c r="R119" s="105">
        <v>21.9</v>
      </c>
      <c r="S119" s="105">
        <v>23</v>
      </c>
      <c r="T119" s="105">
        <v>21.7</v>
      </c>
      <c r="U119" s="105">
        <v>21.3</v>
      </c>
      <c r="V119" s="105">
        <v>71.8</v>
      </c>
      <c r="W119" s="105">
        <v>50</v>
      </c>
      <c r="X119" s="105">
        <v>51</v>
      </c>
      <c r="Y119" s="105">
        <v>60</v>
      </c>
      <c r="Z119" s="105">
        <v>49</v>
      </c>
      <c r="AA119" s="105">
        <v>49</v>
      </c>
      <c r="AB119" s="105">
        <v>49</v>
      </c>
      <c r="AC119" s="105">
        <v>76.5</v>
      </c>
      <c r="AD119" s="105">
        <v>86.3</v>
      </c>
      <c r="AE119" s="105">
        <v>90.2</v>
      </c>
      <c r="AF119" s="105">
        <v>96.8</v>
      </c>
      <c r="AG119" s="118"/>
      <c r="AH119" s="47">
        <f t="shared" si="33"/>
        <v>940</v>
      </c>
      <c r="AI119" s="48">
        <f t="shared" si="34"/>
        <v>21.3</v>
      </c>
    </row>
    <row r="120" spans="1:37" ht="15.75" thickBot="1" x14ac:dyDescent="0.3">
      <c r="A120" s="119" t="s">
        <v>128</v>
      </c>
      <c r="B120" s="105">
        <v>53</v>
      </c>
      <c r="C120" s="105">
        <v>60</v>
      </c>
      <c r="D120" s="105">
        <v>59</v>
      </c>
      <c r="E120" s="105">
        <v>54.8</v>
      </c>
      <c r="F120" s="105">
        <v>54.8</v>
      </c>
      <c r="G120" s="105">
        <v>33</v>
      </c>
      <c r="H120" s="105">
        <v>12</v>
      </c>
      <c r="I120" s="105">
        <v>5.4</v>
      </c>
      <c r="J120" s="105">
        <v>0</v>
      </c>
      <c r="K120" s="105">
        <v>10</v>
      </c>
      <c r="L120" s="105">
        <v>13.5</v>
      </c>
      <c r="M120" s="105">
        <v>30.3</v>
      </c>
      <c r="N120" s="105">
        <v>87</v>
      </c>
      <c r="O120" s="105">
        <v>31.2</v>
      </c>
      <c r="P120" s="105">
        <v>61.9</v>
      </c>
      <c r="Q120" s="105">
        <v>42.4</v>
      </c>
      <c r="R120" s="105">
        <v>42.4</v>
      </c>
      <c r="S120" s="105">
        <v>52</v>
      </c>
      <c r="T120" s="105">
        <v>51.7</v>
      </c>
      <c r="U120" s="105">
        <v>39.5</v>
      </c>
      <c r="V120" s="105">
        <v>42.1</v>
      </c>
      <c r="W120" s="105">
        <v>31</v>
      </c>
      <c r="X120" s="105">
        <v>38</v>
      </c>
      <c r="Y120" s="105">
        <v>46</v>
      </c>
      <c r="Z120" s="105">
        <v>53</v>
      </c>
      <c r="AA120" s="105">
        <v>53</v>
      </c>
      <c r="AB120" s="105">
        <v>53</v>
      </c>
      <c r="AC120" s="105">
        <v>65.7</v>
      </c>
      <c r="AD120" s="105">
        <v>64.599999999999994</v>
      </c>
      <c r="AE120" s="105">
        <v>43.3</v>
      </c>
      <c r="AF120" s="105">
        <v>41</v>
      </c>
      <c r="AG120" s="118"/>
      <c r="AH120" s="47">
        <f t="shared" si="33"/>
        <v>87</v>
      </c>
      <c r="AI120" s="48">
        <f t="shared" si="34"/>
        <v>0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77">SUM(B122:B226)</f>
        <v>0</v>
      </c>
      <c r="C227" s="136">
        <f t="shared" si="77"/>
        <v>0</v>
      </c>
      <c r="D227" s="136">
        <f t="shared" si="77"/>
        <v>0</v>
      </c>
      <c r="E227" s="136">
        <f t="shared" si="77"/>
        <v>0</v>
      </c>
      <c r="F227" s="136">
        <f t="shared" si="77"/>
        <v>0</v>
      </c>
      <c r="G227" s="136">
        <f t="shared" si="77"/>
        <v>0</v>
      </c>
      <c r="H227" s="136">
        <f t="shared" si="77"/>
        <v>0</v>
      </c>
      <c r="I227" s="136">
        <f t="shared" si="77"/>
        <v>0</v>
      </c>
      <c r="J227" s="136">
        <f t="shared" si="77"/>
        <v>0</v>
      </c>
      <c r="K227" s="136">
        <f t="shared" si="77"/>
        <v>0</v>
      </c>
      <c r="L227" s="136">
        <f t="shared" si="77"/>
        <v>0</v>
      </c>
      <c r="M227" s="136">
        <f t="shared" si="77"/>
        <v>0</v>
      </c>
      <c r="N227" s="136">
        <f t="shared" si="77"/>
        <v>0</v>
      </c>
      <c r="O227" s="136">
        <f t="shared" si="77"/>
        <v>0</v>
      </c>
      <c r="P227" s="136">
        <f t="shared" si="77"/>
        <v>0</v>
      </c>
      <c r="Q227" s="136">
        <f t="shared" si="77"/>
        <v>0</v>
      </c>
      <c r="R227" s="136">
        <f t="shared" si="77"/>
        <v>0</v>
      </c>
      <c r="S227" s="136">
        <f t="shared" si="77"/>
        <v>0</v>
      </c>
      <c r="T227" s="136">
        <f t="shared" si="77"/>
        <v>0</v>
      </c>
      <c r="U227" s="136">
        <f t="shared" si="77"/>
        <v>0</v>
      </c>
      <c r="V227" s="136">
        <f t="shared" si="77"/>
        <v>0</v>
      </c>
      <c r="W227" s="136">
        <f t="shared" si="77"/>
        <v>0</v>
      </c>
      <c r="X227" s="136">
        <f t="shared" si="77"/>
        <v>0</v>
      </c>
      <c r="Y227" s="136">
        <f t="shared" si="77"/>
        <v>0</v>
      </c>
      <c r="Z227" s="136">
        <f t="shared" si="77"/>
        <v>0</v>
      </c>
      <c r="AA227" s="136">
        <f t="shared" si="77"/>
        <v>0</v>
      </c>
      <c r="AB227" s="136">
        <f t="shared" si="77"/>
        <v>0</v>
      </c>
      <c r="AC227" s="136">
        <f t="shared" si="77"/>
        <v>0</v>
      </c>
      <c r="AD227" s="136">
        <f t="shared" si="77"/>
        <v>0</v>
      </c>
      <c r="AE227" s="136">
        <f t="shared" si="77"/>
        <v>0</v>
      </c>
      <c r="AF227" s="137">
        <f t="shared" si="77"/>
        <v>0</v>
      </c>
      <c r="AG227" s="138">
        <f t="shared" si="77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78">AF229</f>
        <v>0</v>
      </c>
      <c r="C229" s="140">
        <v>0.3</v>
      </c>
      <c r="D229" s="140">
        <f t="shared" ref="D229:P234" si="79">C229</f>
        <v>0.3</v>
      </c>
      <c r="E229" s="140">
        <f t="shared" si="79"/>
        <v>0.3</v>
      </c>
      <c r="F229" s="140">
        <f t="shared" si="79"/>
        <v>0.3</v>
      </c>
      <c r="G229" s="140">
        <f t="shared" si="79"/>
        <v>0.3</v>
      </c>
      <c r="H229" s="140">
        <f t="shared" si="79"/>
        <v>0.3</v>
      </c>
      <c r="I229" s="140">
        <f t="shared" si="79"/>
        <v>0.3</v>
      </c>
      <c r="J229" s="140">
        <f t="shared" si="79"/>
        <v>0.3</v>
      </c>
      <c r="K229" s="140">
        <f t="shared" si="79"/>
        <v>0.3</v>
      </c>
      <c r="L229" s="140">
        <f t="shared" si="79"/>
        <v>0.3</v>
      </c>
      <c r="M229" s="140">
        <f t="shared" si="79"/>
        <v>0.3</v>
      </c>
      <c r="N229" s="140">
        <f t="shared" si="79"/>
        <v>0.3</v>
      </c>
      <c r="O229" s="140">
        <f t="shared" si="79"/>
        <v>0.3</v>
      </c>
      <c r="P229" s="140">
        <f t="shared" si="7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78"/>
        <v>0</v>
      </c>
      <c r="C230" s="128">
        <v>0.4</v>
      </c>
      <c r="D230" s="128">
        <f t="shared" si="79"/>
        <v>0.4</v>
      </c>
      <c r="E230" s="128">
        <f t="shared" si="79"/>
        <v>0.4</v>
      </c>
      <c r="F230" s="128">
        <f t="shared" si="79"/>
        <v>0.4</v>
      </c>
      <c r="G230" s="128">
        <f t="shared" si="79"/>
        <v>0.4</v>
      </c>
      <c r="H230" s="128">
        <f t="shared" si="79"/>
        <v>0.4</v>
      </c>
      <c r="I230" s="128">
        <f t="shared" si="79"/>
        <v>0.4</v>
      </c>
      <c r="J230" s="128">
        <f t="shared" si="79"/>
        <v>0.4</v>
      </c>
      <c r="K230" s="128">
        <f t="shared" si="79"/>
        <v>0.4</v>
      </c>
      <c r="L230" s="128">
        <f t="shared" si="79"/>
        <v>0.4</v>
      </c>
      <c r="M230" s="128">
        <f t="shared" si="79"/>
        <v>0.4</v>
      </c>
      <c r="N230" s="128">
        <f t="shared" si="79"/>
        <v>0.4</v>
      </c>
      <c r="O230" s="128">
        <f t="shared" si="79"/>
        <v>0.4</v>
      </c>
      <c r="P230" s="128">
        <f t="shared" si="7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78"/>
        <v>0</v>
      </c>
      <c r="C231" s="128">
        <v>1.5</v>
      </c>
      <c r="D231" s="128">
        <f t="shared" si="79"/>
        <v>1.5</v>
      </c>
      <c r="E231" s="128">
        <f t="shared" si="79"/>
        <v>1.5</v>
      </c>
      <c r="F231" s="128">
        <f t="shared" si="79"/>
        <v>1.5</v>
      </c>
      <c r="G231" s="128">
        <f t="shared" si="79"/>
        <v>1.5</v>
      </c>
      <c r="H231" s="128">
        <f t="shared" si="79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79"/>
        <v>123.21900000000009</v>
      </c>
      <c r="K231" s="128">
        <f t="shared" ca="1" si="79"/>
        <v>123.21900000000009</v>
      </c>
      <c r="L231" s="128">
        <f t="shared" ca="1" si="79"/>
        <v>123.21900000000009</v>
      </c>
      <c r="M231" s="128">
        <f t="shared" ca="1" si="79"/>
        <v>119.19900000000008</v>
      </c>
      <c r="N231" s="128">
        <f t="shared" ca="1" si="79"/>
        <v>119.19900000000008</v>
      </c>
      <c r="O231" s="128">
        <f t="shared" ca="1" si="79"/>
        <v>119.19900000000008</v>
      </c>
      <c r="P231" s="128">
        <f t="shared" ca="1" si="79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78"/>
        <v>0</v>
      </c>
      <c r="C232" s="128">
        <v>0.3</v>
      </c>
      <c r="D232" s="128">
        <f t="shared" si="79"/>
        <v>0.3</v>
      </c>
      <c r="E232" s="128">
        <f t="shared" si="79"/>
        <v>0.3</v>
      </c>
      <c r="F232" s="128">
        <f t="shared" si="79"/>
        <v>0.3</v>
      </c>
      <c r="G232" s="128">
        <f t="shared" si="79"/>
        <v>0.3</v>
      </c>
      <c r="H232" s="128">
        <f t="shared" si="79"/>
        <v>0.3</v>
      </c>
      <c r="I232" s="128">
        <f t="shared" si="79"/>
        <v>0.3</v>
      </c>
      <c r="J232" s="128">
        <f t="shared" si="79"/>
        <v>0.3</v>
      </c>
      <c r="K232" s="128">
        <f t="shared" si="79"/>
        <v>0.3</v>
      </c>
      <c r="L232" s="128">
        <f t="shared" si="79"/>
        <v>0.3</v>
      </c>
      <c r="M232" s="128">
        <f t="shared" si="79"/>
        <v>0.3</v>
      </c>
      <c r="N232" s="128">
        <f t="shared" si="79"/>
        <v>0.3</v>
      </c>
      <c r="O232" s="128">
        <f t="shared" si="79"/>
        <v>0.3</v>
      </c>
      <c r="P232" s="128">
        <f t="shared" si="7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78"/>
        <v>0</v>
      </c>
      <c r="C233" s="128">
        <v>0.4</v>
      </c>
      <c r="D233" s="128">
        <f t="shared" si="79"/>
        <v>0.4</v>
      </c>
      <c r="E233" s="128">
        <f t="shared" si="79"/>
        <v>0.4</v>
      </c>
      <c r="F233" s="128">
        <f t="shared" si="79"/>
        <v>0.4</v>
      </c>
      <c r="G233" s="128">
        <f t="shared" si="79"/>
        <v>0.4</v>
      </c>
      <c r="H233" s="128">
        <f t="shared" si="79"/>
        <v>0.4</v>
      </c>
      <c r="I233" s="128">
        <f t="shared" si="79"/>
        <v>0.4</v>
      </c>
      <c r="J233" s="128">
        <f t="shared" si="79"/>
        <v>0.4</v>
      </c>
      <c r="K233" s="128">
        <f t="shared" si="79"/>
        <v>0.4</v>
      </c>
      <c r="L233" s="128">
        <f t="shared" si="79"/>
        <v>0.4</v>
      </c>
      <c r="M233" s="128">
        <f t="shared" si="79"/>
        <v>0.4</v>
      </c>
      <c r="N233" s="128">
        <f t="shared" si="79"/>
        <v>0.4</v>
      </c>
      <c r="O233" s="128">
        <f t="shared" si="79"/>
        <v>0.4</v>
      </c>
      <c r="P233" s="128">
        <f t="shared" si="7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78"/>
        <v>0</v>
      </c>
      <c r="C234" s="132">
        <v>0.64</v>
      </c>
      <c r="D234" s="132">
        <f t="shared" si="79"/>
        <v>0.64</v>
      </c>
      <c r="E234" s="132">
        <f t="shared" si="79"/>
        <v>0.64</v>
      </c>
      <c r="F234" s="132">
        <f t="shared" si="79"/>
        <v>0.64</v>
      </c>
      <c r="G234" s="132">
        <f t="shared" si="79"/>
        <v>0.64</v>
      </c>
      <c r="H234" s="132">
        <f t="shared" si="79"/>
        <v>0.64</v>
      </c>
      <c r="I234" s="132">
        <f t="shared" si="79"/>
        <v>0.64</v>
      </c>
      <c r="J234" s="132">
        <f t="shared" si="79"/>
        <v>0.64</v>
      </c>
      <c r="K234" s="132">
        <f t="shared" si="79"/>
        <v>0.64</v>
      </c>
      <c r="L234" s="132">
        <f t="shared" si="79"/>
        <v>0.64</v>
      </c>
      <c r="M234" s="132">
        <f t="shared" si="79"/>
        <v>0.64</v>
      </c>
      <c r="N234" s="132">
        <f t="shared" si="79"/>
        <v>0.64</v>
      </c>
      <c r="O234" s="132">
        <f t="shared" si="79"/>
        <v>0.64</v>
      </c>
      <c r="P234" s="132">
        <f t="shared" si="7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80">SUM(B229:B234)</f>
        <v>0</v>
      </c>
      <c r="C235" s="136">
        <f t="shared" si="80"/>
        <v>3.54</v>
      </c>
      <c r="D235" s="136">
        <f t="shared" si="80"/>
        <v>3.54</v>
      </c>
      <c r="E235" s="136">
        <f t="shared" si="80"/>
        <v>3.54</v>
      </c>
      <c r="F235" s="136">
        <f t="shared" si="80"/>
        <v>3.54</v>
      </c>
      <c r="G235" s="136">
        <f t="shared" si="80"/>
        <v>3.54</v>
      </c>
      <c r="H235" s="136">
        <f t="shared" si="80"/>
        <v>3.54</v>
      </c>
      <c r="I235" s="136">
        <f t="shared" ca="1" si="80"/>
        <v>121.23900000000009</v>
      </c>
      <c r="J235" s="136">
        <f t="shared" ca="1" si="80"/>
        <v>121.23900000000009</v>
      </c>
      <c r="K235" s="136">
        <f t="shared" ca="1" si="80"/>
        <v>121.23900000000009</v>
      </c>
      <c r="L235" s="136">
        <f t="shared" ca="1" si="80"/>
        <v>125.2590000000001</v>
      </c>
      <c r="M235" s="136">
        <f t="shared" ca="1" si="80"/>
        <v>121.23900000000009</v>
      </c>
      <c r="N235" s="136">
        <f t="shared" ca="1" si="80"/>
        <v>121.23900000000009</v>
      </c>
      <c r="O235" s="136">
        <f t="shared" ca="1" si="80"/>
        <v>121.23900000000009</v>
      </c>
      <c r="P235" s="136">
        <f t="shared" ca="1" si="80"/>
        <v>121.23900000000009</v>
      </c>
      <c r="Q235" s="136">
        <f t="shared" si="80"/>
        <v>0</v>
      </c>
      <c r="R235" s="136">
        <f t="shared" si="80"/>
        <v>0</v>
      </c>
      <c r="S235" s="136">
        <f t="shared" si="80"/>
        <v>0</v>
      </c>
      <c r="T235" s="136">
        <f t="shared" si="80"/>
        <v>0</v>
      </c>
      <c r="U235" s="136">
        <f t="shared" si="80"/>
        <v>0</v>
      </c>
      <c r="V235" s="136">
        <f t="shared" si="80"/>
        <v>0</v>
      </c>
      <c r="W235" s="136">
        <f t="shared" si="80"/>
        <v>0</v>
      </c>
      <c r="X235" s="136">
        <f t="shared" si="80"/>
        <v>0</v>
      </c>
      <c r="Y235" s="136">
        <f t="shared" si="80"/>
        <v>0</v>
      </c>
      <c r="Z235" s="136">
        <f t="shared" si="80"/>
        <v>0</v>
      </c>
      <c r="AA235" s="136">
        <f t="shared" si="80"/>
        <v>0</v>
      </c>
      <c r="AB235" s="136">
        <f t="shared" si="80"/>
        <v>0</v>
      </c>
      <c r="AC235" s="136">
        <f t="shared" si="80"/>
        <v>0</v>
      </c>
      <c r="AD235" s="136">
        <f t="shared" si="80"/>
        <v>0</v>
      </c>
      <c r="AE235" s="136">
        <f t="shared" si="80"/>
        <v>0</v>
      </c>
      <c r="AF235" s="136">
        <f t="shared" si="80"/>
        <v>0</v>
      </c>
      <c r="AG235" s="145">
        <f t="shared" si="8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2054.84</v>
      </c>
      <c r="C244" s="161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8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2080/04/8)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2080/04/8)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81">B91</f>
        <v>2084.54</v>
      </c>
      <c r="U249" s="170">
        <f t="shared" si="81"/>
        <v>1997.4399999999998</v>
      </c>
      <c r="V249" s="170">
        <f t="shared" si="81"/>
        <v>1955.44</v>
      </c>
      <c r="W249" s="170">
        <f t="shared" si="81"/>
        <v>1956.94</v>
      </c>
      <c r="X249" s="170">
        <f t="shared" si="81"/>
        <v>1956.94</v>
      </c>
      <c r="Y249" s="170">
        <f t="shared" si="81"/>
        <v>1974.94</v>
      </c>
      <c r="Z249" s="170">
        <f t="shared" si="81"/>
        <v>1982.94</v>
      </c>
      <c r="AA249" s="170">
        <f t="shared" si="81"/>
        <v>1964.9399999999998</v>
      </c>
      <c r="AB249" s="170">
        <f t="shared" si="81"/>
        <v>1985.9399999999998</v>
      </c>
      <c r="AC249" s="170">
        <f t="shared" si="81"/>
        <v>1999.9400000000003</v>
      </c>
      <c r="AD249" s="170">
        <f t="shared" si="81"/>
        <v>2054.84</v>
      </c>
      <c r="AE249" s="170">
        <f t="shared" si="81"/>
        <v>2021.7400000000002</v>
      </c>
      <c r="AF249" s="170">
        <f t="shared" si="81"/>
        <v>2014.7400000000002</v>
      </c>
      <c r="AG249" s="170">
        <f t="shared" si="81"/>
        <v>2055.34</v>
      </c>
      <c r="AH249" s="170">
        <f t="shared" si="81"/>
        <v>1962.44</v>
      </c>
      <c r="AI249" s="170">
        <f t="shared" si="81"/>
        <v>2062.14</v>
      </c>
      <c r="AJ249" s="170">
        <f t="shared" si="81"/>
        <v>2054.9400000000005</v>
      </c>
      <c r="AK249" s="170">
        <f t="shared" si="81"/>
        <v>2051.1400000000003</v>
      </c>
      <c r="AL249" s="170">
        <f t="shared" si="81"/>
        <v>2028.5400000000002</v>
      </c>
      <c r="AM249" s="170">
        <f t="shared" si="81"/>
        <v>2018.8400000000001</v>
      </c>
      <c r="AN249" s="170">
        <f t="shared" si="81"/>
        <v>2039.1399999999999</v>
      </c>
      <c r="AO249" s="170">
        <f t="shared" si="81"/>
        <v>1974.7400000000002</v>
      </c>
      <c r="AP249" s="170">
        <f t="shared" si="81"/>
        <v>1968.6399999999999</v>
      </c>
      <c r="AQ249" s="170">
        <f t="shared" si="81"/>
        <v>1981.0400000000002</v>
      </c>
      <c r="AR249" s="170">
        <f t="shared" si="81"/>
        <v>2000.7400000000005</v>
      </c>
      <c r="AS249" s="170">
        <f t="shared" si="81"/>
        <v>2000.6400000000003</v>
      </c>
      <c r="AT249" s="170">
        <f t="shared" si="81"/>
        <v>2061.1400000000003</v>
      </c>
      <c r="AU249" s="170">
        <f t="shared" si="81"/>
        <v>2063.94</v>
      </c>
      <c r="AV249" s="170">
        <f t="shared" si="81"/>
        <v>2063.0400000000004</v>
      </c>
      <c r="AW249" s="170">
        <f t="shared" si="81"/>
        <v>2037.6399999999999</v>
      </c>
      <c r="AX249" s="170">
        <f t="shared" si="81"/>
        <v>2022.2399999999998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82">C234</f>
        <v>0.64</v>
      </c>
      <c r="C270" s="173">
        <f t="shared" si="82"/>
        <v>0.64</v>
      </c>
      <c r="D270" s="173">
        <f t="shared" si="82"/>
        <v>0.64</v>
      </c>
      <c r="E270" s="173">
        <f t="shared" si="82"/>
        <v>0.64</v>
      </c>
      <c r="F270" s="173">
        <f t="shared" si="82"/>
        <v>0.64</v>
      </c>
      <c r="G270" s="173">
        <f t="shared" si="82"/>
        <v>0.64</v>
      </c>
      <c r="H270" s="173">
        <f t="shared" si="82"/>
        <v>0.64</v>
      </c>
      <c r="I270" s="173">
        <f t="shared" si="82"/>
        <v>0.64</v>
      </c>
      <c r="J270" s="173">
        <f t="shared" si="82"/>
        <v>0.64</v>
      </c>
      <c r="K270" s="173">
        <f t="shared" si="82"/>
        <v>0.64</v>
      </c>
      <c r="L270" s="173">
        <f t="shared" si="82"/>
        <v>0.64</v>
      </c>
      <c r="M270" s="173">
        <f t="shared" si="82"/>
        <v>0.64</v>
      </c>
      <c r="N270" s="173">
        <f t="shared" si="82"/>
        <v>0.64</v>
      </c>
      <c r="O270" s="173">
        <f t="shared" si="82"/>
        <v>0.64</v>
      </c>
      <c r="P270" s="173">
        <f t="shared" si="82"/>
        <v>0</v>
      </c>
      <c r="Q270" s="173">
        <f t="shared" si="82"/>
        <v>0</v>
      </c>
      <c r="R270" s="173">
        <f t="shared" si="82"/>
        <v>0</v>
      </c>
      <c r="S270" s="173">
        <f t="shared" si="82"/>
        <v>0</v>
      </c>
      <c r="T270" s="173">
        <f t="shared" si="82"/>
        <v>0</v>
      </c>
      <c r="U270" s="173">
        <f t="shared" si="82"/>
        <v>0</v>
      </c>
      <c r="V270" s="173">
        <f t="shared" si="82"/>
        <v>0</v>
      </c>
      <c r="W270" s="173">
        <f t="shared" si="82"/>
        <v>0</v>
      </c>
      <c r="X270" s="173">
        <f t="shared" si="82"/>
        <v>0</v>
      </c>
      <c r="Y270" s="173">
        <f t="shared" si="82"/>
        <v>0</v>
      </c>
      <c r="Z270" s="173">
        <f t="shared" si="82"/>
        <v>0</v>
      </c>
      <c r="AA270" s="173">
        <f t="shared" si="82"/>
        <v>0</v>
      </c>
      <c r="AB270" s="173">
        <f t="shared" si="82"/>
        <v>0</v>
      </c>
      <c r="AC270" s="173">
        <f t="shared" si="82"/>
        <v>0</v>
      </c>
      <c r="AD270" s="173">
        <f t="shared" si="82"/>
        <v>0</v>
      </c>
      <c r="AE270" s="173">
        <f t="shared" si="8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83">IF(B238&lt;100,"",B238-520)</f>
        <v/>
      </c>
      <c r="C271" s="174" t="str">
        <f t="shared" si="83"/>
        <v/>
      </c>
      <c r="D271" s="174" t="str">
        <f t="shared" si="83"/>
        <v/>
      </c>
      <c r="E271" s="174" t="str">
        <f t="shared" si="83"/>
        <v/>
      </c>
      <c r="F271" s="174" t="str">
        <f t="shared" si="83"/>
        <v/>
      </c>
      <c r="G271" s="174" t="str">
        <f t="shared" si="83"/>
        <v/>
      </c>
      <c r="H271" s="174" t="str">
        <f t="shared" si="83"/>
        <v/>
      </c>
      <c r="I271" s="174" t="str">
        <f t="shared" si="83"/>
        <v/>
      </c>
      <c r="J271" s="174" t="str">
        <f t="shared" si="83"/>
        <v/>
      </c>
      <c r="K271" s="174" t="str">
        <f t="shared" si="83"/>
        <v/>
      </c>
      <c r="L271" s="174" t="str">
        <f t="shared" si="83"/>
        <v/>
      </c>
      <c r="M271" s="174" t="str">
        <f t="shared" si="83"/>
        <v/>
      </c>
      <c r="N271" s="174" t="str">
        <f t="shared" si="83"/>
        <v/>
      </c>
      <c r="O271" s="174" t="str">
        <f t="shared" si="83"/>
        <v/>
      </c>
      <c r="P271" s="174" t="str">
        <f t="shared" si="83"/>
        <v/>
      </c>
      <c r="Q271" s="174" t="str">
        <f t="shared" si="83"/>
        <v/>
      </c>
      <c r="R271" s="174" t="str">
        <f t="shared" si="83"/>
        <v/>
      </c>
      <c r="S271" s="174" t="str">
        <f t="shared" si="83"/>
        <v/>
      </c>
      <c r="T271" s="174" t="str">
        <f t="shared" si="83"/>
        <v/>
      </c>
      <c r="U271" s="174" t="str">
        <f t="shared" si="83"/>
        <v/>
      </c>
      <c r="V271" s="174" t="str">
        <f t="shared" si="83"/>
        <v/>
      </c>
      <c r="W271" s="174" t="str">
        <f t="shared" si="83"/>
        <v/>
      </c>
      <c r="X271" s="174" t="str">
        <f t="shared" si="83"/>
        <v/>
      </c>
      <c r="Y271" s="174" t="str">
        <f t="shared" si="83"/>
        <v/>
      </c>
      <c r="Z271" s="174" t="str">
        <f t="shared" si="83"/>
        <v/>
      </c>
      <c r="AA271" s="174" t="str">
        <f t="shared" si="83"/>
        <v/>
      </c>
      <c r="AB271" s="174" t="str">
        <f t="shared" si="83"/>
        <v/>
      </c>
      <c r="AC271" s="174" t="str">
        <f t="shared" si="83"/>
        <v/>
      </c>
      <c r="AD271" s="174" t="str">
        <f t="shared" si="83"/>
        <v/>
      </c>
      <c r="AE271" s="174" t="str">
        <f t="shared" si="83"/>
        <v/>
      </c>
      <c r="AF271" s="174" t="str">
        <f t="shared" si="8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84">IF(B239&lt;100,"",B239-620)</f>
        <v/>
      </c>
      <c r="C272" s="174" t="str">
        <f t="shared" si="84"/>
        <v/>
      </c>
      <c r="D272" s="174" t="str">
        <f t="shared" si="84"/>
        <v/>
      </c>
      <c r="E272" s="174" t="str">
        <f t="shared" si="84"/>
        <v/>
      </c>
      <c r="F272" s="174" t="str">
        <f t="shared" si="84"/>
        <v/>
      </c>
      <c r="G272" s="174" t="str">
        <f t="shared" si="84"/>
        <v/>
      </c>
      <c r="H272" s="174" t="str">
        <f t="shared" si="84"/>
        <v/>
      </c>
      <c r="I272" s="174" t="str">
        <f t="shared" si="84"/>
        <v/>
      </c>
      <c r="J272" s="174" t="str">
        <f t="shared" si="84"/>
        <v/>
      </c>
      <c r="K272" s="174" t="str">
        <f t="shared" si="84"/>
        <v/>
      </c>
      <c r="L272" s="174" t="str">
        <f t="shared" si="84"/>
        <v/>
      </c>
      <c r="M272" s="174" t="str">
        <f t="shared" si="84"/>
        <v/>
      </c>
      <c r="N272" s="174" t="str">
        <f t="shared" si="84"/>
        <v/>
      </c>
      <c r="O272" s="174" t="str">
        <f t="shared" si="84"/>
        <v/>
      </c>
      <c r="P272" s="174" t="str">
        <f t="shared" si="84"/>
        <v/>
      </c>
      <c r="Q272" s="174" t="str">
        <f t="shared" si="84"/>
        <v/>
      </c>
      <c r="R272" s="174" t="str">
        <f t="shared" si="84"/>
        <v/>
      </c>
      <c r="S272" s="174" t="str">
        <f t="shared" si="84"/>
        <v/>
      </c>
      <c r="T272" s="174" t="str">
        <f t="shared" si="84"/>
        <v/>
      </c>
      <c r="U272" s="174" t="str">
        <f t="shared" si="84"/>
        <v/>
      </c>
      <c r="V272" s="174" t="str">
        <f t="shared" si="84"/>
        <v/>
      </c>
      <c r="W272" s="174" t="str">
        <f t="shared" si="84"/>
        <v/>
      </c>
      <c r="X272" s="174" t="str">
        <f t="shared" si="84"/>
        <v/>
      </c>
      <c r="Y272" s="174" t="str">
        <f t="shared" si="84"/>
        <v/>
      </c>
      <c r="Z272" s="174" t="str">
        <f t="shared" si="84"/>
        <v/>
      </c>
      <c r="AA272" s="174" t="str">
        <f t="shared" si="84"/>
        <v/>
      </c>
      <c r="AB272" s="174" t="str">
        <f t="shared" si="84"/>
        <v/>
      </c>
      <c r="AC272" s="174" t="str">
        <f t="shared" si="84"/>
        <v/>
      </c>
      <c r="AD272" s="174" t="str">
        <f t="shared" si="84"/>
        <v/>
      </c>
      <c r="AE272" s="174" t="str">
        <f t="shared" si="84"/>
        <v/>
      </c>
      <c r="AF272" s="174" t="str">
        <f t="shared" si="8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85">IF(B240&lt;100,"",B240-330)</f>
        <v/>
      </c>
      <c r="C273" s="174" t="str">
        <f t="shared" si="85"/>
        <v/>
      </c>
      <c r="D273" s="174" t="str">
        <f t="shared" si="85"/>
        <v/>
      </c>
      <c r="E273" s="174" t="str">
        <f t="shared" si="85"/>
        <v/>
      </c>
      <c r="F273" s="174" t="str">
        <f t="shared" si="85"/>
        <v/>
      </c>
      <c r="G273" s="174" t="str">
        <f t="shared" si="85"/>
        <v/>
      </c>
      <c r="H273" s="174" t="str">
        <f t="shared" si="85"/>
        <v/>
      </c>
      <c r="I273" s="174" t="str">
        <f t="shared" si="85"/>
        <v/>
      </c>
      <c r="J273" s="174" t="str">
        <f t="shared" si="85"/>
        <v/>
      </c>
      <c r="K273" s="174" t="str">
        <f t="shared" si="85"/>
        <v/>
      </c>
      <c r="L273" s="174" t="str">
        <f t="shared" si="85"/>
        <v/>
      </c>
      <c r="M273" s="174" t="str">
        <f t="shared" si="85"/>
        <v/>
      </c>
      <c r="N273" s="174" t="str">
        <f t="shared" si="85"/>
        <v/>
      </c>
      <c r="O273" s="174" t="str">
        <f t="shared" si="85"/>
        <v/>
      </c>
      <c r="P273" s="174" t="str">
        <f t="shared" si="85"/>
        <v/>
      </c>
      <c r="Q273" s="174" t="str">
        <f t="shared" si="85"/>
        <v/>
      </c>
      <c r="R273" s="174" t="str">
        <f t="shared" si="85"/>
        <v/>
      </c>
      <c r="S273" s="174" t="str">
        <f t="shared" si="85"/>
        <v/>
      </c>
      <c r="T273" s="174" t="str">
        <f t="shared" si="85"/>
        <v/>
      </c>
      <c r="U273" s="174" t="str">
        <f t="shared" si="85"/>
        <v/>
      </c>
      <c r="V273" s="174" t="str">
        <f t="shared" si="85"/>
        <v/>
      </c>
      <c r="W273" s="174" t="str">
        <f t="shared" si="85"/>
        <v/>
      </c>
      <c r="X273" s="174" t="str">
        <f t="shared" si="85"/>
        <v/>
      </c>
      <c r="Y273" s="174" t="str">
        <f t="shared" si="85"/>
        <v/>
      </c>
      <c r="Z273" s="174" t="str">
        <f t="shared" si="85"/>
        <v/>
      </c>
      <c r="AA273" s="174" t="str">
        <f t="shared" si="85"/>
        <v/>
      </c>
      <c r="AB273" s="174" t="str">
        <f t="shared" si="85"/>
        <v/>
      </c>
      <c r="AC273" s="174" t="str">
        <f t="shared" si="85"/>
        <v/>
      </c>
      <c r="AD273" s="174" t="str">
        <f t="shared" si="85"/>
        <v/>
      </c>
      <c r="AE273" s="174" t="str">
        <f t="shared" si="85"/>
        <v/>
      </c>
      <c r="AF273" s="174" t="str">
        <f t="shared" si="8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86">IF(B241&lt;100,"",B241-1500)</f>
        <v/>
      </c>
      <c r="C274" s="174" t="str">
        <f t="shared" si="86"/>
        <v/>
      </c>
      <c r="D274" s="174" t="str">
        <f t="shared" si="86"/>
        <v/>
      </c>
      <c r="E274" s="174" t="str">
        <f t="shared" si="86"/>
        <v/>
      </c>
      <c r="F274" s="174" t="str">
        <f t="shared" si="86"/>
        <v/>
      </c>
      <c r="G274" s="174" t="str">
        <f t="shared" si="86"/>
        <v/>
      </c>
      <c r="H274" s="174" t="str">
        <f t="shared" si="86"/>
        <v/>
      </c>
      <c r="I274" s="174" t="str">
        <f t="shared" si="86"/>
        <v/>
      </c>
      <c r="J274" s="174" t="str">
        <f t="shared" si="86"/>
        <v/>
      </c>
      <c r="K274" s="174" t="str">
        <f t="shared" si="86"/>
        <v/>
      </c>
      <c r="L274" s="174" t="str">
        <f t="shared" si="86"/>
        <v/>
      </c>
      <c r="M274" s="174" t="str">
        <f t="shared" si="86"/>
        <v/>
      </c>
      <c r="N274" s="174" t="str">
        <f t="shared" si="86"/>
        <v/>
      </c>
      <c r="O274" s="174" t="str">
        <f t="shared" si="86"/>
        <v/>
      </c>
      <c r="P274" s="174" t="str">
        <f t="shared" si="86"/>
        <v/>
      </c>
      <c r="Q274" s="174" t="str">
        <f t="shared" si="86"/>
        <v/>
      </c>
      <c r="R274" s="174" t="str">
        <f t="shared" si="86"/>
        <v/>
      </c>
      <c r="S274" s="174" t="str">
        <f t="shared" si="86"/>
        <v/>
      </c>
      <c r="T274" s="174" t="str">
        <f t="shared" si="86"/>
        <v/>
      </c>
      <c r="U274" s="174" t="str">
        <f t="shared" si="86"/>
        <v/>
      </c>
      <c r="V274" s="174" t="str">
        <f t="shared" si="86"/>
        <v/>
      </c>
      <c r="W274" s="174" t="str">
        <f t="shared" si="86"/>
        <v/>
      </c>
      <c r="X274" s="174" t="str">
        <f t="shared" si="86"/>
        <v/>
      </c>
      <c r="Y274" s="174" t="str">
        <f t="shared" si="86"/>
        <v/>
      </c>
      <c r="Z274" s="174" t="str">
        <f t="shared" si="86"/>
        <v/>
      </c>
      <c r="AA274" s="174" t="str">
        <f t="shared" si="86"/>
        <v/>
      </c>
      <c r="AB274" s="174" t="str">
        <f t="shared" si="86"/>
        <v/>
      </c>
      <c r="AC274" s="174" t="str">
        <f t="shared" si="86"/>
        <v/>
      </c>
      <c r="AD274" s="174" t="str">
        <f t="shared" si="86"/>
        <v/>
      </c>
      <c r="AE274" s="174" t="str">
        <f t="shared" si="86"/>
        <v/>
      </c>
      <c r="AF274" s="174" t="str">
        <f t="shared" si="8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2223" priority="65">
      <formula>$AH11=0</formula>
    </cfRule>
  </conditionalFormatting>
  <conditionalFormatting sqref="B8 M8 S8 AB8">
    <cfRule type="expression" dxfId="2222" priority="118">
      <formula>C$9&lt;8/24</formula>
    </cfRule>
    <cfRule type="expression" dxfId="2221" priority="116">
      <formula>AND(C$9&gt;=14/24,C$9&lt;20/24)</formula>
    </cfRule>
    <cfRule type="expression" dxfId="2220" priority="117">
      <formula>AND(C$9&gt;=8/24,C$9&lt;14/24)</formula>
    </cfRule>
  </conditionalFormatting>
  <conditionalFormatting sqref="B54:C54">
    <cfRule type="expression" dxfId="2219" priority="39">
      <formula>B$9&gt;=20/24</formula>
    </cfRule>
    <cfRule type="expression" dxfId="2218" priority="40">
      <formula>AND(B$9&gt;=14/24,B$9&lt;20/24)</formula>
    </cfRule>
    <cfRule type="expression" dxfId="2217" priority="41">
      <formula>AND(B$9&gt;=8/24,B$9&lt;14/24)</formula>
    </cfRule>
    <cfRule type="expression" dxfId="2216" priority="42">
      <formula>B$9&lt;8/24</formula>
    </cfRule>
  </conditionalFormatting>
  <conditionalFormatting sqref="B54:C66">
    <cfRule type="expression" dxfId="2215" priority="34">
      <formula>B54&gt;$AG54</formula>
    </cfRule>
  </conditionalFormatting>
  <conditionalFormatting sqref="B62:R62 M62:AF66">
    <cfRule type="expression" dxfId="2214" priority="1">
      <formula>B62&gt;$AG62</formula>
    </cfRule>
  </conditionalFormatting>
  <conditionalFormatting sqref="B9:AF45">
    <cfRule type="expression" dxfId="2213" priority="27">
      <formula>B$9&lt;8/24</formula>
    </cfRule>
    <cfRule type="expression" dxfId="2212" priority="26">
      <formula>AND(B$9&gt;=8/24,B$9&lt;14/24)</formula>
    </cfRule>
    <cfRule type="expression" dxfId="2211" priority="25">
      <formula>AND(B$9&gt;=14/24,B$9&lt;20/24)</formula>
    </cfRule>
    <cfRule type="expression" dxfId="2210" priority="24">
      <formula>B$9&gt;=20/24</formula>
    </cfRule>
  </conditionalFormatting>
  <conditionalFormatting sqref="B11:AF46">
    <cfRule type="expression" dxfId="2209" priority="23">
      <formula>B11&gt;$AG11</formula>
    </cfRule>
  </conditionalFormatting>
  <conditionalFormatting sqref="B46:AF46">
    <cfRule type="expression" dxfId="2208" priority="20">
      <formula>AND(B$9&gt;=14/24,B$9&lt;20/24)</formula>
    </cfRule>
    <cfRule type="expression" dxfId="2207" priority="21">
      <formula>AND(B$9&gt;=8/24,B$9&lt;14/24)</formula>
    </cfRule>
    <cfRule type="expression" dxfId="2206" priority="22">
      <formula>B$9&lt;8/24</formula>
    </cfRule>
    <cfRule type="expression" dxfId="2205" priority="19">
      <formula>B$9&gt;=20/24</formula>
    </cfRule>
  </conditionalFormatting>
  <conditionalFormatting sqref="B47:AF47">
    <cfRule type="expression" dxfId="2204" priority="33">
      <formula>B47&gt;$AG47</formula>
    </cfRule>
  </conditionalFormatting>
  <conditionalFormatting sqref="B47:AF49">
    <cfRule type="expression" dxfId="2203" priority="29">
      <formula>B$9&gt;=20/24</formula>
    </cfRule>
    <cfRule type="expression" dxfId="2202" priority="30">
      <formula>AND(B$9&gt;=14/24,B$9&lt;20/24)</formula>
    </cfRule>
    <cfRule type="expression" dxfId="2201" priority="31">
      <formula>AND(B$9&gt;=8/24,B$9&lt;14/24)</formula>
    </cfRule>
    <cfRule type="expression" dxfId="2200" priority="32">
      <formula>B$9&lt;8/24</formula>
    </cfRule>
  </conditionalFormatting>
  <conditionalFormatting sqref="B48:AF53">
    <cfRule type="expression" dxfId="2199" priority="28">
      <formula>B48&gt;$AG48</formula>
    </cfRule>
  </conditionalFormatting>
  <conditionalFormatting sqref="B51:AF53">
    <cfRule type="expression" dxfId="2198" priority="48">
      <formula>B$9&gt;=20/24</formula>
    </cfRule>
    <cfRule type="expression" dxfId="2197" priority="51">
      <formula>B$9&lt;8/24</formula>
    </cfRule>
    <cfRule type="expression" dxfId="2196" priority="50">
      <formula>AND(B$9&gt;=8/24,B$9&lt;14/24)</formula>
    </cfRule>
    <cfRule type="expression" dxfId="2195" priority="49">
      <formula>AND(B$9&gt;=14/24,B$9&lt;20/24)</formula>
    </cfRule>
  </conditionalFormatting>
  <conditionalFormatting sqref="B55:AF66">
    <cfRule type="expression" dxfId="2194" priority="38">
      <formula>B$9&lt;8/24</formula>
    </cfRule>
    <cfRule type="expression" dxfId="2193" priority="35">
      <formula>B$9&gt;=20/24</formula>
    </cfRule>
    <cfRule type="expression" dxfId="2192" priority="36">
      <formula>AND(B$9&gt;=14/24,B$9&lt;20/24)</formula>
    </cfRule>
    <cfRule type="expression" dxfId="2191" priority="37">
      <formula>AND(B$9&gt;=8/24,B$9&lt;14/24)</formula>
    </cfRule>
  </conditionalFormatting>
  <conditionalFormatting sqref="B69:AF71">
    <cfRule type="expression" dxfId="2190" priority="57">
      <formula>B$9&gt;=20/24</formula>
    </cfRule>
    <cfRule type="expression" dxfId="2189" priority="58">
      <formula>AND(B$9&gt;=14/24,B$9&lt;20/24)</formula>
    </cfRule>
    <cfRule type="expression" dxfId="2188" priority="59">
      <formula>AND(B$9&gt;=8/24,B$9&lt;14/24)</formula>
    </cfRule>
    <cfRule type="expression" dxfId="2187" priority="60">
      <formula>B$9&lt;8/24</formula>
    </cfRule>
    <cfRule type="expression" dxfId="2186" priority="56">
      <formula>B69&gt;$AG69</formula>
    </cfRule>
  </conditionalFormatting>
  <conditionalFormatting sqref="B73:AF91">
    <cfRule type="expression" dxfId="2185" priority="2">
      <formula>B$9&gt;=20/24</formula>
    </cfRule>
    <cfRule type="expression" dxfId="2184" priority="3">
      <formula>AND(B$9&gt;=14/24,B$9&lt;20/24)</formula>
    </cfRule>
    <cfRule type="expression" dxfId="2183" priority="4">
      <formula>AND(B$9&gt;=8/24,B$9&lt;14/24)</formula>
    </cfRule>
    <cfRule type="expression" dxfId="2182" priority="5">
      <formula>B$9&lt;8/24</formula>
    </cfRule>
  </conditionalFormatting>
  <conditionalFormatting sqref="B111:AF120">
    <cfRule type="expression" dxfId="2181" priority="15">
      <formula>B$9&gt;=20/24</formula>
    </cfRule>
    <cfRule type="expression" dxfId="2180" priority="16">
      <formula>AND(B$9&gt;=14/24,B$9&lt;20/24)</formula>
    </cfRule>
    <cfRule type="expression" dxfId="2179" priority="18">
      <formula>B$9&lt;8/24</formula>
    </cfRule>
    <cfRule type="expression" dxfId="2178" priority="17">
      <formula>AND(B$9&gt;=8/24,B$9&lt;14/24)</formula>
    </cfRule>
  </conditionalFormatting>
  <conditionalFormatting sqref="B227:AF227 D229:AF230 B229:B235 D231:H231 J231:AF231 D232:AF235 U248:AF248">
    <cfRule type="expression" dxfId="2177" priority="111">
      <formula>AND(B$9&gt;=8/24,B$9&lt;14/24)</formula>
    </cfRule>
    <cfRule type="expression" dxfId="2176" priority="109">
      <formula>B$9&gt;=20/24</formula>
    </cfRule>
    <cfRule type="expression" dxfId="2175" priority="112">
      <formula>B$9&lt;8/24</formula>
    </cfRule>
    <cfRule type="expression" dxfId="2174" priority="110">
      <formula>AND(B$9&gt;=14/24,B$9&lt;20/24)</formula>
    </cfRule>
  </conditionalFormatting>
  <conditionalFormatting sqref="B67:AG68 B72:AG72">
    <cfRule type="expression" dxfId="2173" priority="43">
      <formula>B67&gt;$AG67</formula>
    </cfRule>
  </conditionalFormatting>
  <conditionalFormatting sqref="B72:AG72 B93:AF109">
    <cfRule type="expression" dxfId="2172" priority="46">
      <formula>AND(B$9&gt;=8/24,B$9&lt;14/24)</formula>
    </cfRule>
    <cfRule type="expression" dxfId="2171" priority="45">
      <formula>AND(B$9&gt;=14/24,B$9&lt;20/24)</formula>
    </cfRule>
    <cfRule type="expression" dxfId="2170" priority="47">
      <formula>B$9&lt;8/24</formula>
    </cfRule>
    <cfRule type="expression" dxfId="2169" priority="44">
      <formula>B$9&gt;=20/24</formula>
    </cfRule>
  </conditionalFormatting>
  <conditionalFormatting sqref="D55:AF66">
    <cfRule type="expression" dxfId="2168" priority="6">
      <formula>D55&gt;$AG55</formula>
    </cfRule>
  </conditionalFormatting>
  <conditionalFormatting sqref="D54:AG54">
    <cfRule type="expression" dxfId="2167" priority="79">
      <formula>AND(D$9&gt;=14/24,D$9&lt;20/24)</formula>
    </cfRule>
    <cfRule type="expression" dxfId="2166" priority="80">
      <formula>AND(D$9&gt;=8/24,D$9&lt;14/24)</formula>
    </cfRule>
    <cfRule type="expression" dxfId="2165" priority="81">
      <formula>D$9&lt;8/24</formula>
    </cfRule>
    <cfRule type="expression" dxfId="2164" priority="78">
      <formula>D$9&gt;=20/24</formula>
    </cfRule>
    <cfRule type="expression" dxfId="2163" priority="77">
      <formula>D54&gt;$AG54</formula>
    </cfRule>
  </conditionalFormatting>
  <conditionalFormatting sqref="O3:P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162" priority="115">
      <formula>C$9&gt;=20/24</formula>
    </cfRule>
  </conditionalFormatting>
  <conditionalFormatting sqref="S8">
    <cfRule type="expression" dxfId="2161" priority="105">
      <formula>U$9&lt;8/24</formula>
    </cfRule>
    <cfRule type="expression" dxfId="2160" priority="103">
      <formula>AND(U$9&gt;=14/24,U$9&lt;20/24)</formula>
    </cfRule>
    <cfRule type="expression" dxfId="2159" priority="102">
      <formula>U$9&gt;=20/24</formula>
    </cfRule>
    <cfRule type="expression" dxfId="2158" priority="104">
      <formula>AND(U$9&gt;=8/24,U$9&lt;14/24)</formula>
    </cfRule>
  </conditionalFormatting>
  <conditionalFormatting sqref="S55:AF60">
    <cfRule type="expression" dxfId="2157" priority="11">
      <formula>S$9&gt;=20/24</formula>
    </cfRule>
    <cfRule type="expression" dxfId="2156" priority="13">
      <formula>AND(S$9&gt;=8/24,S$9&lt;14/24)</formula>
    </cfRule>
    <cfRule type="expression" dxfId="2155" priority="14">
      <formula>S$9&lt;8/24</formula>
    </cfRule>
    <cfRule type="expression" dxfId="2154" priority="12">
      <formula>AND(S$9&gt;=14/24,S$9&lt;20/24)</formula>
    </cfRule>
  </conditionalFormatting>
  <conditionalFormatting sqref="T248">
    <cfRule type="expression" dxfId="2153" priority="130">
      <formula>AX$9&lt;8/24</formula>
    </cfRule>
    <cfRule type="expression" dxfId="2152" priority="127">
      <formula>AX$9&gt;=20/24</formula>
    </cfRule>
    <cfRule type="expression" dxfId="2151" priority="128">
      <formula>AND(AX$9&gt;=14/24,AX$9&lt;20/24)</formula>
    </cfRule>
    <cfRule type="expression" dxfId="2150" priority="129">
      <formula>AND(AX$9&gt;=8/24,AX$9&lt;14/24)</formula>
    </cfRule>
  </conditionalFormatting>
  <conditionalFormatting sqref="V3 AB3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149" priority="99">
      <formula>AND(AD$9&gt;=14/24,AD$9&lt;20/24)</formula>
    </cfRule>
    <cfRule type="expression" dxfId="2148" priority="100">
      <formula>AND(AD$9&gt;=8/24,AD$9&lt;14/24)</formula>
    </cfRule>
    <cfRule type="expression" dxfId="2147" priority="101">
      <formula>AD$9&lt;8/24</formula>
    </cfRule>
    <cfRule type="expression" dxfId="2146" priority="98">
      <formula>AD$9&gt;=20/24</formula>
    </cfRule>
  </conditionalFormatting>
  <conditionalFormatting sqref="AG50">
    <cfRule type="expression" dxfId="2145" priority="85">
      <formula>AG50&gt;$AG50</formula>
    </cfRule>
  </conditionalFormatting>
  <conditionalFormatting sqref="AG89">
    <cfRule type="expression" dxfId="2144" priority="86">
      <formula>AG$9&gt;=20/24</formula>
    </cfRule>
    <cfRule type="expression" dxfId="2143" priority="89">
      <formula>AG$9&lt;8/24</formula>
    </cfRule>
    <cfRule type="expression" dxfId="2142" priority="88">
      <formula>AND(AG$9&gt;=8/24,AG$9&lt;14/24)</formula>
    </cfRule>
    <cfRule type="expression" dxfId="2141" priority="87">
      <formula>AND(AG$9&gt;=14/24,AG$9&lt;20/24)</formula>
    </cfRule>
  </conditionalFormatting>
  <conditionalFormatting sqref="AG248">
    <cfRule type="expression" dxfId="2140" priority="119">
      <formula>B$9&gt;=20/24</formula>
    </cfRule>
    <cfRule type="expression" dxfId="2139" priority="120">
      <formula>AND(B$9&gt;=14/24,B$9&lt;20/24)</formula>
    </cfRule>
    <cfRule type="expression" dxfId="2138" priority="122">
      <formula>B$9&lt;8/24</formula>
    </cfRule>
    <cfRule type="expression" dxfId="2137" priority="121">
      <formula>AND(B$9&gt;=8/24,B$9&lt;14/24)</formula>
    </cfRule>
  </conditionalFormatting>
  <conditionalFormatting sqref="AH248:AX248">
    <cfRule type="expression" dxfId="2136" priority="124">
      <formula>AND(AG$9&gt;=14/24,AG$9&lt;20/24)</formula>
    </cfRule>
    <cfRule type="expression" dxfId="2135" priority="125">
      <formula>AND(AG$9&gt;=8/24,AG$9&lt;14/24)</formula>
    </cfRule>
    <cfRule type="expression" dxfId="2134" priority="126">
      <formula>AG$9&lt;8/24</formula>
    </cfRule>
    <cfRule type="expression" dxfId="2133" priority="123">
      <formula>AG$9&gt;=20/24</formula>
    </cfRule>
  </conditionalFormatting>
  <conditionalFormatting sqref="AL4:AL6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8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132" priority="132">
      <formula>AJ$9&gt;=20/24</formula>
    </cfRule>
    <cfRule type="expression" dxfId="2131" priority="133">
      <formula>AND(AJ$9&gt;=14/24,AJ$9&lt;20/24)</formula>
    </cfRule>
    <cfRule type="expression" dxfId="2130" priority="134">
      <formula>AND(AJ$9&gt;=8/24,AJ$9&lt;14/24)</formula>
    </cfRule>
    <cfRule type="expression" dxfId="2129" priority="135">
      <formula>AJ$9&lt;8/24</formula>
    </cfRule>
  </conditionalFormatting>
  <conditionalFormatting sqref="AL80:AN80 AL86:AN86">
    <cfRule type="expression" dxfId="2128" priority="75">
      <formula>AND(AL$9&gt;=8/24,AL$9&lt;14/24)</formula>
    </cfRule>
    <cfRule type="expression" dxfId="2127" priority="76">
      <formula>AL$9&lt;8/24</formula>
    </cfRule>
    <cfRule type="expression" dxfId="2126" priority="73">
      <formula>AL$9&gt;=20/24</formula>
    </cfRule>
    <cfRule type="expression" dxfId="2125" priority="74">
      <formula>AND(AL$9&gt;=14/24,AL$9&lt;20/24)</formula>
    </cfRule>
  </conditionalFormatting>
  <conditionalFormatting sqref="AN81:AN84">
    <cfRule type="expression" dxfId="2124" priority="70">
      <formula>AND(AN$9&gt;=14/24,AN$9&lt;20/24)</formula>
    </cfRule>
    <cfRule type="expression" dxfId="2123" priority="69">
      <formula>AN$9&gt;=20/24</formula>
    </cfRule>
    <cfRule type="expression" dxfId="2122" priority="71">
      <formula>AND(AN$9&gt;=8/24,AN$9&lt;14/24)</formula>
    </cfRule>
    <cfRule type="expression" dxfId="2121" priority="72">
      <formula>AN$9&lt;8/24</formula>
    </cfRule>
  </conditionalFormatting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A7EE-1221-4047-9F64-8C583A687AA9}">
  <dimension ref="A1:CJ281"/>
  <sheetViews>
    <sheetView zoomScale="110" zoomScaleNormal="110" workbookViewId="0">
      <pane xSplit="1" ySplit="10" topLeftCell="I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V24" sqref="V2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2080/04/9</v>
      </c>
      <c r="C4" s="203"/>
      <c r="D4" s="203"/>
      <c r="E4" s="204" t="str">
        <f ca="1">"2080/"&amp;"04/"&amp;INT(MID(CELL("filename",G6),FIND("]",CELL("filename",G6))+1,200))</f>
        <v>2080/04/9</v>
      </c>
      <c r="F4" s="204"/>
      <c r="G4" s="204"/>
      <c r="H4" s="204" t="str">
        <f ca="1">TEXT(E4,"dddd")</f>
        <v>Tuesday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33.6</v>
      </c>
      <c r="C5" s="30">
        <f t="shared" si="0"/>
        <v>31.4</v>
      </c>
      <c r="D5" s="30">
        <f t="shared" si="0"/>
        <v>26.7</v>
      </c>
      <c r="E5" s="30">
        <f t="shared" si="0"/>
        <v>43.7</v>
      </c>
      <c r="F5" s="30">
        <f t="shared" si="0"/>
        <v>42.7</v>
      </c>
      <c r="G5" s="30">
        <f t="shared" si="0"/>
        <v>34.700000000000003</v>
      </c>
      <c r="H5" s="30">
        <f t="shared" si="0"/>
        <v>32.6</v>
      </c>
      <c r="I5" s="30">
        <f t="shared" si="0"/>
        <v>18.5</v>
      </c>
      <c r="J5" s="30">
        <f t="shared" si="0"/>
        <v>2.8</v>
      </c>
      <c r="K5" s="30">
        <f t="shared" si="0"/>
        <v>6</v>
      </c>
      <c r="L5" s="30">
        <f t="shared" si="0"/>
        <v>13</v>
      </c>
      <c r="M5" s="30">
        <f t="shared" si="0"/>
        <v>7.1</v>
      </c>
      <c r="N5" s="30">
        <f t="shared" si="0"/>
        <v>16.100000000000001</v>
      </c>
      <c r="O5" s="30">
        <f t="shared" si="0"/>
        <v>0</v>
      </c>
      <c r="P5" s="30">
        <f t="shared" si="0"/>
        <v>0</v>
      </c>
      <c r="Q5" s="30">
        <f t="shared" si="0"/>
        <v>35.700000000000003</v>
      </c>
      <c r="R5" s="30">
        <f t="shared" si="0"/>
        <v>63.5</v>
      </c>
      <c r="S5" s="30">
        <f t="shared" si="0"/>
        <v>14.2</v>
      </c>
      <c r="T5" s="30">
        <f t="shared" si="0"/>
        <v>26.2</v>
      </c>
      <c r="U5" s="30">
        <f t="shared" si="0"/>
        <v>45.2</v>
      </c>
      <c r="V5" s="30">
        <f t="shared" si="0"/>
        <v>32.5</v>
      </c>
      <c r="W5" s="30">
        <f t="shared" si="0"/>
        <v>32.9</v>
      </c>
      <c r="X5" s="30">
        <f t="shared" si="0"/>
        <v>30.5</v>
      </c>
      <c r="Y5" s="30">
        <f t="shared" si="0"/>
        <v>11.8</v>
      </c>
      <c r="Z5" s="30">
        <f t="shared" si="0"/>
        <v>37.9</v>
      </c>
      <c r="AA5" s="30">
        <f t="shared" si="0"/>
        <v>41.2</v>
      </c>
      <c r="AB5" s="30">
        <f t="shared" si="0"/>
        <v>45</v>
      </c>
      <c r="AC5" s="30">
        <f t="shared" si="0"/>
        <v>45.3</v>
      </c>
      <c r="AD5" s="30">
        <f t="shared" si="0"/>
        <v>43.8</v>
      </c>
      <c r="AE5" s="30">
        <f t="shared" si="0"/>
        <v>41.1</v>
      </c>
      <c r="AF5" s="30">
        <f>B84</f>
        <v>33.700000000000003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1922MW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Load=1613</v>
      </c>
      <c r="B7" s="35">
        <f t="shared" ref="B7:AF7" si="1">B91</f>
        <v>1983.5400000000002</v>
      </c>
      <c r="C7" s="35">
        <f t="shared" si="1"/>
        <v>1958.74</v>
      </c>
      <c r="D7" s="35">
        <f t="shared" si="1"/>
        <v>1937.9400000000003</v>
      </c>
      <c r="E7" s="35">
        <f t="shared" si="1"/>
        <v>1854.4400000000003</v>
      </c>
      <c r="F7" s="35">
        <f t="shared" si="1"/>
        <v>1613.24</v>
      </c>
      <c r="G7" s="35">
        <f t="shared" si="1"/>
        <v>1807.5400000000002</v>
      </c>
      <c r="H7" s="35">
        <f t="shared" si="1"/>
        <v>1843.5400000000002</v>
      </c>
      <c r="I7" s="35">
        <f t="shared" si="1"/>
        <v>1841.44</v>
      </c>
      <c r="J7" s="35">
        <f t="shared" si="1"/>
        <v>1827.3400000000001</v>
      </c>
      <c r="K7" s="35">
        <f t="shared" si="1"/>
        <v>1870.3400000000001</v>
      </c>
      <c r="L7" s="35">
        <f t="shared" si="1"/>
        <v>1891.94</v>
      </c>
      <c r="M7" s="35">
        <f t="shared" si="1"/>
        <v>1922.04</v>
      </c>
      <c r="N7" s="35">
        <f>N91</f>
        <v>1874.04</v>
      </c>
      <c r="O7" s="35">
        <f t="shared" si="1"/>
        <v>1901.7399999999998</v>
      </c>
      <c r="P7" s="35">
        <f t="shared" si="1"/>
        <v>1864.7400000000002</v>
      </c>
      <c r="Q7" s="35">
        <f t="shared" si="1"/>
        <v>1864.7400000000002</v>
      </c>
      <c r="R7" s="35">
        <f t="shared" si="1"/>
        <v>1763.8400000000001</v>
      </c>
      <c r="S7" s="35">
        <f t="shared" si="1"/>
        <v>1811.64</v>
      </c>
      <c r="T7" s="35">
        <f t="shared" si="1"/>
        <v>1868.14</v>
      </c>
      <c r="U7" s="35">
        <f t="shared" si="1"/>
        <v>1883.04</v>
      </c>
      <c r="V7" s="35">
        <f t="shared" si="1"/>
        <v>2027.9400000000003</v>
      </c>
      <c r="W7" s="35">
        <f t="shared" si="1"/>
        <v>1950.64</v>
      </c>
      <c r="X7" s="35">
        <f t="shared" si="1"/>
        <v>1926.0400000000002</v>
      </c>
      <c r="Y7" s="35">
        <f t="shared" si="1"/>
        <v>1902.94</v>
      </c>
      <c r="Z7" s="35">
        <f t="shared" si="1"/>
        <v>1958.14</v>
      </c>
      <c r="AA7" s="35">
        <f t="shared" si="1"/>
        <v>2007.1400000000003</v>
      </c>
      <c r="AB7" s="35">
        <f t="shared" si="1"/>
        <v>2012.4400000000003</v>
      </c>
      <c r="AC7" s="35">
        <f t="shared" si="1"/>
        <v>2016.2400000000002</v>
      </c>
      <c r="AD7" s="35">
        <f t="shared" si="1"/>
        <v>1975.14</v>
      </c>
      <c r="AE7" s="35">
        <f t="shared" si="1"/>
        <v>1982.6399999999999</v>
      </c>
      <c r="AF7" s="35">
        <f t="shared" si="1"/>
        <v>1908.34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90.2</v>
      </c>
      <c r="C11" s="45">
        <v>90.2</v>
      </c>
      <c r="D11" s="45">
        <v>90.1</v>
      </c>
      <c r="E11" s="45">
        <v>90.1</v>
      </c>
      <c r="F11" s="45">
        <v>90.1</v>
      </c>
      <c r="G11" s="45">
        <v>90.1</v>
      </c>
      <c r="H11" s="45">
        <v>90.1</v>
      </c>
      <c r="I11" s="45">
        <v>90.1</v>
      </c>
      <c r="J11" s="45">
        <v>90.1</v>
      </c>
      <c r="K11" s="45">
        <v>90.1</v>
      </c>
      <c r="L11" s="45">
        <v>90.1</v>
      </c>
      <c r="M11" s="45">
        <v>90.1</v>
      </c>
      <c r="N11" s="45">
        <v>90.1</v>
      </c>
      <c r="O11" s="45">
        <v>90.1</v>
      </c>
      <c r="P11" s="45">
        <v>90.1</v>
      </c>
      <c r="Q11" s="45">
        <v>90.1</v>
      </c>
      <c r="R11" s="45">
        <v>90.1</v>
      </c>
      <c r="S11" s="45">
        <v>90.1</v>
      </c>
      <c r="T11" s="45">
        <v>90.1</v>
      </c>
      <c r="U11" s="45">
        <v>90.1</v>
      </c>
      <c r="V11" s="45">
        <v>90.1</v>
      </c>
      <c r="W11" s="45">
        <v>90.1</v>
      </c>
      <c r="X11" s="45">
        <v>87.4</v>
      </c>
      <c r="Y11" s="45">
        <v>87.4</v>
      </c>
      <c r="Z11" s="45">
        <v>87.4</v>
      </c>
      <c r="AA11" s="45">
        <v>85.2</v>
      </c>
      <c r="AB11" s="45">
        <v>85.2</v>
      </c>
      <c r="AC11" s="45">
        <v>85.2</v>
      </c>
      <c r="AD11" s="45">
        <v>85.2</v>
      </c>
      <c r="AE11" s="45">
        <v>85.2</v>
      </c>
      <c r="AF11" s="45">
        <v>85.2</v>
      </c>
      <c r="AG11" s="46">
        <v>86</v>
      </c>
      <c r="AH11" s="47">
        <f t="shared" ref="AH11:AH76" si="2">MAX(B11:AF11)</f>
        <v>90.2</v>
      </c>
      <c r="AI11" s="48">
        <f t="shared" ref="AI11:AI76" si="3">MIN(B11:AF11)</f>
        <v>85.2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27</v>
      </c>
      <c r="C12" s="45">
        <v>16</v>
      </c>
      <c r="D12" s="45">
        <v>16</v>
      </c>
      <c r="E12" s="45">
        <v>16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9</v>
      </c>
      <c r="L12" s="45">
        <v>9</v>
      </c>
      <c r="M12" s="45">
        <v>9</v>
      </c>
      <c r="N12" s="45">
        <v>8</v>
      </c>
      <c r="O12" s="45">
        <v>8</v>
      </c>
      <c r="P12" s="45">
        <v>8</v>
      </c>
      <c r="Q12" s="45">
        <v>8</v>
      </c>
      <c r="R12" s="45">
        <v>8</v>
      </c>
      <c r="S12" s="45">
        <v>8</v>
      </c>
      <c r="T12" s="45">
        <v>27</v>
      </c>
      <c r="U12" s="45">
        <v>27</v>
      </c>
      <c r="V12" s="45">
        <v>27</v>
      </c>
      <c r="W12" s="45">
        <v>27</v>
      </c>
      <c r="X12" s="45">
        <v>12</v>
      </c>
      <c r="Y12" s="45">
        <v>12</v>
      </c>
      <c r="Z12" s="45">
        <v>12</v>
      </c>
      <c r="AA12" s="45">
        <v>27</v>
      </c>
      <c r="AB12" s="45">
        <v>27</v>
      </c>
      <c r="AC12" s="45">
        <v>27</v>
      </c>
      <c r="AD12" s="45">
        <v>8</v>
      </c>
      <c r="AE12" s="45">
        <v>8</v>
      </c>
      <c r="AF12" s="45">
        <v>0</v>
      </c>
      <c r="AG12" s="49">
        <v>54</v>
      </c>
      <c r="AH12" s="47">
        <f t="shared" si="2"/>
        <v>27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55.1</v>
      </c>
      <c r="D13" s="45">
        <v>55.1</v>
      </c>
      <c r="E13" s="45">
        <v>55.1</v>
      </c>
      <c r="F13" s="45">
        <v>55.1</v>
      </c>
      <c r="G13" s="45">
        <v>55.1</v>
      </c>
      <c r="H13" s="45">
        <v>55.1</v>
      </c>
      <c r="I13" s="45">
        <v>55.1</v>
      </c>
      <c r="J13" s="45">
        <v>55.1</v>
      </c>
      <c r="K13" s="45">
        <v>55.1</v>
      </c>
      <c r="L13" s="45">
        <v>55.1</v>
      </c>
      <c r="M13" s="45">
        <v>55.1</v>
      </c>
      <c r="N13" s="45">
        <v>55.1</v>
      </c>
      <c r="O13" s="45">
        <v>55.1</v>
      </c>
      <c r="P13" s="45">
        <v>55.1</v>
      </c>
      <c r="Q13" s="45">
        <v>55.1</v>
      </c>
      <c r="R13" s="45">
        <v>55.1</v>
      </c>
      <c r="S13" s="45">
        <v>55.1</v>
      </c>
      <c r="T13" s="45">
        <v>55.3</v>
      </c>
      <c r="U13" s="45">
        <v>55.3</v>
      </c>
      <c r="V13" s="45">
        <v>55</v>
      </c>
      <c r="W13" s="45">
        <v>55</v>
      </c>
      <c r="X13" s="45">
        <v>55.1</v>
      </c>
      <c r="Y13" s="45">
        <v>55.1</v>
      </c>
      <c r="Z13" s="45">
        <v>55.1</v>
      </c>
      <c r="AA13" s="45">
        <v>55.1</v>
      </c>
      <c r="AB13" s="45">
        <v>55.1</v>
      </c>
      <c r="AC13" s="45">
        <v>55.1</v>
      </c>
      <c r="AD13" s="45">
        <v>55.1</v>
      </c>
      <c r="AE13" s="45">
        <v>55.1</v>
      </c>
      <c r="AF13" s="45">
        <v>55.1</v>
      </c>
      <c r="AG13" s="46">
        <v>52.4</v>
      </c>
      <c r="AH13" s="47">
        <f t="shared" si="2"/>
        <v>55.3</v>
      </c>
      <c r="AI13" s="48">
        <f t="shared" si="3"/>
        <v>55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50.3</v>
      </c>
      <c r="C14" s="45">
        <v>50.4</v>
      </c>
      <c r="D14" s="45">
        <v>50.4</v>
      </c>
      <c r="E14" s="45">
        <v>50.4</v>
      </c>
      <c r="F14" s="45">
        <v>50.4</v>
      </c>
      <c r="G14" s="45">
        <v>50.4</v>
      </c>
      <c r="H14" s="45">
        <v>50.4</v>
      </c>
      <c r="I14" s="45">
        <v>50.4</v>
      </c>
      <c r="J14" s="45">
        <v>50.4</v>
      </c>
      <c r="K14" s="45">
        <v>50.4</v>
      </c>
      <c r="L14" s="45">
        <v>50.4</v>
      </c>
      <c r="M14" s="45">
        <v>50.4</v>
      </c>
      <c r="N14" s="45">
        <v>50.4</v>
      </c>
      <c r="O14" s="45">
        <v>50.4</v>
      </c>
      <c r="P14" s="45">
        <v>50.4</v>
      </c>
      <c r="Q14" s="45">
        <v>50.4</v>
      </c>
      <c r="R14" s="45">
        <v>50.4</v>
      </c>
      <c r="S14" s="58">
        <v>50.6</v>
      </c>
      <c r="T14" s="58">
        <v>50.6</v>
      </c>
      <c r="U14" s="58">
        <v>50.5</v>
      </c>
      <c r="V14" s="58">
        <v>50.6</v>
      </c>
      <c r="W14" s="58">
        <v>50.6</v>
      </c>
      <c r="X14" s="58">
        <v>50.7</v>
      </c>
      <c r="Y14" s="58">
        <v>50.7</v>
      </c>
      <c r="Z14" s="58">
        <v>50.7</v>
      </c>
      <c r="AA14" s="58">
        <v>50.7</v>
      </c>
      <c r="AB14" s="58">
        <v>50.7</v>
      </c>
      <c r="AC14" s="58">
        <v>50.7</v>
      </c>
      <c r="AD14" s="58">
        <v>50.7</v>
      </c>
      <c r="AE14" s="58">
        <v>50.7</v>
      </c>
      <c r="AF14" s="58">
        <v>50.7</v>
      </c>
      <c r="AG14" s="49">
        <v>50</v>
      </c>
      <c r="AH14" s="47">
        <f t="shared" si="2"/>
        <v>50.7</v>
      </c>
      <c r="AI14" s="48">
        <f t="shared" si="3"/>
        <v>50.3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</v>
      </c>
      <c r="C15" s="45">
        <v>46</v>
      </c>
      <c r="D15" s="45">
        <v>46.1</v>
      </c>
      <c r="E15" s="45">
        <v>46.1</v>
      </c>
      <c r="F15" s="45">
        <v>46.1</v>
      </c>
      <c r="G15" s="45">
        <v>46.1</v>
      </c>
      <c r="H15" s="45">
        <v>46.1</v>
      </c>
      <c r="I15" s="45">
        <v>46.1</v>
      </c>
      <c r="J15" s="45">
        <v>46.1</v>
      </c>
      <c r="K15" s="45">
        <v>46.1</v>
      </c>
      <c r="L15" s="45">
        <v>46.1</v>
      </c>
      <c r="M15" s="45">
        <v>46.1</v>
      </c>
      <c r="N15" s="45">
        <v>46.1</v>
      </c>
      <c r="O15" s="45">
        <v>46.1</v>
      </c>
      <c r="P15" s="45">
        <v>46.1</v>
      </c>
      <c r="Q15" s="45">
        <v>46.1</v>
      </c>
      <c r="R15" s="45">
        <v>46.1</v>
      </c>
      <c r="S15" s="45">
        <v>46.3</v>
      </c>
      <c r="T15" s="45">
        <v>46</v>
      </c>
      <c r="U15" s="45">
        <v>46.2</v>
      </c>
      <c r="V15" s="45">
        <v>46.1</v>
      </c>
      <c r="W15" s="45">
        <v>46.1</v>
      </c>
      <c r="X15" s="45">
        <v>46.2</v>
      </c>
      <c r="Y15" s="45">
        <v>46.2</v>
      </c>
      <c r="Z15" s="45">
        <v>46.2</v>
      </c>
      <c r="AA15" s="45">
        <v>46.2</v>
      </c>
      <c r="AB15" s="45">
        <v>46.2</v>
      </c>
      <c r="AC15" s="45">
        <v>46.2</v>
      </c>
      <c r="AD15" s="45">
        <v>46.2</v>
      </c>
      <c r="AE15" s="45">
        <v>46.2</v>
      </c>
      <c r="AF15" s="45">
        <v>46.2</v>
      </c>
      <c r="AG15" s="49">
        <v>45</v>
      </c>
      <c r="AH15" s="47">
        <f t="shared" si="2"/>
        <v>46.3</v>
      </c>
      <c r="AI15" s="48">
        <f t="shared" si="3"/>
        <v>46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0</v>
      </c>
      <c r="S16" s="45">
        <v>0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28</v>
      </c>
      <c r="G17" s="45">
        <v>28</v>
      </c>
      <c r="H17" s="45">
        <v>28</v>
      </c>
      <c r="I17" s="45">
        <v>28</v>
      </c>
      <c r="J17" s="45">
        <v>28</v>
      </c>
      <c r="K17" s="45">
        <v>28</v>
      </c>
      <c r="L17" s="45">
        <v>28</v>
      </c>
      <c r="M17" s="45">
        <v>28</v>
      </c>
      <c r="N17" s="45">
        <v>28</v>
      </c>
      <c r="O17" s="45">
        <v>28</v>
      </c>
      <c r="P17" s="45">
        <v>28</v>
      </c>
      <c r="Q17" s="45">
        <v>28</v>
      </c>
      <c r="R17" s="45">
        <v>28</v>
      </c>
      <c r="S17" s="45">
        <v>10</v>
      </c>
      <c r="T17" s="45">
        <v>30</v>
      </c>
      <c r="U17" s="45">
        <v>30</v>
      </c>
      <c r="V17" s="45">
        <v>30</v>
      </c>
      <c r="W17" s="45">
        <v>30</v>
      </c>
      <c r="X17" s="45">
        <v>31</v>
      </c>
      <c r="Y17" s="45">
        <v>31</v>
      </c>
      <c r="Z17" s="45">
        <v>31</v>
      </c>
      <c r="AA17" s="45">
        <v>31</v>
      </c>
      <c r="AB17" s="45">
        <v>31</v>
      </c>
      <c r="AC17" s="45">
        <v>31</v>
      </c>
      <c r="AD17" s="45">
        <v>28</v>
      </c>
      <c r="AE17" s="45">
        <v>28</v>
      </c>
      <c r="AF17" s="45">
        <v>28</v>
      </c>
      <c r="AG17" s="49">
        <v>42</v>
      </c>
      <c r="AH17" s="47">
        <f t="shared" si="2"/>
        <v>31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38.799999999999997</v>
      </c>
      <c r="C18" s="45">
        <v>38.799999999999997</v>
      </c>
      <c r="D18" s="45">
        <v>38.799999999999997</v>
      </c>
      <c r="E18" s="45">
        <v>38.799999999999997</v>
      </c>
      <c r="F18" s="45">
        <v>38.799999999999997</v>
      </c>
      <c r="G18" s="45">
        <v>0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38.799999999999997</v>
      </c>
      <c r="AI18" s="48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36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9</v>
      </c>
      <c r="D20" s="45">
        <v>9</v>
      </c>
      <c r="E20" s="45">
        <v>9</v>
      </c>
      <c r="F20" s="45">
        <v>5</v>
      </c>
      <c r="G20" s="45">
        <v>15</v>
      </c>
      <c r="H20" s="45">
        <v>5</v>
      </c>
      <c r="I20" s="45">
        <v>5</v>
      </c>
      <c r="J20" s="45">
        <v>5</v>
      </c>
      <c r="K20" s="45">
        <v>5</v>
      </c>
      <c r="L20" s="45">
        <v>5</v>
      </c>
      <c r="M20" s="45">
        <v>5</v>
      </c>
      <c r="N20" s="45">
        <v>5</v>
      </c>
      <c r="O20" s="45">
        <v>5</v>
      </c>
      <c r="P20" s="45">
        <v>5</v>
      </c>
      <c r="Q20" s="45">
        <v>5</v>
      </c>
      <c r="R20" s="45">
        <v>5</v>
      </c>
      <c r="S20" s="45">
        <v>14.8</v>
      </c>
      <c r="T20" s="45">
        <v>29.6</v>
      </c>
      <c r="U20" s="45">
        <v>29.6</v>
      </c>
      <c r="V20" s="45">
        <v>29.6</v>
      </c>
      <c r="W20" s="45">
        <v>10</v>
      </c>
      <c r="X20" s="45">
        <v>10.6</v>
      </c>
      <c r="Y20" s="45">
        <v>10.6</v>
      </c>
      <c r="Z20" s="45">
        <v>10.6</v>
      </c>
      <c r="AA20" s="45">
        <v>10.6</v>
      </c>
      <c r="AB20" s="45">
        <v>10.6</v>
      </c>
      <c r="AC20" s="45">
        <v>10.6</v>
      </c>
      <c r="AD20" s="45">
        <v>5</v>
      </c>
      <c r="AE20" s="45">
        <v>5</v>
      </c>
      <c r="AF20" s="45">
        <v>0</v>
      </c>
      <c r="AG20" s="51">
        <v>30</v>
      </c>
      <c r="AH20" s="47">
        <f t="shared" si="2"/>
        <v>29.6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20.9</v>
      </c>
      <c r="C21" s="45">
        <v>20.9</v>
      </c>
      <c r="D21" s="45">
        <v>20.9</v>
      </c>
      <c r="E21" s="45">
        <v>20.9</v>
      </c>
      <c r="F21" s="45">
        <v>20.9</v>
      </c>
      <c r="G21" s="45">
        <v>20.9</v>
      </c>
      <c r="H21" s="45">
        <v>20.9</v>
      </c>
      <c r="I21" s="45">
        <v>20.9</v>
      </c>
      <c r="J21" s="45">
        <v>20.9</v>
      </c>
      <c r="K21" s="45">
        <v>20.9</v>
      </c>
      <c r="L21" s="45">
        <v>20.9</v>
      </c>
      <c r="M21" s="45">
        <v>20.9</v>
      </c>
      <c r="N21" s="45">
        <v>20.9</v>
      </c>
      <c r="O21" s="45">
        <v>20.9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20.8</v>
      </c>
      <c r="W21" s="45">
        <v>20.8</v>
      </c>
      <c r="X21" s="45">
        <v>20.8</v>
      </c>
      <c r="Y21" s="45">
        <v>20.8</v>
      </c>
      <c r="Z21" s="45">
        <v>20.8</v>
      </c>
      <c r="AA21" s="45">
        <v>20.8</v>
      </c>
      <c r="AB21" s="45">
        <v>20.8</v>
      </c>
      <c r="AC21" s="45">
        <v>20.8</v>
      </c>
      <c r="AD21" s="45">
        <v>20.8</v>
      </c>
      <c r="AE21" s="45">
        <v>20.8</v>
      </c>
      <c r="AF21" s="45">
        <v>20.8</v>
      </c>
      <c r="AG21" s="49">
        <v>24.2</v>
      </c>
      <c r="AH21" s="47">
        <f t="shared" si="2"/>
        <v>20.9</v>
      </c>
      <c r="AI21" s="48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20.7</v>
      </c>
      <c r="C22" s="45">
        <v>20.7</v>
      </c>
      <c r="D22" s="45">
        <v>20.7</v>
      </c>
      <c r="E22" s="45">
        <v>20.7</v>
      </c>
      <c r="F22" s="45">
        <v>20.7</v>
      </c>
      <c r="G22" s="45">
        <v>20.7</v>
      </c>
      <c r="H22" s="45">
        <v>20.7</v>
      </c>
      <c r="I22" s="45">
        <v>20.7</v>
      </c>
      <c r="J22" s="45">
        <v>20.7</v>
      </c>
      <c r="K22" s="45">
        <v>20.7</v>
      </c>
      <c r="L22" s="45">
        <v>20.7</v>
      </c>
      <c r="M22" s="45">
        <v>20.7</v>
      </c>
      <c r="N22" s="45">
        <v>20.7</v>
      </c>
      <c r="O22" s="45">
        <v>20.7</v>
      </c>
      <c r="P22" s="45">
        <v>20.7</v>
      </c>
      <c r="Q22" s="45">
        <v>20.7</v>
      </c>
      <c r="R22" s="45">
        <v>20.7</v>
      </c>
      <c r="S22" s="45">
        <v>0</v>
      </c>
      <c r="T22" s="45">
        <v>0</v>
      </c>
      <c r="U22" s="45">
        <v>0</v>
      </c>
      <c r="V22" s="45">
        <v>20.6</v>
      </c>
      <c r="W22" s="45">
        <v>20.6</v>
      </c>
      <c r="X22" s="45">
        <v>20.6</v>
      </c>
      <c r="Y22" s="45">
        <v>20.6</v>
      </c>
      <c r="Z22" s="45">
        <v>20.6</v>
      </c>
      <c r="AA22" s="45">
        <v>20.6</v>
      </c>
      <c r="AB22" s="45">
        <v>20.6</v>
      </c>
      <c r="AC22" s="45">
        <v>20.6</v>
      </c>
      <c r="AD22" s="45">
        <v>20.6</v>
      </c>
      <c r="AE22" s="45">
        <v>20.6</v>
      </c>
      <c r="AF22" s="45">
        <v>20.6</v>
      </c>
      <c r="AG22" s="49">
        <v>28</v>
      </c>
      <c r="AH22" s="47">
        <f t="shared" si="2"/>
        <v>20.7</v>
      </c>
      <c r="AI22" s="48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9</v>
      </c>
      <c r="C23" s="45">
        <v>9</v>
      </c>
      <c r="D23" s="45">
        <v>9</v>
      </c>
      <c r="E23" s="45">
        <v>9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5</v>
      </c>
      <c r="L23" s="45">
        <v>5</v>
      </c>
      <c r="M23" s="45">
        <v>5</v>
      </c>
      <c r="N23" s="45">
        <v>3</v>
      </c>
      <c r="O23" s="45">
        <v>3</v>
      </c>
      <c r="P23" s="45">
        <v>3</v>
      </c>
      <c r="Q23" s="45">
        <v>3</v>
      </c>
      <c r="R23" s="45">
        <v>3</v>
      </c>
      <c r="S23" s="45">
        <v>3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5</v>
      </c>
      <c r="AE23" s="45">
        <v>5</v>
      </c>
      <c r="AF23" s="45">
        <v>0</v>
      </c>
      <c r="AG23" s="51">
        <v>30</v>
      </c>
      <c r="AH23" s="47">
        <f t="shared" si="2"/>
        <v>9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26.1</v>
      </c>
      <c r="C24" s="45">
        <v>26.1</v>
      </c>
      <c r="D24" s="45">
        <v>26.1</v>
      </c>
      <c r="E24" s="45">
        <v>26.1</v>
      </c>
      <c r="F24" s="45">
        <v>26.1</v>
      </c>
      <c r="G24" s="45">
        <v>26.1</v>
      </c>
      <c r="H24" s="45">
        <v>26.1</v>
      </c>
      <c r="I24" s="45">
        <v>26.1</v>
      </c>
      <c r="J24" s="45">
        <v>26.1</v>
      </c>
      <c r="K24" s="45">
        <v>26.1</v>
      </c>
      <c r="L24" s="45">
        <v>26.1</v>
      </c>
      <c r="M24" s="45">
        <v>26.1</v>
      </c>
      <c r="N24" s="45">
        <v>26.1</v>
      </c>
      <c r="O24" s="45">
        <v>26.1</v>
      </c>
      <c r="P24" s="45">
        <v>26.1</v>
      </c>
      <c r="Q24" s="45">
        <v>26.1</v>
      </c>
      <c r="R24" s="45">
        <v>26.1</v>
      </c>
      <c r="S24" s="45">
        <v>17.5</v>
      </c>
      <c r="T24" s="45">
        <v>26</v>
      </c>
      <c r="U24" s="45">
        <v>26</v>
      </c>
      <c r="V24" s="45">
        <v>26</v>
      </c>
      <c r="W24" s="45">
        <v>26</v>
      </c>
      <c r="X24" s="45">
        <v>26.1</v>
      </c>
      <c r="Y24" s="45">
        <v>26.1</v>
      </c>
      <c r="Z24" s="45">
        <v>26.1</v>
      </c>
      <c r="AA24" s="45">
        <v>26.1</v>
      </c>
      <c r="AB24" s="45">
        <v>26.1</v>
      </c>
      <c r="AC24" s="45">
        <v>26.1</v>
      </c>
      <c r="AD24" s="45">
        <v>26.1</v>
      </c>
      <c r="AE24" s="45">
        <v>26.1</v>
      </c>
      <c r="AF24" s="45">
        <v>26.1</v>
      </c>
      <c r="AG24" s="49">
        <v>25</v>
      </c>
      <c r="AH24" s="47">
        <f t="shared" si="2"/>
        <v>26.1</v>
      </c>
      <c r="AI24" s="48">
        <f t="shared" si="3"/>
        <v>17.5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12.5</v>
      </c>
      <c r="C27" s="45">
        <v>7.5</v>
      </c>
      <c r="D27" s="45">
        <v>7.5</v>
      </c>
      <c r="E27" s="45">
        <v>7.5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5</v>
      </c>
      <c r="L27" s="45">
        <v>5</v>
      </c>
      <c r="M27" s="45">
        <v>5</v>
      </c>
      <c r="N27" s="45">
        <v>3</v>
      </c>
      <c r="O27" s="45">
        <v>3</v>
      </c>
      <c r="P27" s="45">
        <v>3</v>
      </c>
      <c r="Q27" s="45">
        <v>3</v>
      </c>
      <c r="R27" s="45">
        <v>3</v>
      </c>
      <c r="S27" s="45">
        <v>5</v>
      </c>
      <c r="T27" s="45">
        <v>25</v>
      </c>
      <c r="U27" s="45">
        <v>25</v>
      </c>
      <c r="V27" s="45">
        <v>25</v>
      </c>
      <c r="W27" s="45">
        <v>25</v>
      </c>
      <c r="X27" s="45">
        <v>25</v>
      </c>
      <c r="Y27" s="45">
        <v>5</v>
      </c>
      <c r="Z27" s="45">
        <v>15</v>
      </c>
      <c r="AA27" s="45">
        <v>15</v>
      </c>
      <c r="AB27" s="45">
        <v>15</v>
      </c>
      <c r="AC27" s="45">
        <v>15</v>
      </c>
      <c r="AD27" s="45">
        <v>5</v>
      </c>
      <c r="AE27" s="45">
        <v>5</v>
      </c>
      <c r="AF27" s="45">
        <v>0</v>
      </c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25.3</v>
      </c>
      <c r="C28" s="45">
        <v>25.3</v>
      </c>
      <c r="D28" s="45">
        <v>25.3</v>
      </c>
      <c r="E28" s="45">
        <v>25.3</v>
      </c>
      <c r="F28" s="45">
        <v>25.3</v>
      </c>
      <c r="G28" s="45">
        <v>25.3</v>
      </c>
      <c r="H28" s="45">
        <v>25.3</v>
      </c>
      <c r="I28" s="45">
        <v>25.3</v>
      </c>
      <c r="J28" s="45">
        <v>25.3</v>
      </c>
      <c r="K28" s="45">
        <v>25.3</v>
      </c>
      <c r="L28" s="45">
        <v>25.3</v>
      </c>
      <c r="M28" s="45">
        <v>25.3</v>
      </c>
      <c r="N28" s="45">
        <v>25.3</v>
      </c>
      <c r="O28" s="45">
        <v>25.3</v>
      </c>
      <c r="P28" s="45">
        <v>25.3</v>
      </c>
      <c r="Q28" s="45">
        <v>25.3</v>
      </c>
      <c r="R28" s="45">
        <v>25.3</v>
      </c>
      <c r="S28" s="45">
        <v>24.9</v>
      </c>
      <c r="T28" s="45">
        <v>24.9</v>
      </c>
      <c r="U28" s="45">
        <v>24.9</v>
      </c>
      <c r="V28" s="45">
        <v>24.9</v>
      </c>
      <c r="W28" s="45">
        <v>24.9</v>
      </c>
      <c r="X28" s="45">
        <v>24.9</v>
      </c>
      <c r="Y28" s="45">
        <v>24.9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24.9</v>
      </c>
      <c r="AF28" s="45">
        <v>24.9</v>
      </c>
      <c r="AG28" s="49">
        <v>23.5</v>
      </c>
      <c r="AH28" s="47">
        <f t="shared" si="2"/>
        <v>25.3</v>
      </c>
      <c r="AI28" s="48">
        <f t="shared" si="3"/>
        <v>24.9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20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20</v>
      </c>
      <c r="C33" s="45">
        <v>20</v>
      </c>
      <c r="D33" s="45">
        <v>10</v>
      </c>
      <c r="E33" s="45">
        <v>10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6</v>
      </c>
      <c r="AF33" s="45">
        <v>6</v>
      </c>
      <c r="AG33" s="49">
        <v>20</v>
      </c>
      <c r="AH33" s="47">
        <f t="shared" si="2"/>
        <v>20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18</v>
      </c>
      <c r="C34" s="45">
        <v>8</v>
      </c>
      <c r="D34" s="45">
        <v>8</v>
      </c>
      <c r="E34" s="45">
        <v>8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4</v>
      </c>
      <c r="L34" s="45">
        <v>4</v>
      </c>
      <c r="M34" s="45">
        <v>4</v>
      </c>
      <c r="N34" s="45">
        <v>4</v>
      </c>
      <c r="O34" s="45">
        <v>4</v>
      </c>
      <c r="P34" s="45">
        <v>4</v>
      </c>
      <c r="Q34" s="45">
        <v>4</v>
      </c>
      <c r="R34" s="45">
        <v>4</v>
      </c>
      <c r="S34" s="45">
        <v>0</v>
      </c>
      <c r="T34" s="45">
        <v>4</v>
      </c>
      <c r="U34" s="45">
        <v>4</v>
      </c>
      <c r="V34" s="45">
        <v>4</v>
      </c>
      <c r="W34" s="45">
        <v>4</v>
      </c>
      <c r="X34" s="45">
        <v>4</v>
      </c>
      <c r="Y34" s="45">
        <v>4</v>
      </c>
      <c r="Z34" s="45">
        <v>4</v>
      </c>
      <c r="AA34" s="45">
        <v>4</v>
      </c>
      <c r="AB34" s="45">
        <v>4</v>
      </c>
      <c r="AC34" s="45">
        <v>4</v>
      </c>
      <c r="AD34" s="45">
        <v>4</v>
      </c>
      <c r="AE34" s="45">
        <v>4</v>
      </c>
      <c r="AF34" s="45">
        <v>0</v>
      </c>
      <c r="AG34" s="49">
        <v>18</v>
      </c>
      <c r="AH34" s="47">
        <f t="shared" si="2"/>
        <v>18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14</v>
      </c>
      <c r="C35" s="45">
        <v>14</v>
      </c>
      <c r="D35" s="45">
        <v>14</v>
      </c>
      <c r="E35" s="45">
        <v>14</v>
      </c>
      <c r="F35" s="45">
        <v>14</v>
      </c>
      <c r="G35" s="45">
        <v>0</v>
      </c>
      <c r="H35" s="45">
        <v>14</v>
      </c>
      <c r="I35" s="45">
        <v>14</v>
      </c>
      <c r="J35" s="45">
        <v>14</v>
      </c>
      <c r="K35" s="45">
        <v>14</v>
      </c>
      <c r="L35" s="45">
        <v>14</v>
      </c>
      <c r="M35" s="45">
        <v>14</v>
      </c>
      <c r="N35" s="45">
        <v>14</v>
      </c>
      <c r="O35" s="45">
        <v>14</v>
      </c>
      <c r="P35" s="45">
        <v>14</v>
      </c>
      <c r="Q35" s="45">
        <v>14</v>
      </c>
      <c r="R35" s="45">
        <v>14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>
        <v>14</v>
      </c>
      <c r="Z35" s="45">
        <v>14</v>
      </c>
      <c r="AA35" s="45">
        <v>14</v>
      </c>
      <c r="AB35" s="45">
        <v>14</v>
      </c>
      <c r="AC35" s="45">
        <v>14</v>
      </c>
      <c r="AD35" s="45">
        <v>14</v>
      </c>
      <c r="AE35" s="45">
        <v>14</v>
      </c>
      <c r="AF35" s="45">
        <v>14</v>
      </c>
      <c r="AG35" s="49">
        <v>14.9</v>
      </c>
      <c r="AH35" s="47">
        <f t="shared" si="2"/>
        <v>14</v>
      </c>
      <c r="AI35" s="48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6</v>
      </c>
      <c r="C39" s="45">
        <v>3.6</v>
      </c>
      <c r="D39" s="45">
        <v>3.6</v>
      </c>
      <c r="E39" s="45">
        <v>3.6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2</v>
      </c>
      <c r="L39" s="45">
        <v>2</v>
      </c>
      <c r="M39" s="45">
        <v>2</v>
      </c>
      <c r="N39" s="45">
        <v>2</v>
      </c>
      <c r="O39" s="45">
        <v>2</v>
      </c>
      <c r="P39" s="45">
        <v>2</v>
      </c>
      <c r="Q39" s="45">
        <v>2</v>
      </c>
      <c r="R39" s="45">
        <v>2</v>
      </c>
      <c r="S39" s="45">
        <v>2</v>
      </c>
      <c r="T39" s="45">
        <v>12</v>
      </c>
      <c r="U39" s="45">
        <v>12</v>
      </c>
      <c r="V39" s="45">
        <v>12</v>
      </c>
      <c r="W39" s="45">
        <v>12</v>
      </c>
      <c r="X39" s="45">
        <v>12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2</v>
      </c>
      <c r="AE39" s="45">
        <v>2</v>
      </c>
      <c r="AF39" s="45">
        <v>0</v>
      </c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8</v>
      </c>
      <c r="E40" s="45">
        <v>4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5</v>
      </c>
      <c r="T40" s="45">
        <v>5.4</v>
      </c>
      <c r="U40" s="45">
        <v>5.4</v>
      </c>
      <c r="V40" s="45">
        <v>5.4</v>
      </c>
      <c r="W40" s="45">
        <v>5.4</v>
      </c>
      <c r="X40" s="45">
        <v>5.4</v>
      </c>
      <c r="Y40" s="45">
        <v>5.4</v>
      </c>
      <c r="Z40" s="45">
        <v>5.4</v>
      </c>
      <c r="AA40" s="45">
        <v>5.4</v>
      </c>
      <c r="AB40" s="45">
        <v>12</v>
      </c>
      <c r="AC40" s="45">
        <v>12</v>
      </c>
      <c r="AD40" s="45">
        <v>0</v>
      </c>
      <c r="AE40" s="45">
        <v>0</v>
      </c>
      <c r="AF40" s="45">
        <v>0</v>
      </c>
      <c r="AG40" s="49">
        <v>12</v>
      </c>
      <c r="AH40" s="47">
        <f t="shared" si="2"/>
        <v>12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5</v>
      </c>
      <c r="L41" s="45">
        <v>5</v>
      </c>
      <c r="M41" s="45">
        <v>5</v>
      </c>
      <c r="N41" s="45">
        <v>5</v>
      </c>
      <c r="O41" s="45">
        <v>5</v>
      </c>
      <c r="P41" s="45">
        <v>5</v>
      </c>
      <c r="Q41" s="45">
        <v>5</v>
      </c>
      <c r="R41" s="45">
        <v>5</v>
      </c>
      <c r="S41" s="45">
        <v>0</v>
      </c>
      <c r="T41" s="45">
        <v>0</v>
      </c>
      <c r="U41" s="45">
        <v>5</v>
      </c>
      <c r="V41" s="45">
        <v>5</v>
      </c>
      <c r="W41" s="45">
        <v>5</v>
      </c>
      <c r="X41" s="45">
        <v>5</v>
      </c>
      <c r="Y41" s="45">
        <v>5</v>
      </c>
      <c r="Z41" s="45">
        <v>5</v>
      </c>
      <c r="AA41" s="45">
        <v>5</v>
      </c>
      <c r="AB41" s="45">
        <v>5</v>
      </c>
      <c r="AC41" s="45">
        <v>5</v>
      </c>
      <c r="AD41" s="45">
        <v>6</v>
      </c>
      <c r="AE41" s="45">
        <v>6</v>
      </c>
      <c r="AF41" s="45">
        <v>0</v>
      </c>
      <c r="AG41" s="49">
        <v>12</v>
      </c>
      <c r="AH41" s="47">
        <f t="shared" si="2"/>
        <v>6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</v>
      </c>
      <c r="C43" s="45">
        <v>11</v>
      </c>
      <c r="D43" s="45">
        <v>11</v>
      </c>
      <c r="E43" s="45">
        <v>11</v>
      </c>
      <c r="F43" s="45">
        <v>11</v>
      </c>
      <c r="G43" s="45">
        <v>11</v>
      </c>
      <c r="H43" s="45">
        <v>11</v>
      </c>
      <c r="I43" s="45">
        <v>11</v>
      </c>
      <c r="J43" s="45">
        <v>11</v>
      </c>
      <c r="K43" s="45">
        <v>11</v>
      </c>
      <c r="L43" s="45">
        <v>11</v>
      </c>
      <c r="M43" s="45">
        <v>11</v>
      </c>
      <c r="N43" s="45">
        <v>11</v>
      </c>
      <c r="O43" s="45">
        <v>11</v>
      </c>
      <c r="P43" s="45">
        <v>11</v>
      </c>
      <c r="Q43" s="45">
        <v>11</v>
      </c>
      <c r="R43" s="45">
        <v>11</v>
      </c>
      <c r="S43" s="45">
        <v>11</v>
      </c>
      <c r="T43" s="45">
        <v>11</v>
      </c>
      <c r="U43" s="45">
        <v>11</v>
      </c>
      <c r="V43" s="45">
        <v>11</v>
      </c>
      <c r="W43" s="45">
        <v>11</v>
      </c>
      <c r="X43" s="45">
        <v>11</v>
      </c>
      <c r="Y43" s="45">
        <v>11</v>
      </c>
      <c r="Z43" s="45">
        <v>11</v>
      </c>
      <c r="AA43" s="45">
        <v>11</v>
      </c>
      <c r="AB43" s="45">
        <v>11</v>
      </c>
      <c r="AC43" s="45">
        <v>11</v>
      </c>
      <c r="AD43" s="45">
        <v>11</v>
      </c>
      <c r="AE43" s="45">
        <v>11</v>
      </c>
      <c r="AF43" s="45">
        <v>11</v>
      </c>
      <c r="AG43" s="51">
        <v>11.88</v>
      </c>
      <c r="AH43" s="47">
        <f t="shared" si="2"/>
        <v>11</v>
      </c>
      <c r="AI43" s="48">
        <f t="shared" si="3"/>
        <v>11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9.5</v>
      </c>
      <c r="C45" s="45">
        <v>9.5</v>
      </c>
      <c r="D45" s="45">
        <v>9.5</v>
      </c>
      <c r="E45" s="45">
        <v>9.5</v>
      </c>
      <c r="F45" s="45">
        <v>9.5</v>
      </c>
      <c r="G45" s="45">
        <v>9.5</v>
      </c>
      <c r="H45" s="45">
        <v>9.5</v>
      </c>
      <c r="I45" s="45">
        <v>9.5</v>
      </c>
      <c r="J45" s="45">
        <v>9.5</v>
      </c>
      <c r="K45" s="45">
        <v>9.5</v>
      </c>
      <c r="L45" s="45">
        <v>9.5</v>
      </c>
      <c r="M45" s="45">
        <v>9.5</v>
      </c>
      <c r="N45" s="45">
        <v>9.5</v>
      </c>
      <c r="O45" s="45">
        <v>9.5</v>
      </c>
      <c r="P45" s="45">
        <v>9.5</v>
      </c>
      <c r="Q45" s="45">
        <v>9.5</v>
      </c>
      <c r="R45" s="45">
        <v>9.5</v>
      </c>
      <c r="S45" s="45">
        <v>9.5</v>
      </c>
      <c r="T45" s="45">
        <v>9.5</v>
      </c>
      <c r="U45" s="45">
        <v>9.5</v>
      </c>
      <c r="V45" s="45">
        <v>9.5</v>
      </c>
      <c r="W45" s="45">
        <v>9.5</v>
      </c>
      <c r="X45" s="45">
        <v>9.5</v>
      </c>
      <c r="Y45" s="45">
        <v>9.5</v>
      </c>
      <c r="Z45" s="45">
        <v>9.5</v>
      </c>
      <c r="AA45" s="45">
        <v>9.5</v>
      </c>
      <c r="AB45" s="45">
        <v>9.5</v>
      </c>
      <c r="AC45" s="45">
        <v>9.5</v>
      </c>
      <c r="AD45" s="45">
        <v>9.5</v>
      </c>
      <c r="AE45" s="45">
        <v>9.5</v>
      </c>
      <c r="AF45" s="45">
        <v>9.5</v>
      </c>
      <c r="AG45" s="54">
        <v>10</v>
      </c>
      <c r="AH45" s="47">
        <f t="shared" si="2"/>
        <v>9.5</v>
      </c>
      <c r="AI45" s="48">
        <f t="shared" si="3"/>
        <v>9.5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>
        <f>24+82.2</f>
        <v>106.2</v>
      </c>
      <c r="C49" s="56">
        <f>24+82.1</f>
        <v>106.1</v>
      </c>
      <c r="D49" s="56">
        <f>24.1+82.3</f>
        <v>106.4</v>
      </c>
      <c r="E49" s="56">
        <f>24.1+82.3</f>
        <v>106.4</v>
      </c>
      <c r="F49" s="56">
        <f>24.1+82.3</f>
        <v>106.4</v>
      </c>
      <c r="G49" s="56">
        <f>24.1+82.6</f>
        <v>106.69999999999999</v>
      </c>
      <c r="H49" s="56">
        <f t="shared" ref="H49:R49" si="4">24+82.3</f>
        <v>106.3</v>
      </c>
      <c r="I49" s="56">
        <f t="shared" si="4"/>
        <v>106.3</v>
      </c>
      <c r="J49" s="56">
        <f t="shared" si="4"/>
        <v>106.3</v>
      </c>
      <c r="K49" s="56">
        <f t="shared" si="4"/>
        <v>106.3</v>
      </c>
      <c r="L49" s="56">
        <f t="shared" si="4"/>
        <v>106.3</v>
      </c>
      <c r="M49" s="56">
        <f t="shared" si="4"/>
        <v>106.3</v>
      </c>
      <c r="N49" s="56">
        <f t="shared" si="4"/>
        <v>106.3</v>
      </c>
      <c r="O49" s="56">
        <f t="shared" si="4"/>
        <v>106.3</v>
      </c>
      <c r="P49" s="56">
        <f t="shared" si="4"/>
        <v>106.3</v>
      </c>
      <c r="Q49" s="56">
        <f t="shared" si="4"/>
        <v>106.3</v>
      </c>
      <c r="R49" s="56">
        <f t="shared" si="4"/>
        <v>106.3</v>
      </c>
      <c r="S49" s="58">
        <f>76.8+22.3</f>
        <v>99.1</v>
      </c>
      <c r="T49" s="58">
        <f>81.2+23.4</f>
        <v>104.6</v>
      </c>
      <c r="U49" s="58">
        <f>82.6+23.9</f>
        <v>106.5</v>
      </c>
      <c r="V49" s="58">
        <f>82.6+24</f>
        <v>106.6</v>
      </c>
      <c r="W49" s="58">
        <f>82+23.8</f>
        <v>105.8</v>
      </c>
      <c r="X49" s="58">
        <f>81.6+23.6</f>
        <v>105.19999999999999</v>
      </c>
      <c r="Y49" s="56">
        <f>82.1+23.6</f>
        <v>105.69999999999999</v>
      </c>
      <c r="Z49" s="56">
        <f>23.3+81.5</f>
        <v>104.8</v>
      </c>
      <c r="AA49" s="56">
        <f>27.4+80.4</f>
        <v>107.80000000000001</v>
      </c>
      <c r="AB49" s="56">
        <f>27.4+80.4</f>
        <v>107.80000000000001</v>
      </c>
      <c r="AC49" s="56">
        <f>27.4+80.4</f>
        <v>107.80000000000001</v>
      </c>
      <c r="AD49" s="56">
        <f>27.4+80.4</f>
        <v>107.80000000000001</v>
      </c>
      <c r="AE49" s="56">
        <f>27.4+80.4</f>
        <v>107.80000000000001</v>
      </c>
      <c r="AF49" s="56">
        <f>24.2+82.5</f>
        <v>106.7</v>
      </c>
      <c r="AG49" s="54">
        <v>240</v>
      </c>
      <c r="AH49" s="47">
        <f t="shared" si="2"/>
        <v>107.80000000000001</v>
      </c>
      <c r="AI49" s="48">
        <f t="shared" si="3"/>
        <v>99.1</v>
      </c>
      <c r="AK49" s="50"/>
    </row>
    <row r="50" spans="1:41" ht="15.75" thickBot="1" x14ac:dyDescent="0.3">
      <c r="A50" s="59" t="s">
        <v>58</v>
      </c>
      <c r="B50" s="60">
        <f t="shared" ref="B50:C50" si="5">SUM(B11:B48)</f>
        <v>1031</v>
      </c>
      <c r="C50" s="60">
        <f t="shared" si="5"/>
        <v>996.80000000000007</v>
      </c>
      <c r="D50" s="60">
        <f t="shared" ref="D50" si="6">SUM(D11:D48)</f>
        <v>982.80000000000007</v>
      </c>
      <c r="E50" s="60">
        <f t="shared" ref="E50:AF50" si="7">SUM(E11:E48)</f>
        <v>978.80000000000007</v>
      </c>
      <c r="F50" s="60">
        <f t="shared" si="7"/>
        <v>947.7</v>
      </c>
      <c r="G50" s="60">
        <f t="shared" si="7"/>
        <v>906.90000000000009</v>
      </c>
      <c r="H50" s="60">
        <f t="shared" si="7"/>
        <v>948.90000000000009</v>
      </c>
      <c r="I50" s="60">
        <f t="shared" si="7"/>
        <v>948.90000000000009</v>
      </c>
      <c r="J50" s="60">
        <f t="shared" si="7"/>
        <v>948.90000000000009</v>
      </c>
      <c r="K50" s="60">
        <f t="shared" si="7"/>
        <v>978.9</v>
      </c>
      <c r="L50" s="60">
        <f t="shared" si="7"/>
        <v>978.9</v>
      </c>
      <c r="M50" s="60">
        <f t="shared" si="7"/>
        <v>978.9</v>
      </c>
      <c r="N50" s="60">
        <f t="shared" ref="N50" si="8">SUM(N11:N48)</f>
        <v>973.9</v>
      </c>
      <c r="O50" s="60">
        <f t="shared" si="7"/>
        <v>973.9</v>
      </c>
      <c r="P50" s="60">
        <f t="shared" si="7"/>
        <v>953</v>
      </c>
      <c r="Q50" s="60">
        <f t="shared" si="7"/>
        <v>953</v>
      </c>
      <c r="R50" s="60">
        <f t="shared" si="7"/>
        <v>909</v>
      </c>
      <c r="S50" s="60">
        <f t="shared" si="7"/>
        <v>864.5</v>
      </c>
      <c r="T50" s="60">
        <f t="shared" si="7"/>
        <v>1021.1</v>
      </c>
      <c r="U50" s="60">
        <f t="shared" si="7"/>
        <v>1026.2</v>
      </c>
      <c r="V50" s="60">
        <f t="shared" si="7"/>
        <v>1067.3000000000002</v>
      </c>
      <c r="W50" s="60">
        <f t="shared" si="7"/>
        <v>1047.7</v>
      </c>
      <c r="X50" s="60">
        <f t="shared" si="7"/>
        <v>1032</v>
      </c>
      <c r="Y50" s="60">
        <f t="shared" si="7"/>
        <v>1012</v>
      </c>
      <c r="Z50" s="60">
        <f t="shared" si="7"/>
        <v>1022</v>
      </c>
      <c r="AA50" s="60">
        <f t="shared" si="7"/>
        <v>1034.8000000000002</v>
      </c>
      <c r="AB50" s="60">
        <f t="shared" si="7"/>
        <v>1041.4000000000001</v>
      </c>
      <c r="AC50" s="60">
        <f t="shared" si="7"/>
        <v>1041.4000000000001</v>
      </c>
      <c r="AD50" s="60">
        <f t="shared" si="7"/>
        <v>978.80000000000007</v>
      </c>
      <c r="AE50" s="60">
        <f t="shared" si="7"/>
        <v>974.80000000000007</v>
      </c>
      <c r="AF50" s="60">
        <f t="shared" si="7"/>
        <v>939.80000000000007</v>
      </c>
      <c r="AG50" s="61">
        <f>SUM(AG13:AG48)</f>
        <v>922.14</v>
      </c>
      <c r="AH50" s="47">
        <f t="shared" si="2"/>
        <v>1067.3000000000002</v>
      </c>
      <c r="AI50" s="48">
        <f t="shared" si="3"/>
        <v>864.5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220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220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0</v>
      </c>
      <c r="T52" s="64">
        <v>0</v>
      </c>
      <c r="U52" s="64">
        <v>0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0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22.4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0</v>
      </c>
      <c r="M53" s="66">
        <v>22.4</v>
      </c>
      <c r="N53" s="66">
        <v>22.4</v>
      </c>
      <c r="O53" s="66">
        <v>22.4</v>
      </c>
      <c r="P53" s="66">
        <v>22.4</v>
      </c>
      <c r="Q53" s="66">
        <v>22.4</v>
      </c>
      <c r="R53" s="66">
        <v>22.4</v>
      </c>
      <c r="S53" s="66">
        <v>22.4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22.5</v>
      </c>
      <c r="AI53" s="48">
        <f t="shared" si="3"/>
        <v>0</v>
      </c>
      <c r="AK53" s="50"/>
    </row>
    <row r="54" spans="1:41" ht="15.75" thickBot="1" x14ac:dyDescent="0.3">
      <c r="A54" s="68" t="s">
        <v>62</v>
      </c>
      <c r="B54" s="60">
        <f t="shared" ref="B54:C54" si="9">SUM(B51:B53)</f>
        <v>533.5</v>
      </c>
      <c r="C54" s="60">
        <f t="shared" si="9"/>
        <v>533.5</v>
      </c>
      <c r="D54" s="60">
        <f t="shared" ref="D54" si="10">SUM(D51:D53)</f>
        <v>533.5</v>
      </c>
      <c r="E54" s="60">
        <f t="shared" ref="E54:AG54" si="11">SUM(E51:E53)</f>
        <v>533.5</v>
      </c>
      <c r="F54" s="60">
        <f t="shared" si="11"/>
        <v>297.39999999999998</v>
      </c>
      <c r="G54" s="60">
        <f t="shared" si="11"/>
        <v>533.5</v>
      </c>
      <c r="H54" s="60">
        <f t="shared" si="11"/>
        <v>533.5</v>
      </c>
      <c r="I54" s="60">
        <f t="shared" si="11"/>
        <v>533.5</v>
      </c>
      <c r="J54" s="60">
        <f t="shared" si="11"/>
        <v>533.5</v>
      </c>
      <c r="K54" s="60">
        <f t="shared" si="11"/>
        <v>533.5</v>
      </c>
      <c r="L54" s="60">
        <f t="shared" si="11"/>
        <v>511</v>
      </c>
      <c r="M54" s="60">
        <f t="shared" si="11"/>
        <v>533.4</v>
      </c>
      <c r="N54" s="60">
        <f t="shared" ref="N54" si="12">SUM(N51:N53)</f>
        <v>533.4</v>
      </c>
      <c r="O54" s="60">
        <f t="shared" si="11"/>
        <v>533.4</v>
      </c>
      <c r="P54" s="60">
        <f t="shared" si="11"/>
        <v>533.4</v>
      </c>
      <c r="Q54" s="60">
        <f t="shared" si="11"/>
        <v>533.4</v>
      </c>
      <c r="R54" s="60">
        <f t="shared" si="11"/>
        <v>533.4</v>
      </c>
      <c r="S54" s="60">
        <f t="shared" si="11"/>
        <v>478.4</v>
      </c>
      <c r="T54" s="60">
        <f t="shared" si="11"/>
        <v>478.4</v>
      </c>
      <c r="U54" s="60">
        <f t="shared" si="11"/>
        <v>478.4</v>
      </c>
      <c r="V54" s="60">
        <f t="shared" si="11"/>
        <v>533.4</v>
      </c>
      <c r="W54" s="60">
        <f t="shared" si="11"/>
        <v>533.4</v>
      </c>
      <c r="X54" s="60">
        <f t="shared" si="11"/>
        <v>533.4</v>
      </c>
      <c r="Y54" s="60">
        <f t="shared" si="11"/>
        <v>533.4</v>
      </c>
      <c r="Z54" s="60">
        <f t="shared" si="11"/>
        <v>533.4</v>
      </c>
      <c r="AA54" s="60">
        <f t="shared" si="11"/>
        <v>533.4</v>
      </c>
      <c r="AB54" s="60">
        <f t="shared" si="11"/>
        <v>533.4</v>
      </c>
      <c r="AC54" s="60">
        <f t="shared" si="11"/>
        <v>533.4</v>
      </c>
      <c r="AD54" s="60">
        <f t="shared" si="11"/>
        <v>533.4</v>
      </c>
      <c r="AE54" s="60">
        <f t="shared" si="11"/>
        <v>533.4</v>
      </c>
      <c r="AF54" s="60">
        <f t="shared" si="11"/>
        <v>533.4</v>
      </c>
      <c r="AG54" s="61">
        <f t="shared" si="11"/>
        <v>538.1</v>
      </c>
      <c r="AH54" s="47">
        <f t="shared" si="2"/>
        <v>533.5</v>
      </c>
      <c r="AI54" s="48">
        <f t="shared" si="3"/>
        <v>297.39999999999998</v>
      </c>
      <c r="AK54" s="50"/>
    </row>
    <row r="55" spans="1:41" x14ac:dyDescent="0.25">
      <c r="A55" s="44" t="s">
        <v>63</v>
      </c>
      <c r="B55" s="45">
        <v>138.1</v>
      </c>
      <c r="C55" s="45">
        <v>137.5</v>
      </c>
      <c r="D55" s="45">
        <v>137.1</v>
      </c>
      <c r="E55" s="45">
        <v>70.7</v>
      </c>
      <c r="F55" s="45">
        <v>69.400000000000006</v>
      </c>
      <c r="G55" s="45">
        <v>69.400000000000006</v>
      </c>
      <c r="H55" s="45">
        <v>69.400000000000006</v>
      </c>
      <c r="I55" s="45">
        <v>69.400000000000006</v>
      </c>
      <c r="J55" s="45">
        <v>69.400000000000006</v>
      </c>
      <c r="K55" s="45">
        <v>96.6</v>
      </c>
      <c r="L55" s="45">
        <v>137.1</v>
      </c>
      <c r="M55" s="45">
        <v>137.1</v>
      </c>
      <c r="N55" s="45">
        <v>134.6</v>
      </c>
      <c r="O55" s="45">
        <v>134</v>
      </c>
      <c r="P55" s="45">
        <v>134</v>
      </c>
      <c r="Q55" s="45">
        <v>134</v>
      </c>
      <c r="R55" s="45">
        <v>43</v>
      </c>
      <c r="S55" s="45">
        <v>133.9</v>
      </c>
      <c r="T55" s="45">
        <v>134</v>
      </c>
      <c r="U55" s="45">
        <v>134.30000000000001</v>
      </c>
      <c r="V55" s="45">
        <v>135.19999999999999</v>
      </c>
      <c r="W55" s="45">
        <v>134.4</v>
      </c>
      <c r="X55" s="45">
        <v>134.19999999999999</v>
      </c>
      <c r="Y55" s="45">
        <v>133.9</v>
      </c>
      <c r="Z55" s="45">
        <v>134.30000000000001</v>
      </c>
      <c r="AA55" s="45">
        <v>134.80000000000001</v>
      </c>
      <c r="AB55" s="45">
        <v>134.80000000000001</v>
      </c>
      <c r="AC55" s="45">
        <v>134.80000000000001</v>
      </c>
      <c r="AD55" s="45">
        <v>134.80000000000001</v>
      </c>
      <c r="AE55" s="45">
        <v>134.80000000000001</v>
      </c>
      <c r="AF55" s="45">
        <v>121.4</v>
      </c>
      <c r="AG55" s="51">
        <v>144</v>
      </c>
      <c r="AH55" s="47">
        <f t="shared" si="2"/>
        <v>138.1</v>
      </c>
      <c r="AI55" s="48">
        <f t="shared" si="3"/>
        <v>43</v>
      </c>
      <c r="AK55" s="50"/>
    </row>
    <row r="56" spans="1:41" x14ac:dyDescent="0.25">
      <c r="A56" s="53" t="s">
        <v>64</v>
      </c>
      <c r="B56" s="64">
        <v>63.2</v>
      </c>
      <c r="C56" s="64">
        <v>72.2</v>
      </c>
      <c r="D56" s="64">
        <v>70</v>
      </c>
      <c r="E56" s="64">
        <v>60.2</v>
      </c>
      <c r="F56" s="64">
        <v>70</v>
      </c>
      <c r="G56" s="64">
        <v>70</v>
      </c>
      <c r="H56" s="64">
        <v>70</v>
      </c>
      <c r="I56" s="64">
        <v>70</v>
      </c>
      <c r="J56" s="64">
        <v>70</v>
      </c>
      <c r="K56" s="64">
        <v>70</v>
      </c>
      <c r="L56" s="64">
        <v>70</v>
      </c>
      <c r="M56" s="64">
        <v>70</v>
      </c>
      <c r="N56" s="64">
        <v>50.5</v>
      </c>
      <c r="O56" s="64">
        <v>70</v>
      </c>
      <c r="P56" s="64">
        <v>70</v>
      </c>
      <c r="Q56" s="64">
        <v>70</v>
      </c>
      <c r="R56" s="64">
        <v>53.8</v>
      </c>
      <c r="S56" s="45">
        <v>60.6</v>
      </c>
      <c r="T56" s="45">
        <v>70.3</v>
      </c>
      <c r="U56" s="45">
        <v>70.099999999999994</v>
      </c>
      <c r="V56" s="45">
        <v>70.099999999999994</v>
      </c>
      <c r="W56" s="45">
        <v>69.7</v>
      </c>
      <c r="X56" s="45">
        <v>70</v>
      </c>
      <c r="Y56" s="45">
        <v>70.099999999999994</v>
      </c>
      <c r="Z56" s="45">
        <v>69.8</v>
      </c>
      <c r="AA56" s="45">
        <v>72</v>
      </c>
      <c r="AB56" s="45">
        <v>72</v>
      </c>
      <c r="AC56" s="45">
        <v>72</v>
      </c>
      <c r="AD56" s="45">
        <v>72</v>
      </c>
      <c r="AE56" s="45">
        <v>72</v>
      </c>
      <c r="AF56" s="45">
        <v>60</v>
      </c>
      <c r="AG56" s="54">
        <v>70</v>
      </c>
      <c r="AH56" s="47">
        <f t="shared" si="2"/>
        <v>72.2</v>
      </c>
      <c r="AI56" s="48">
        <f t="shared" si="3"/>
        <v>50.5</v>
      </c>
      <c r="AK56" s="50"/>
    </row>
    <row r="57" spans="1:41" x14ac:dyDescent="0.25">
      <c r="A57" s="53" t="s">
        <v>65</v>
      </c>
      <c r="B57" s="64">
        <v>64.3</v>
      </c>
      <c r="C57" s="64">
        <v>65.099999999999994</v>
      </c>
      <c r="D57" s="64">
        <v>63.1</v>
      </c>
      <c r="E57" s="64">
        <v>64.5</v>
      </c>
      <c r="F57" s="64">
        <v>65</v>
      </c>
      <c r="G57" s="64">
        <v>65</v>
      </c>
      <c r="H57" s="64">
        <v>65</v>
      </c>
      <c r="I57" s="64">
        <v>65</v>
      </c>
      <c r="J57" s="64">
        <v>65</v>
      </c>
      <c r="K57" s="64">
        <v>65</v>
      </c>
      <c r="L57" s="64">
        <v>65.3</v>
      </c>
      <c r="M57" s="64">
        <v>65.3</v>
      </c>
      <c r="N57" s="64">
        <v>50.2</v>
      </c>
      <c r="O57" s="64">
        <v>50</v>
      </c>
      <c r="P57" s="64">
        <v>50</v>
      </c>
      <c r="Q57" s="64">
        <v>50</v>
      </c>
      <c r="R57" s="64">
        <v>64.599999999999994</v>
      </c>
      <c r="S57" s="45">
        <v>64.900000000000006</v>
      </c>
      <c r="T57" s="45">
        <v>0</v>
      </c>
      <c r="U57" s="45">
        <v>0</v>
      </c>
      <c r="V57" s="45">
        <v>0</v>
      </c>
      <c r="W57" s="45">
        <v>0</v>
      </c>
      <c r="X57" s="45">
        <v>0</v>
      </c>
      <c r="Y57" s="45">
        <v>0</v>
      </c>
      <c r="Z57" s="45">
        <v>64.2</v>
      </c>
      <c r="AA57" s="45">
        <v>66.400000000000006</v>
      </c>
      <c r="AB57" s="45">
        <v>66.400000000000006</v>
      </c>
      <c r="AC57" s="45">
        <v>66.400000000000006</v>
      </c>
      <c r="AD57" s="45">
        <v>66.400000000000006</v>
      </c>
      <c r="AE57" s="45">
        <v>66.400000000000006</v>
      </c>
      <c r="AF57" s="45">
        <v>60</v>
      </c>
      <c r="AG57" s="54">
        <v>69</v>
      </c>
      <c r="AH57" s="47">
        <f t="shared" si="2"/>
        <v>66.400000000000006</v>
      </c>
      <c r="AI57" s="48">
        <f t="shared" si="3"/>
        <v>0</v>
      </c>
      <c r="AK57" s="50"/>
    </row>
    <row r="58" spans="1:41" x14ac:dyDescent="0.25">
      <c r="A58" s="53" t="s">
        <v>66</v>
      </c>
      <c r="B58" s="64">
        <v>30</v>
      </c>
      <c r="C58" s="64">
        <v>30</v>
      </c>
      <c r="D58" s="64">
        <v>30</v>
      </c>
      <c r="E58" s="64">
        <v>30</v>
      </c>
      <c r="F58" s="64">
        <v>30</v>
      </c>
      <c r="G58" s="64">
        <v>30</v>
      </c>
      <c r="H58" s="64">
        <v>30</v>
      </c>
      <c r="I58" s="64">
        <v>30</v>
      </c>
      <c r="J58" s="64">
        <v>30</v>
      </c>
      <c r="K58" s="64">
        <v>30</v>
      </c>
      <c r="L58" s="56">
        <v>30</v>
      </c>
      <c r="M58" s="56">
        <v>30</v>
      </c>
      <c r="N58" s="56">
        <v>30</v>
      </c>
      <c r="O58" s="56">
        <v>30</v>
      </c>
      <c r="P58" s="56">
        <v>30</v>
      </c>
      <c r="Q58" s="56">
        <v>30</v>
      </c>
      <c r="R58" s="56">
        <v>30</v>
      </c>
      <c r="S58" s="45">
        <v>29</v>
      </c>
      <c r="T58" s="45">
        <v>29</v>
      </c>
      <c r="U58" s="45">
        <v>28.7</v>
      </c>
      <c r="V58" s="45">
        <v>29</v>
      </c>
      <c r="W58" s="45">
        <v>30</v>
      </c>
      <c r="X58" s="45">
        <v>30</v>
      </c>
      <c r="Y58" s="45">
        <v>30</v>
      </c>
      <c r="Z58" s="45">
        <v>30</v>
      </c>
      <c r="AA58" s="45">
        <v>30</v>
      </c>
      <c r="AB58" s="45">
        <v>30</v>
      </c>
      <c r="AC58" s="45">
        <v>30</v>
      </c>
      <c r="AD58" s="45">
        <v>60</v>
      </c>
      <c r="AE58" s="45">
        <v>60</v>
      </c>
      <c r="AF58" s="45">
        <v>61.2</v>
      </c>
      <c r="AG58" s="54">
        <v>60</v>
      </c>
      <c r="AH58" s="47">
        <f t="shared" si="2"/>
        <v>61.2</v>
      </c>
      <c r="AI58" s="48">
        <f t="shared" si="3"/>
        <v>28.7</v>
      </c>
      <c r="AK58" s="50"/>
    </row>
    <row r="59" spans="1:41" x14ac:dyDescent="0.25">
      <c r="A59" s="53" t="s">
        <v>67</v>
      </c>
      <c r="B59" s="64">
        <v>28</v>
      </c>
      <c r="C59" s="64">
        <v>28</v>
      </c>
      <c r="D59" s="64">
        <v>28</v>
      </c>
      <c r="E59" s="64">
        <v>28</v>
      </c>
      <c r="F59" s="64">
        <v>28</v>
      </c>
      <c r="G59" s="64">
        <v>28</v>
      </c>
      <c r="H59" s="64">
        <v>30</v>
      </c>
      <c r="I59" s="64">
        <v>30</v>
      </c>
      <c r="J59" s="64">
        <v>30</v>
      </c>
      <c r="K59" s="64">
        <v>30</v>
      </c>
      <c r="L59" s="56">
        <v>30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56">
        <v>30</v>
      </c>
      <c r="T59" s="56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28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1.5</v>
      </c>
      <c r="L60" s="64">
        <v>1.6</v>
      </c>
      <c r="M60" s="64">
        <v>2.2999999999999998</v>
      </c>
      <c r="N60" s="64">
        <v>2.2999999999999998</v>
      </c>
      <c r="O60" s="64">
        <v>2.2999999999999998</v>
      </c>
      <c r="P60" s="64">
        <v>2.2999999999999998</v>
      </c>
      <c r="Q60" s="64">
        <v>2.2999999999999998</v>
      </c>
      <c r="R60" s="64">
        <v>2.2999999999999998</v>
      </c>
      <c r="S60" s="64">
        <v>2.2999999999999998</v>
      </c>
      <c r="T60" s="64">
        <v>5.3</v>
      </c>
      <c r="U60" s="64">
        <v>5.3</v>
      </c>
      <c r="V60" s="64">
        <v>5.3</v>
      </c>
      <c r="W60" s="45">
        <v>1.8</v>
      </c>
      <c r="X60" s="45">
        <v>1.8</v>
      </c>
      <c r="Y60" s="45">
        <v>0.4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5.3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3.2</v>
      </c>
      <c r="C62" s="64">
        <v>3.2</v>
      </c>
      <c r="D62" s="64">
        <v>3.2</v>
      </c>
      <c r="E62" s="64">
        <v>3.2</v>
      </c>
      <c r="F62" s="64">
        <v>3.2</v>
      </c>
      <c r="G62" s="64">
        <v>3.2</v>
      </c>
      <c r="H62" s="64">
        <v>3.2</v>
      </c>
      <c r="I62" s="64">
        <v>3.2</v>
      </c>
      <c r="J62" s="64">
        <v>3.2</v>
      </c>
      <c r="K62" s="64">
        <v>3.2</v>
      </c>
      <c r="L62" s="64">
        <v>3.2</v>
      </c>
      <c r="M62" s="64">
        <v>3.2</v>
      </c>
      <c r="N62" s="64">
        <v>3.2</v>
      </c>
      <c r="O62" s="64">
        <v>3.2</v>
      </c>
      <c r="P62" s="64">
        <v>3.2</v>
      </c>
      <c r="Q62" s="64">
        <v>3.2</v>
      </c>
      <c r="R62" s="64">
        <v>3.2</v>
      </c>
      <c r="S62" s="64">
        <v>3.2</v>
      </c>
      <c r="T62" s="64">
        <v>3.2</v>
      </c>
      <c r="U62" s="64">
        <v>3.2</v>
      </c>
      <c r="V62" s="64">
        <v>3.2</v>
      </c>
      <c r="W62" s="64">
        <v>3.2</v>
      </c>
      <c r="X62" s="64">
        <v>3.2</v>
      </c>
      <c r="Y62" s="64">
        <v>3.2</v>
      </c>
      <c r="Z62" s="64">
        <v>3.2</v>
      </c>
      <c r="AA62" s="64">
        <v>3.2</v>
      </c>
      <c r="AB62" s="64">
        <v>3.2</v>
      </c>
      <c r="AC62" s="64">
        <v>3.2</v>
      </c>
      <c r="AD62" s="64">
        <v>3.2</v>
      </c>
      <c r="AE62" s="64">
        <v>3.2</v>
      </c>
      <c r="AF62" s="64">
        <v>3.2</v>
      </c>
      <c r="AG62" s="54">
        <v>15</v>
      </c>
      <c r="AH62" s="47">
        <f t="shared" si="2"/>
        <v>3.2</v>
      </c>
      <c r="AI62" s="48">
        <f t="shared" si="3"/>
        <v>3.2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10.5</v>
      </c>
      <c r="C63" s="64">
        <v>10.8</v>
      </c>
      <c r="D63" s="64">
        <v>10.8</v>
      </c>
      <c r="E63" s="64">
        <v>10.8</v>
      </c>
      <c r="F63" s="64">
        <v>10.8</v>
      </c>
      <c r="G63" s="64">
        <v>10.8</v>
      </c>
      <c r="H63" s="64">
        <v>10.8</v>
      </c>
      <c r="I63" s="64">
        <v>10.8</v>
      </c>
      <c r="J63" s="64">
        <v>10.8</v>
      </c>
      <c r="K63" s="64">
        <v>10.8</v>
      </c>
      <c r="L63" s="64">
        <v>10.8</v>
      </c>
      <c r="M63" s="64">
        <v>10.8</v>
      </c>
      <c r="N63" s="64">
        <v>10.8</v>
      </c>
      <c r="O63" s="64">
        <v>10.8</v>
      </c>
      <c r="P63" s="64">
        <v>10.8</v>
      </c>
      <c r="Q63" s="64">
        <v>10.8</v>
      </c>
      <c r="R63" s="64">
        <v>10.8</v>
      </c>
      <c r="S63" s="64">
        <v>10.8</v>
      </c>
      <c r="T63" s="64">
        <v>10.8</v>
      </c>
      <c r="U63" s="64">
        <v>10.8</v>
      </c>
      <c r="V63" s="64">
        <v>10.8</v>
      </c>
      <c r="W63" s="64">
        <v>10.8</v>
      </c>
      <c r="X63" s="64">
        <v>10.8</v>
      </c>
      <c r="Y63" s="64">
        <v>11.7</v>
      </c>
      <c r="Z63" s="64">
        <v>11.7</v>
      </c>
      <c r="AA63" s="64">
        <v>11.7</v>
      </c>
      <c r="AB63" s="64">
        <v>12.3</v>
      </c>
      <c r="AC63" s="64">
        <v>12.3</v>
      </c>
      <c r="AD63" s="64">
        <v>12.3</v>
      </c>
      <c r="AE63" s="64">
        <v>12.3</v>
      </c>
      <c r="AF63" s="64">
        <v>10.4</v>
      </c>
      <c r="AG63" s="54">
        <v>14.1</v>
      </c>
      <c r="AH63" s="47">
        <f t="shared" si="2"/>
        <v>12.3</v>
      </c>
      <c r="AI63" s="48">
        <f t="shared" si="3"/>
        <v>10.4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14.1</v>
      </c>
      <c r="C64" s="64">
        <v>14.1</v>
      </c>
      <c r="D64" s="64">
        <v>14.1</v>
      </c>
      <c r="E64" s="64">
        <v>14.1</v>
      </c>
      <c r="F64" s="64">
        <v>14.1</v>
      </c>
      <c r="G64" s="64">
        <v>14.1</v>
      </c>
      <c r="H64" s="64">
        <v>14.1</v>
      </c>
      <c r="I64" s="64">
        <v>14.1</v>
      </c>
      <c r="J64" s="64">
        <v>14.1</v>
      </c>
      <c r="K64" s="64">
        <v>14.1</v>
      </c>
      <c r="L64" s="64">
        <v>14.1</v>
      </c>
      <c r="M64" s="64">
        <v>14.1</v>
      </c>
      <c r="N64" s="64">
        <v>14.1</v>
      </c>
      <c r="O64" s="64">
        <v>14.1</v>
      </c>
      <c r="P64" s="64">
        <v>14.1</v>
      </c>
      <c r="Q64" s="64">
        <v>14.1</v>
      </c>
      <c r="R64" s="64">
        <v>14.1</v>
      </c>
      <c r="S64" s="64">
        <v>14.1</v>
      </c>
      <c r="T64" s="64">
        <v>14.1</v>
      </c>
      <c r="U64" s="64">
        <v>14.1</v>
      </c>
      <c r="V64" s="64">
        <v>14.1</v>
      </c>
      <c r="W64" s="64">
        <v>13.8</v>
      </c>
      <c r="X64" s="64">
        <v>13.8</v>
      </c>
      <c r="Y64" s="64">
        <v>13.8</v>
      </c>
      <c r="Z64" s="64">
        <v>13.8</v>
      </c>
      <c r="AA64" s="64">
        <v>13.8</v>
      </c>
      <c r="AB64" s="64">
        <v>13.8</v>
      </c>
      <c r="AC64" s="64">
        <v>13.8</v>
      </c>
      <c r="AD64" s="64">
        <v>5</v>
      </c>
      <c r="AE64" s="64">
        <v>13.9</v>
      </c>
      <c r="AF64" s="64">
        <v>13.9</v>
      </c>
      <c r="AG64" s="54">
        <v>14</v>
      </c>
      <c r="AH64" s="47">
        <f t="shared" si="2"/>
        <v>14.1</v>
      </c>
      <c r="AI64" s="48">
        <f t="shared" si="3"/>
        <v>5</v>
      </c>
      <c r="AK64" s="50"/>
    </row>
    <row r="65" spans="1:40" x14ac:dyDescent="0.25">
      <c r="A65" s="53" t="s">
        <v>73</v>
      </c>
      <c r="B65" s="64">
        <v>9.1999999999999993</v>
      </c>
      <c r="C65" s="64">
        <v>9.1999999999999993</v>
      </c>
      <c r="D65" s="64">
        <v>9.1999999999999993</v>
      </c>
      <c r="E65" s="64">
        <v>9.1999999999999993</v>
      </c>
      <c r="F65" s="64">
        <v>9.1999999999999993</v>
      </c>
      <c r="G65" s="64">
        <v>9.1999999999999993</v>
      </c>
      <c r="H65" s="64">
        <v>9.1999999999999993</v>
      </c>
      <c r="I65" s="64">
        <v>9.1999999999999993</v>
      </c>
      <c r="J65" s="64">
        <v>9.1999999999999993</v>
      </c>
      <c r="K65" s="64">
        <v>9.1999999999999993</v>
      </c>
      <c r="L65" s="64">
        <v>9.1999999999999993</v>
      </c>
      <c r="M65" s="64">
        <v>9.1999999999999993</v>
      </c>
      <c r="N65" s="64">
        <v>9.1999999999999993</v>
      </c>
      <c r="O65" s="64">
        <v>9.1999999999999993</v>
      </c>
      <c r="P65" s="64">
        <v>9.1999999999999993</v>
      </c>
      <c r="Q65" s="64">
        <v>9.1999999999999993</v>
      </c>
      <c r="R65" s="64">
        <v>9.1999999999999993</v>
      </c>
      <c r="S65" s="64">
        <v>9.1999999999999993</v>
      </c>
      <c r="T65" s="64">
        <v>9.1999999999999993</v>
      </c>
      <c r="U65" s="64">
        <v>9.1999999999999993</v>
      </c>
      <c r="V65" s="64">
        <v>9.1999999999999993</v>
      </c>
      <c r="W65" s="64">
        <v>9.1999999999999993</v>
      </c>
      <c r="X65" s="64">
        <v>9.1999999999999993</v>
      </c>
      <c r="Y65" s="64">
        <v>9.1999999999999993</v>
      </c>
      <c r="Z65" s="64">
        <v>9.1999999999999993</v>
      </c>
      <c r="AA65" s="64">
        <v>9.1999999999999993</v>
      </c>
      <c r="AB65" s="64">
        <v>9.1999999999999993</v>
      </c>
      <c r="AC65" s="64">
        <v>9.1999999999999993</v>
      </c>
      <c r="AD65" s="64">
        <v>9.1999999999999993</v>
      </c>
      <c r="AE65" s="64">
        <v>9.1999999999999993</v>
      </c>
      <c r="AF65" s="64">
        <v>9.1999999999999993</v>
      </c>
      <c r="AG65" s="54">
        <v>10.050000000000001</v>
      </c>
      <c r="AH65" s="47">
        <f t="shared" si="2"/>
        <v>9.1999999999999993</v>
      </c>
      <c r="AI65" s="48">
        <f t="shared" si="3"/>
        <v>9.1999999999999993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C68" si="13">SUM(B55:B67)</f>
        <v>385.34000000000003</v>
      </c>
      <c r="C68" s="60">
        <f t="shared" si="13"/>
        <v>394.84</v>
      </c>
      <c r="D68" s="60">
        <f t="shared" ref="D68" si="14">SUM(D55:D67)</f>
        <v>390.24</v>
      </c>
      <c r="E68" s="60">
        <f t="shared" ref="E68:AG68" si="15">SUM(E55:E67)</f>
        <v>315.44</v>
      </c>
      <c r="F68" s="60">
        <f t="shared" si="15"/>
        <v>324.44</v>
      </c>
      <c r="G68" s="60">
        <f t="shared" si="15"/>
        <v>324.44</v>
      </c>
      <c r="H68" s="60">
        <f t="shared" si="15"/>
        <v>326.44</v>
      </c>
      <c r="I68" s="60">
        <f t="shared" si="15"/>
        <v>326.44</v>
      </c>
      <c r="J68" s="60">
        <f t="shared" si="15"/>
        <v>326.44</v>
      </c>
      <c r="K68" s="60">
        <f t="shared" si="15"/>
        <v>355.14000000000004</v>
      </c>
      <c r="L68" s="60">
        <f t="shared" si="15"/>
        <v>396.04</v>
      </c>
      <c r="M68" s="60">
        <f t="shared" si="15"/>
        <v>396.74</v>
      </c>
      <c r="N68" s="60">
        <f t="shared" si="15"/>
        <v>359.64000000000004</v>
      </c>
      <c r="O68" s="60">
        <f t="shared" si="15"/>
        <v>378.34000000000003</v>
      </c>
      <c r="P68" s="60">
        <f t="shared" si="15"/>
        <v>378.34000000000003</v>
      </c>
      <c r="Q68" s="60">
        <f t="shared" si="15"/>
        <v>378.34000000000003</v>
      </c>
      <c r="R68" s="60">
        <f t="shared" si="15"/>
        <v>285.74</v>
      </c>
      <c r="S68" s="60">
        <f t="shared" si="15"/>
        <v>382.74</v>
      </c>
      <c r="T68" s="60">
        <f t="shared" si="15"/>
        <v>330.64000000000004</v>
      </c>
      <c r="U68" s="60">
        <f t="shared" si="15"/>
        <v>330.44000000000005</v>
      </c>
      <c r="V68" s="60">
        <f t="shared" si="15"/>
        <v>331.64</v>
      </c>
      <c r="W68" s="60">
        <f t="shared" si="15"/>
        <v>327.64000000000004</v>
      </c>
      <c r="X68" s="60">
        <f t="shared" si="15"/>
        <v>327.74</v>
      </c>
      <c r="Y68" s="60">
        <f t="shared" si="15"/>
        <v>327.03999999999996</v>
      </c>
      <c r="Z68" s="60">
        <f t="shared" si="15"/>
        <v>390.94</v>
      </c>
      <c r="AA68" s="60">
        <f t="shared" si="15"/>
        <v>395.84000000000003</v>
      </c>
      <c r="AB68" s="60">
        <f t="shared" si="15"/>
        <v>396.44000000000005</v>
      </c>
      <c r="AC68" s="60">
        <f t="shared" si="15"/>
        <v>396.44000000000005</v>
      </c>
      <c r="AD68" s="60">
        <f t="shared" si="15"/>
        <v>417.64000000000004</v>
      </c>
      <c r="AE68" s="60">
        <f t="shared" si="15"/>
        <v>426.54</v>
      </c>
      <c r="AF68" s="60">
        <f t="shared" si="15"/>
        <v>394.03999999999996</v>
      </c>
      <c r="AG68" s="61">
        <f t="shared" si="15"/>
        <v>489.91</v>
      </c>
      <c r="AH68" s="47">
        <f t="shared" si="2"/>
        <v>426.54</v>
      </c>
      <c r="AI68" s="48">
        <f t="shared" si="3"/>
        <v>285.74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13.9</v>
      </c>
      <c r="T69" s="45">
        <v>13.7</v>
      </c>
      <c r="U69" s="45">
        <v>13.8</v>
      </c>
      <c r="V69" s="45">
        <v>29.8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29.8</v>
      </c>
      <c r="AI69" s="48">
        <f t="shared" si="3"/>
        <v>0</v>
      </c>
      <c r="AK69" s="50"/>
    </row>
    <row r="70" spans="1:40" x14ac:dyDescent="0.25">
      <c r="A70" s="53" t="s">
        <v>78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5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6.3</v>
      </c>
      <c r="T70" s="64">
        <v>7.4</v>
      </c>
      <c r="U70" s="64">
        <v>5.9</v>
      </c>
      <c r="V70" s="64">
        <v>15.1</v>
      </c>
      <c r="W70" s="64">
        <v>6.9</v>
      </c>
      <c r="X70" s="64">
        <v>0</v>
      </c>
      <c r="Y70" s="64">
        <v>0</v>
      </c>
      <c r="Z70" s="64">
        <v>0</v>
      </c>
      <c r="AA70" s="64">
        <v>3.8</v>
      </c>
      <c r="AB70" s="64">
        <v>0</v>
      </c>
      <c r="AC70" s="64">
        <v>0</v>
      </c>
      <c r="AD70" s="64">
        <v>0</v>
      </c>
      <c r="AE70" s="64">
        <v>4.0999999999999996</v>
      </c>
      <c r="AF70" s="64">
        <v>0</v>
      </c>
      <c r="AG70" s="54">
        <v>32</v>
      </c>
      <c r="AH70" s="47">
        <f t="shared" si="2"/>
        <v>15.1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66">
        <v>0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2.2999999999999998</v>
      </c>
      <c r="T71" s="66">
        <v>2.7</v>
      </c>
      <c r="U71" s="66">
        <v>2.1</v>
      </c>
      <c r="V71" s="66">
        <v>5.5</v>
      </c>
      <c r="W71" s="66">
        <v>2.5</v>
      </c>
      <c r="X71" s="66">
        <v>0</v>
      </c>
      <c r="Y71" s="66">
        <v>0</v>
      </c>
      <c r="Z71" s="66">
        <v>0</v>
      </c>
      <c r="AA71" s="66">
        <v>1.4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5.5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 t="shared" ref="B72:C72" si="16">B69+B70+B71</f>
        <v>0</v>
      </c>
      <c r="C72" s="60">
        <f t="shared" si="16"/>
        <v>0</v>
      </c>
      <c r="D72" s="60">
        <f t="shared" ref="D72" si="17">D69+D70+D71</f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8">M69+M70+M71</f>
        <v>0</v>
      </c>
      <c r="N72" s="60">
        <f t="shared" si="18"/>
        <v>0</v>
      </c>
      <c r="O72" s="60">
        <f t="shared" si="18"/>
        <v>0</v>
      </c>
      <c r="P72" s="60">
        <f t="shared" si="18"/>
        <v>0</v>
      </c>
      <c r="Q72" s="60">
        <f t="shared" si="18"/>
        <v>0</v>
      </c>
      <c r="R72" s="60">
        <f t="shared" si="18"/>
        <v>0</v>
      </c>
      <c r="S72" s="60">
        <f t="shared" si="18"/>
        <v>22.5</v>
      </c>
      <c r="T72" s="60">
        <f t="shared" si="18"/>
        <v>23.8</v>
      </c>
      <c r="U72" s="60">
        <f t="shared" si="18"/>
        <v>21.800000000000004</v>
      </c>
      <c r="V72" s="60">
        <f t="shared" si="18"/>
        <v>50.4</v>
      </c>
      <c r="W72" s="60">
        <f t="shared" si="18"/>
        <v>9.4</v>
      </c>
      <c r="X72" s="60">
        <f t="shared" si="18"/>
        <v>0</v>
      </c>
      <c r="Y72" s="60">
        <f t="shared" si="18"/>
        <v>0</v>
      </c>
      <c r="Z72" s="60">
        <f t="shared" si="18"/>
        <v>0</v>
      </c>
      <c r="AA72" s="60">
        <f t="shared" si="18"/>
        <v>5.1999999999999993</v>
      </c>
      <c r="AB72" s="60">
        <f t="shared" si="18"/>
        <v>0</v>
      </c>
      <c r="AC72" s="60">
        <f t="shared" si="18"/>
        <v>0</v>
      </c>
      <c r="AD72" s="60">
        <f t="shared" si="18"/>
        <v>0</v>
      </c>
      <c r="AE72" s="60">
        <f>AE69+AE70+AE71</f>
        <v>4.0999999999999996</v>
      </c>
      <c r="AF72" s="60">
        <f t="shared" si="18"/>
        <v>0</v>
      </c>
      <c r="AG72" s="61">
        <f>SUM(AG69:AG71)</f>
        <v>106</v>
      </c>
      <c r="AH72" s="47">
        <f t="shared" si="2"/>
        <v>50.4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28.7</v>
      </c>
      <c r="C73" s="45">
        <v>28.6</v>
      </c>
      <c r="D73" s="45">
        <v>26.4</v>
      </c>
      <c r="E73" s="45">
        <v>21.7</v>
      </c>
      <c r="F73" s="45">
        <v>38.700000000000003</v>
      </c>
      <c r="G73" s="45">
        <v>37.700000000000003</v>
      </c>
      <c r="H73" s="45">
        <v>29.7</v>
      </c>
      <c r="I73" s="45">
        <v>27.6</v>
      </c>
      <c r="J73" s="45">
        <v>13.5</v>
      </c>
      <c r="K73" s="45">
        <v>2.8</v>
      </c>
      <c r="L73" s="45">
        <v>6</v>
      </c>
      <c r="M73" s="45">
        <v>13</v>
      </c>
      <c r="N73" s="45">
        <v>7.1</v>
      </c>
      <c r="O73" s="45">
        <v>16.100000000000001</v>
      </c>
      <c r="P73" s="45">
        <v>-1</v>
      </c>
      <c r="Q73" s="45">
        <v>-1</v>
      </c>
      <c r="R73" s="45">
        <v>35.700000000000003</v>
      </c>
      <c r="S73" s="45">
        <v>63.5</v>
      </c>
      <c r="T73" s="45">
        <v>14.2</v>
      </c>
      <c r="U73" s="45">
        <v>26.2</v>
      </c>
      <c r="V73" s="45">
        <v>45.2</v>
      </c>
      <c r="W73" s="45">
        <v>32.5</v>
      </c>
      <c r="X73" s="45">
        <v>32.9</v>
      </c>
      <c r="Y73" s="45">
        <v>30.5</v>
      </c>
      <c r="Z73" s="45">
        <v>11.8</v>
      </c>
      <c r="AA73" s="45">
        <v>37.9</v>
      </c>
      <c r="AB73" s="45">
        <v>41.2</v>
      </c>
      <c r="AC73" s="45">
        <v>45</v>
      </c>
      <c r="AD73" s="45">
        <v>45.3</v>
      </c>
      <c r="AE73" s="45">
        <v>43.8</v>
      </c>
      <c r="AF73" s="45">
        <v>41.1</v>
      </c>
      <c r="AG73" s="51"/>
      <c r="AH73" s="47">
        <f t="shared" si="2"/>
        <v>63.5</v>
      </c>
      <c r="AI73" s="48">
        <f t="shared" si="3"/>
        <v>-1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-280</v>
      </c>
      <c r="C75" s="64">
        <v>-278.3</v>
      </c>
      <c r="D75" s="64">
        <v>-267</v>
      </c>
      <c r="E75" s="64">
        <v>-286</v>
      </c>
      <c r="F75" s="64">
        <v>-71</v>
      </c>
      <c r="G75" s="64">
        <v>-289</v>
      </c>
      <c r="H75" s="64">
        <v>-323</v>
      </c>
      <c r="I75" s="64">
        <v>-321</v>
      </c>
      <c r="J75" s="64">
        <v>-352.6</v>
      </c>
      <c r="K75" s="64">
        <v>-351</v>
      </c>
      <c r="L75" s="64">
        <v>-330.5</v>
      </c>
      <c r="M75" s="64">
        <v>-347.4</v>
      </c>
      <c r="N75" s="64">
        <v>-329</v>
      </c>
      <c r="O75" s="64">
        <v>-311</v>
      </c>
      <c r="P75" s="64">
        <v>-220</v>
      </c>
      <c r="Q75" s="64">
        <v>-170</v>
      </c>
      <c r="R75" s="64">
        <v>-150</v>
      </c>
      <c r="S75" s="64">
        <v>-168.8</v>
      </c>
      <c r="T75" s="64">
        <v>-192.4</v>
      </c>
      <c r="U75" s="64">
        <v>-255.6</v>
      </c>
      <c r="V75" s="64">
        <v>-347.5</v>
      </c>
      <c r="W75" s="64">
        <v>-346.9</v>
      </c>
      <c r="X75" s="64">
        <v>-314.60000000000002</v>
      </c>
      <c r="Y75" s="64">
        <v>-280.5</v>
      </c>
      <c r="Z75" s="64">
        <v>-319.8</v>
      </c>
      <c r="AA75" s="64">
        <v>-271.39999999999998</v>
      </c>
      <c r="AB75" s="64">
        <v>-255</v>
      </c>
      <c r="AC75" s="64">
        <v>-241</v>
      </c>
      <c r="AD75" s="64">
        <v>-267.10000000000002</v>
      </c>
      <c r="AE75" s="64">
        <v>-246.5</v>
      </c>
      <c r="AF75" s="64">
        <v>-234</v>
      </c>
      <c r="AG75" s="74"/>
      <c r="AH75" s="47">
        <f t="shared" si="2"/>
        <v>-71</v>
      </c>
      <c r="AI75" s="48">
        <f t="shared" si="3"/>
        <v>-352.6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75">
        <v>0</v>
      </c>
      <c r="H76" s="75">
        <v>0</v>
      </c>
      <c r="I76" s="75">
        <v>0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19">MAX(B77:AF77)</f>
        <v>0</v>
      </c>
      <c r="AI77" s="48">
        <f t="shared" ref="AI77:AI120" si="20">MIN(B77:AF77)</f>
        <v>0</v>
      </c>
      <c r="AK77" s="50"/>
    </row>
    <row r="78" spans="1:40" x14ac:dyDescent="0.25">
      <c r="A78" s="53" t="s">
        <v>86</v>
      </c>
      <c r="B78" s="76">
        <v>5</v>
      </c>
      <c r="C78" s="76">
        <v>5</v>
      </c>
      <c r="D78" s="76">
        <v>5</v>
      </c>
      <c r="E78" s="76">
        <v>5</v>
      </c>
      <c r="F78" s="76">
        <v>5</v>
      </c>
      <c r="G78" s="76">
        <v>5</v>
      </c>
      <c r="H78" s="76">
        <v>5</v>
      </c>
      <c r="I78" s="76">
        <v>5</v>
      </c>
      <c r="J78" s="76">
        <v>5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74"/>
      <c r="AH78" s="47">
        <f t="shared" si="19"/>
        <v>5</v>
      </c>
      <c r="AI78" s="48">
        <f t="shared" si="20"/>
        <v>0</v>
      </c>
      <c r="AK78" s="50"/>
    </row>
    <row r="79" spans="1:40" ht="15.75" thickBot="1" x14ac:dyDescent="0.3">
      <c r="A79" s="53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19"/>
        <v>0</v>
      </c>
      <c r="AI79" s="48">
        <f t="shared" si="20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76">
        <v>0</v>
      </c>
      <c r="C80" s="76">
        <v>0</v>
      </c>
      <c r="D80" s="76">
        <v>0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76">
        <v>0</v>
      </c>
      <c r="K80" s="76">
        <v>0</v>
      </c>
      <c r="L80" s="76">
        <v>0</v>
      </c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19"/>
        <v>0</v>
      </c>
      <c r="AI80" s="48">
        <f t="shared" si="20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19"/>
        <v>0</v>
      </c>
      <c r="AI81" s="48">
        <f t="shared" si="20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19"/>
        <v>0</v>
      </c>
      <c r="AI82" s="48">
        <f t="shared" si="20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19"/>
        <v>0</v>
      </c>
      <c r="AI83" s="48">
        <f t="shared" si="20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C84" si="21">SUMIF(B73:B83,"&gt;0")</f>
        <v>33.700000000000003</v>
      </c>
      <c r="C84" s="60">
        <f t="shared" si="21"/>
        <v>33.6</v>
      </c>
      <c r="D84" s="60">
        <f t="shared" ref="D84" si="22">SUMIF(D73:D83,"&gt;0")</f>
        <v>31.4</v>
      </c>
      <c r="E84" s="60">
        <f t="shared" ref="E84:AF84" si="23">SUMIF(E73:E83,"&gt;0")</f>
        <v>26.7</v>
      </c>
      <c r="F84" s="60">
        <f t="shared" si="23"/>
        <v>43.7</v>
      </c>
      <c r="G84" s="60">
        <f t="shared" si="23"/>
        <v>42.7</v>
      </c>
      <c r="H84" s="60">
        <f t="shared" si="23"/>
        <v>34.700000000000003</v>
      </c>
      <c r="I84" s="60">
        <f t="shared" si="23"/>
        <v>32.6</v>
      </c>
      <c r="J84" s="60">
        <f t="shared" si="23"/>
        <v>18.5</v>
      </c>
      <c r="K84" s="60">
        <f t="shared" si="23"/>
        <v>2.8</v>
      </c>
      <c r="L84" s="60">
        <f t="shared" si="23"/>
        <v>6</v>
      </c>
      <c r="M84" s="60">
        <f>SUMIF(M73:M83,"&gt;0")</f>
        <v>13</v>
      </c>
      <c r="N84" s="60">
        <f t="shared" si="23"/>
        <v>7.1</v>
      </c>
      <c r="O84" s="60">
        <f t="shared" si="23"/>
        <v>16.100000000000001</v>
      </c>
      <c r="P84" s="60">
        <f t="shared" si="23"/>
        <v>0</v>
      </c>
      <c r="Q84" s="60">
        <f t="shared" si="23"/>
        <v>0</v>
      </c>
      <c r="R84" s="60">
        <f t="shared" si="23"/>
        <v>35.700000000000003</v>
      </c>
      <c r="S84" s="60">
        <f t="shared" si="23"/>
        <v>63.5</v>
      </c>
      <c r="T84" s="60">
        <f t="shared" si="23"/>
        <v>14.2</v>
      </c>
      <c r="U84" s="60">
        <f t="shared" si="23"/>
        <v>26.2</v>
      </c>
      <c r="V84" s="60">
        <f t="shared" si="23"/>
        <v>45.2</v>
      </c>
      <c r="W84" s="60">
        <f t="shared" si="23"/>
        <v>32.5</v>
      </c>
      <c r="X84" s="60">
        <f t="shared" si="23"/>
        <v>32.9</v>
      </c>
      <c r="Y84" s="60">
        <f t="shared" si="23"/>
        <v>30.5</v>
      </c>
      <c r="Z84" s="60">
        <f t="shared" si="23"/>
        <v>11.8</v>
      </c>
      <c r="AA84" s="60">
        <f t="shared" si="23"/>
        <v>37.9</v>
      </c>
      <c r="AB84" s="60">
        <f t="shared" si="23"/>
        <v>41.2</v>
      </c>
      <c r="AC84" s="60">
        <f t="shared" si="23"/>
        <v>45</v>
      </c>
      <c r="AD84" s="60">
        <f t="shared" si="23"/>
        <v>45.3</v>
      </c>
      <c r="AE84" s="60">
        <f t="shared" si="23"/>
        <v>43.8</v>
      </c>
      <c r="AF84" s="60">
        <f t="shared" si="23"/>
        <v>41.1</v>
      </c>
      <c r="AG84" s="87">
        <f>SUM(AG73:AG83)</f>
        <v>0</v>
      </c>
      <c r="AH84" s="47">
        <f t="shared" si="19"/>
        <v>63.5</v>
      </c>
      <c r="AI84" s="48">
        <f t="shared" si="20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9"/>
        <v>0</v>
      </c>
      <c r="AI85" s="48">
        <f t="shared" si="20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9"/>
        <v>0</v>
      </c>
      <c r="AI86" s="48">
        <f t="shared" si="20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9"/>
        <v>0</v>
      </c>
      <c r="AI87" s="48">
        <f t="shared" si="20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9"/>
        <v>0</v>
      </c>
      <c r="AI88" s="48">
        <f t="shared" si="20"/>
        <v>0</v>
      </c>
    </row>
    <row r="89" spans="1:40" ht="15.75" thickBot="1" x14ac:dyDescent="0.3">
      <c r="A89" s="73" t="s">
        <v>100</v>
      </c>
      <c r="B89" s="94">
        <f t="shared" ref="B89:C89" si="24">B50+B54+B72+B68+B84+B88</f>
        <v>1983.5400000000002</v>
      </c>
      <c r="C89" s="94">
        <f t="shared" si="24"/>
        <v>1958.74</v>
      </c>
      <c r="D89" s="94">
        <f t="shared" ref="D89" si="25">D50+D54+D72+D68+D84+D88</f>
        <v>1937.9400000000003</v>
      </c>
      <c r="E89" s="94">
        <f t="shared" ref="E89:AG89" si="26">E50+E54+E72+E68+E84+E88</f>
        <v>1854.4400000000003</v>
      </c>
      <c r="F89" s="94">
        <f t="shared" si="26"/>
        <v>1613.24</v>
      </c>
      <c r="G89" s="94">
        <f t="shared" si="26"/>
        <v>1807.5400000000002</v>
      </c>
      <c r="H89" s="94">
        <f t="shared" si="26"/>
        <v>1843.5400000000002</v>
      </c>
      <c r="I89" s="94">
        <f t="shared" si="26"/>
        <v>1841.44</v>
      </c>
      <c r="J89" s="94">
        <f t="shared" si="26"/>
        <v>1827.3400000000001</v>
      </c>
      <c r="K89" s="94">
        <f t="shared" si="26"/>
        <v>1870.3400000000001</v>
      </c>
      <c r="L89" s="94">
        <f t="shared" si="26"/>
        <v>1891.94</v>
      </c>
      <c r="M89" s="94">
        <f t="shared" si="26"/>
        <v>1922.04</v>
      </c>
      <c r="N89" s="94">
        <f t="shared" si="26"/>
        <v>1874.04</v>
      </c>
      <c r="O89" s="94">
        <f t="shared" si="26"/>
        <v>1901.7399999999998</v>
      </c>
      <c r="P89" s="94">
        <f t="shared" si="26"/>
        <v>1864.7400000000002</v>
      </c>
      <c r="Q89" s="94">
        <f t="shared" si="26"/>
        <v>1864.7400000000002</v>
      </c>
      <c r="R89" s="94">
        <f t="shared" si="26"/>
        <v>1763.8400000000001</v>
      </c>
      <c r="S89" s="94">
        <f t="shared" si="26"/>
        <v>1811.64</v>
      </c>
      <c r="T89" s="94">
        <f t="shared" si="26"/>
        <v>1868.14</v>
      </c>
      <c r="U89" s="94">
        <f t="shared" si="26"/>
        <v>1883.04</v>
      </c>
      <c r="V89" s="94">
        <f t="shared" si="26"/>
        <v>2027.9400000000003</v>
      </c>
      <c r="W89" s="94">
        <f t="shared" si="26"/>
        <v>1950.64</v>
      </c>
      <c r="X89" s="94">
        <f t="shared" si="26"/>
        <v>1926.0400000000002</v>
      </c>
      <c r="Y89" s="94">
        <f t="shared" si="26"/>
        <v>1902.94</v>
      </c>
      <c r="Z89" s="94">
        <f t="shared" si="26"/>
        <v>1958.14</v>
      </c>
      <c r="AA89" s="94">
        <f t="shared" si="26"/>
        <v>2007.1400000000003</v>
      </c>
      <c r="AB89" s="94">
        <f t="shared" si="26"/>
        <v>2012.4400000000003</v>
      </c>
      <c r="AC89" s="94">
        <f t="shared" si="26"/>
        <v>2016.2400000000002</v>
      </c>
      <c r="AD89" s="94">
        <f t="shared" si="26"/>
        <v>1975.14</v>
      </c>
      <c r="AE89" s="94">
        <f t="shared" si="26"/>
        <v>1982.6399999999999</v>
      </c>
      <c r="AF89" s="94">
        <f t="shared" si="26"/>
        <v>1908.34</v>
      </c>
      <c r="AG89" s="61">
        <f t="shared" si="26"/>
        <v>2111.5500000000002</v>
      </c>
      <c r="AH89" s="47">
        <f t="shared" si="19"/>
        <v>2027.9400000000003</v>
      </c>
      <c r="AI89" s="48">
        <f t="shared" si="20"/>
        <v>1613.24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9"/>
        <v>0</v>
      </c>
      <c r="AI90" s="48">
        <f t="shared" si="20"/>
        <v>0</v>
      </c>
    </row>
    <row r="91" spans="1:40" ht="15.75" thickBot="1" x14ac:dyDescent="0.3">
      <c r="A91" s="73" t="s">
        <v>102</v>
      </c>
      <c r="B91" s="94">
        <f t="shared" ref="B91:C91" si="27">B89+B90</f>
        <v>1983.5400000000002</v>
      </c>
      <c r="C91" s="94">
        <f t="shared" si="27"/>
        <v>1958.74</v>
      </c>
      <c r="D91" s="94">
        <f t="shared" ref="D91" si="28">D89+D90</f>
        <v>1937.9400000000003</v>
      </c>
      <c r="E91" s="94">
        <f t="shared" ref="E91:AF91" si="29">E89+E90</f>
        <v>1854.4400000000003</v>
      </c>
      <c r="F91" s="94">
        <f t="shared" si="29"/>
        <v>1613.24</v>
      </c>
      <c r="G91" s="94">
        <f t="shared" si="29"/>
        <v>1807.5400000000002</v>
      </c>
      <c r="H91" s="94">
        <f t="shared" si="29"/>
        <v>1843.5400000000002</v>
      </c>
      <c r="I91" s="94">
        <f t="shared" si="29"/>
        <v>1841.44</v>
      </c>
      <c r="J91" s="94">
        <f t="shared" si="29"/>
        <v>1827.3400000000001</v>
      </c>
      <c r="K91" s="94">
        <f t="shared" si="29"/>
        <v>1870.3400000000001</v>
      </c>
      <c r="L91" s="94">
        <f t="shared" si="29"/>
        <v>1891.94</v>
      </c>
      <c r="M91" s="94">
        <f t="shared" si="29"/>
        <v>1922.04</v>
      </c>
      <c r="N91" s="94">
        <f t="shared" si="29"/>
        <v>1874.04</v>
      </c>
      <c r="O91" s="94">
        <f t="shared" si="29"/>
        <v>1901.7399999999998</v>
      </c>
      <c r="P91" s="94">
        <f t="shared" si="29"/>
        <v>1864.7400000000002</v>
      </c>
      <c r="Q91" s="94">
        <f t="shared" si="29"/>
        <v>1864.7400000000002</v>
      </c>
      <c r="R91" s="94">
        <f t="shared" si="29"/>
        <v>1763.8400000000001</v>
      </c>
      <c r="S91" s="94">
        <f t="shared" si="29"/>
        <v>1811.64</v>
      </c>
      <c r="T91" s="94">
        <f t="shared" si="29"/>
        <v>1868.14</v>
      </c>
      <c r="U91" s="94">
        <f t="shared" si="29"/>
        <v>1883.04</v>
      </c>
      <c r="V91" s="94">
        <f t="shared" si="29"/>
        <v>2027.9400000000003</v>
      </c>
      <c r="W91" s="94">
        <f t="shared" si="29"/>
        <v>1950.64</v>
      </c>
      <c r="X91" s="94">
        <f t="shared" si="29"/>
        <v>1926.0400000000002</v>
      </c>
      <c r="Y91" s="94">
        <f t="shared" si="29"/>
        <v>1902.94</v>
      </c>
      <c r="Z91" s="94">
        <f t="shared" si="29"/>
        <v>1958.14</v>
      </c>
      <c r="AA91" s="94">
        <f t="shared" si="29"/>
        <v>2007.1400000000003</v>
      </c>
      <c r="AB91" s="94">
        <f t="shared" si="29"/>
        <v>2012.4400000000003</v>
      </c>
      <c r="AC91" s="94">
        <f t="shared" si="29"/>
        <v>2016.2400000000002</v>
      </c>
      <c r="AD91" s="94">
        <f t="shared" si="29"/>
        <v>1975.14</v>
      </c>
      <c r="AE91" s="94">
        <f t="shared" si="29"/>
        <v>1982.6399999999999</v>
      </c>
      <c r="AF91" s="94">
        <f t="shared" si="29"/>
        <v>1908.34</v>
      </c>
      <c r="AG91" s="87">
        <f>AG88+AG84+AG72+AG68+AG50+AG90</f>
        <v>1573.45</v>
      </c>
      <c r="AH91" s="47">
        <f t="shared" si="19"/>
        <v>2027.9400000000003</v>
      </c>
      <c r="AI91" s="48">
        <f t="shared" si="20"/>
        <v>1613.24</v>
      </c>
    </row>
    <row r="92" spans="1:40" ht="15.75" thickBot="1" x14ac:dyDescent="0.3">
      <c r="A92" s="73" t="s">
        <v>103</v>
      </c>
      <c r="B92" s="94">
        <f t="shared" ref="B92:C92" si="30">B91-B99</f>
        <v>1983.5400000000002</v>
      </c>
      <c r="C92" s="94">
        <f t="shared" si="30"/>
        <v>1958.74</v>
      </c>
      <c r="D92" s="94">
        <f t="shared" ref="D92" si="31">D91-D99</f>
        <v>1937.9400000000003</v>
      </c>
      <c r="E92" s="94">
        <f t="shared" ref="E92:AF92" si="32">E91-E99</f>
        <v>1854.4400000000003</v>
      </c>
      <c r="F92" s="94">
        <f t="shared" si="32"/>
        <v>1613.24</v>
      </c>
      <c r="G92" s="94">
        <f t="shared" si="32"/>
        <v>1807.5400000000002</v>
      </c>
      <c r="H92" s="94">
        <f t="shared" si="32"/>
        <v>1843.5400000000002</v>
      </c>
      <c r="I92" s="94">
        <f t="shared" si="32"/>
        <v>1841.44</v>
      </c>
      <c r="J92" s="94">
        <f t="shared" si="32"/>
        <v>1827.3400000000001</v>
      </c>
      <c r="K92" s="94">
        <f t="shared" si="32"/>
        <v>1870.3400000000001</v>
      </c>
      <c r="L92" s="94">
        <f t="shared" si="32"/>
        <v>1891.94</v>
      </c>
      <c r="M92" s="94">
        <f t="shared" si="32"/>
        <v>1922.04</v>
      </c>
      <c r="N92" s="94">
        <f t="shared" si="32"/>
        <v>1874.04</v>
      </c>
      <c r="O92" s="94">
        <f t="shared" si="32"/>
        <v>1901.7399999999998</v>
      </c>
      <c r="P92" s="94">
        <f t="shared" si="32"/>
        <v>1864.7400000000002</v>
      </c>
      <c r="Q92" s="94">
        <f t="shared" si="32"/>
        <v>1864.7400000000002</v>
      </c>
      <c r="R92" s="94">
        <f t="shared" si="32"/>
        <v>1763.8400000000001</v>
      </c>
      <c r="S92" s="94">
        <f t="shared" si="32"/>
        <v>1811.64</v>
      </c>
      <c r="T92" s="94">
        <f t="shared" si="32"/>
        <v>1868.14</v>
      </c>
      <c r="U92" s="94">
        <f t="shared" si="32"/>
        <v>1883.04</v>
      </c>
      <c r="V92" s="94">
        <f t="shared" si="32"/>
        <v>2027.9400000000003</v>
      </c>
      <c r="W92" s="94">
        <f t="shared" si="32"/>
        <v>1950.64</v>
      </c>
      <c r="X92" s="94">
        <f t="shared" si="32"/>
        <v>1926.0400000000002</v>
      </c>
      <c r="Y92" s="94">
        <f t="shared" si="32"/>
        <v>1902.94</v>
      </c>
      <c r="Z92" s="94">
        <f t="shared" si="32"/>
        <v>1958.14</v>
      </c>
      <c r="AA92" s="94">
        <f t="shared" si="32"/>
        <v>2007.1400000000003</v>
      </c>
      <c r="AB92" s="94">
        <f t="shared" si="32"/>
        <v>2012.4400000000003</v>
      </c>
      <c r="AC92" s="94">
        <f t="shared" si="32"/>
        <v>2016.2400000000002</v>
      </c>
      <c r="AD92" s="94">
        <f t="shared" si="32"/>
        <v>1975.14</v>
      </c>
      <c r="AE92" s="94">
        <f t="shared" si="32"/>
        <v>1982.6399999999999</v>
      </c>
      <c r="AF92" s="94">
        <f t="shared" si="32"/>
        <v>1908.34</v>
      </c>
      <c r="AG92" s="87"/>
      <c r="AH92" s="47">
        <f t="shared" si="19"/>
        <v>2027.9400000000003</v>
      </c>
      <c r="AI92" s="48">
        <f t="shared" si="20"/>
        <v>1613.24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9"/>
        <v>0</v>
      </c>
      <c r="AI93" s="48">
        <f t="shared" si="20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9"/>
        <v>0</v>
      </c>
      <c r="AI94" s="48">
        <f t="shared" si="20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9"/>
        <v>0</v>
      </c>
      <c r="AI95" s="48">
        <f t="shared" si="20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9"/>
        <v>0</v>
      </c>
      <c r="AI96" s="48">
        <f t="shared" si="20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9"/>
        <v>0</v>
      </c>
      <c r="AI97" s="48">
        <f t="shared" si="20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9"/>
        <v>0</v>
      </c>
      <c r="AI98" s="48">
        <f t="shared" si="20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19"/>
        <v>0</v>
      </c>
      <c r="AI99" s="48">
        <f t="shared" si="20"/>
        <v>0</v>
      </c>
      <c r="AK99" s="50"/>
    </row>
    <row r="100" spans="1:37" ht="15.75" thickBot="1" x14ac:dyDescent="0.3">
      <c r="A100" s="73" t="s">
        <v>108</v>
      </c>
      <c r="B100" s="60">
        <f t="shared" ref="B100:C100" si="33">B84-B99</f>
        <v>33.700000000000003</v>
      </c>
      <c r="C100" s="60">
        <f t="shared" si="33"/>
        <v>33.6</v>
      </c>
      <c r="D100" s="60">
        <f t="shared" ref="D100" si="34">D84-D99</f>
        <v>31.4</v>
      </c>
      <c r="E100" s="60">
        <f t="shared" ref="E100:AF100" si="35">E84-E99</f>
        <v>26.7</v>
      </c>
      <c r="F100" s="60">
        <f t="shared" si="35"/>
        <v>43.7</v>
      </c>
      <c r="G100" s="60">
        <f t="shared" si="35"/>
        <v>42.7</v>
      </c>
      <c r="H100" s="60">
        <f t="shared" si="35"/>
        <v>34.700000000000003</v>
      </c>
      <c r="I100" s="60">
        <f t="shared" si="35"/>
        <v>32.6</v>
      </c>
      <c r="J100" s="60">
        <f t="shared" si="35"/>
        <v>18.5</v>
      </c>
      <c r="K100" s="60">
        <f t="shared" si="35"/>
        <v>2.8</v>
      </c>
      <c r="L100" s="60">
        <f t="shared" si="35"/>
        <v>6</v>
      </c>
      <c r="M100" s="60">
        <f t="shared" si="35"/>
        <v>13</v>
      </c>
      <c r="N100" s="60">
        <f t="shared" si="35"/>
        <v>7.1</v>
      </c>
      <c r="O100" s="60">
        <f t="shared" si="35"/>
        <v>16.100000000000001</v>
      </c>
      <c r="P100" s="60">
        <f t="shared" si="35"/>
        <v>0</v>
      </c>
      <c r="Q100" s="60">
        <f t="shared" si="35"/>
        <v>0</v>
      </c>
      <c r="R100" s="60">
        <f t="shared" si="35"/>
        <v>35.700000000000003</v>
      </c>
      <c r="S100" s="60">
        <f t="shared" si="35"/>
        <v>63.5</v>
      </c>
      <c r="T100" s="60">
        <f t="shared" si="35"/>
        <v>14.2</v>
      </c>
      <c r="U100" s="60">
        <f t="shared" si="35"/>
        <v>26.2</v>
      </c>
      <c r="V100" s="60">
        <f t="shared" si="35"/>
        <v>45.2</v>
      </c>
      <c r="W100" s="60">
        <f t="shared" si="35"/>
        <v>32.5</v>
      </c>
      <c r="X100" s="60">
        <f t="shared" si="35"/>
        <v>32.9</v>
      </c>
      <c r="Y100" s="60">
        <f t="shared" si="35"/>
        <v>30.5</v>
      </c>
      <c r="Z100" s="60">
        <f t="shared" si="35"/>
        <v>11.8</v>
      </c>
      <c r="AA100" s="60">
        <f t="shared" si="35"/>
        <v>37.9</v>
      </c>
      <c r="AB100" s="60">
        <f t="shared" si="35"/>
        <v>41.2</v>
      </c>
      <c r="AC100" s="60">
        <f t="shared" si="35"/>
        <v>45</v>
      </c>
      <c r="AD100" s="60">
        <f t="shared" si="35"/>
        <v>45.3</v>
      </c>
      <c r="AE100" s="60">
        <f t="shared" si="35"/>
        <v>43.8</v>
      </c>
      <c r="AF100" s="60">
        <f t="shared" si="35"/>
        <v>41.1</v>
      </c>
      <c r="AG100" s="87"/>
      <c r="AH100" s="47">
        <f t="shared" si="19"/>
        <v>63.5</v>
      </c>
      <c r="AI100" s="48">
        <f t="shared" si="20"/>
        <v>0</v>
      </c>
    </row>
    <row r="101" spans="1:37" x14ac:dyDescent="0.25">
      <c r="A101" s="99" t="s">
        <v>109</v>
      </c>
      <c r="B101" s="100">
        <v>50</v>
      </c>
      <c r="C101" s="100">
        <v>49.89</v>
      </c>
      <c r="D101" s="100">
        <v>50</v>
      </c>
      <c r="E101" s="100">
        <v>50.015999999999998</v>
      </c>
      <c r="F101" s="100">
        <v>50.009</v>
      </c>
      <c r="G101" s="100">
        <v>50.06</v>
      </c>
      <c r="H101" s="100">
        <v>50.054000000000002</v>
      </c>
      <c r="I101" s="100">
        <v>49.996000000000002</v>
      </c>
      <c r="J101" s="100">
        <v>49.963000000000001</v>
      </c>
      <c r="K101" s="100">
        <v>50.045999999999999</v>
      </c>
      <c r="L101" s="100">
        <v>50.036999999999999</v>
      </c>
      <c r="M101" s="100">
        <v>50.023000000000003</v>
      </c>
      <c r="N101" s="100">
        <v>50.023000000000003</v>
      </c>
      <c r="O101" s="100">
        <v>50.021000000000001</v>
      </c>
      <c r="P101" s="100">
        <v>49.98</v>
      </c>
      <c r="Q101" s="100">
        <v>49.98</v>
      </c>
      <c r="R101" s="100">
        <v>49.720999999999997</v>
      </c>
      <c r="S101" s="100">
        <v>49.892000000000003</v>
      </c>
      <c r="T101" s="100">
        <v>50.026000000000003</v>
      </c>
      <c r="U101" s="100">
        <v>49.965000000000003</v>
      </c>
      <c r="V101" s="100">
        <v>49.906999999999996</v>
      </c>
      <c r="W101" s="100">
        <v>50.015000000000001</v>
      </c>
      <c r="X101" s="100">
        <v>49.97</v>
      </c>
      <c r="Y101" s="100">
        <v>50.061999999999998</v>
      </c>
      <c r="Z101" s="100">
        <v>50.073</v>
      </c>
      <c r="AA101" s="100">
        <v>49.996000000000002</v>
      </c>
      <c r="AB101" s="100">
        <v>50.04</v>
      </c>
      <c r="AC101" s="100">
        <v>50.015999999999998</v>
      </c>
      <c r="AD101" s="100">
        <v>50.058999999999997</v>
      </c>
      <c r="AE101" s="100">
        <v>50.072000000000003</v>
      </c>
      <c r="AF101" s="100">
        <v>50.055999999999997</v>
      </c>
      <c r="AG101" s="101"/>
      <c r="AH101" s="47">
        <f t="shared" si="19"/>
        <v>50.073</v>
      </c>
      <c r="AI101" s="48">
        <f t="shared" si="20"/>
        <v>49.720999999999997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 t="s">
        <v>286</v>
      </c>
      <c r="AA102" s="64"/>
      <c r="AB102" s="64"/>
      <c r="AC102" s="64"/>
      <c r="AD102" s="64"/>
      <c r="AE102" s="64"/>
      <c r="AF102" s="64"/>
      <c r="AG102" s="103"/>
      <c r="AH102" s="47">
        <f t="shared" si="19"/>
        <v>0</v>
      </c>
      <c r="AI102" s="48">
        <f t="shared" si="20"/>
        <v>0</v>
      </c>
    </row>
    <row r="103" spans="1:37" x14ac:dyDescent="0.25">
      <c r="A103" s="102" t="s">
        <v>111</v>
      </c>
      <c r="B103" s="64">
        <v>126.1</v>
      </c>
      <c r="C103" s="64">
        <v>126.6</v>
      </c>
      <c r="D103" s="64">
        <v>127.7</v>
      </c>
      <c r="E103" s="64">
        <v>128.80000000000001</v>
      </c>
      <c r="F103" s="64">
        <v>128.9</v>
      </c>
      <c r="G103" s="64">
        <v>127.8</v>
      </c>
      <c r="H103" s="64">
        <v>128.6</v>
      </c>
      <c r="I103" s="64">
        <v>128.80000000000001</v>
      </c>
      <c r="J103" s="64">
        <v>127.1</v>
      </c>
      <c r="K103" s="64">
        <v>125.8</v>
      </c>
      <c r="L103" s="64">
        <v>125.2</v>
      </c>
      <c r="M103" s="64">
        <v>125.4</v>
      </c>
      <c r="N103" s="64">
        <v>125.4</v>
      </c>
      <c r="O103" s="64">
        <v>125.3</v>
      </c>
      <c r="P103" s="64">
        <v>123.1</v>
      </c>
      <c r="Q103" s="64">
        <v>123.1</v>
      </c>
      <c r="R103" s="64">
        <v>125.7</v>
      </c>
      <c r="S103" s="64">
        <v>125</v>
      </c>
      <c r="T103" s="64">
        <v>124</v>
      </c>
      <c r="U103" s="64">
        <v>125</v>
      </c>
      <c r="V103" s="64">
        <v>128.19999999999999</v>
      </c>
      <c r="W103" s="64">
        <v>128.30000000000001</v>
      </c>
      <c r="X103" s="64">
        <v>128.69999999999999</v>
      </c>
      <c r="Y103" s="64">
        <v>127.8</v>
      </c>
      <c r="Z103" s="64">
        <v>127.8</v>
      </c>
      <c r="AA103" s="64">
        <v>126.7</v>
      </c>
      <c r="AB103" s="64">
        <v>126.3</v>
      </c>
      <c r="AC103" s="64">
        <v>129.1</v>
      </c>
      <c r="AD103" s="64">
        <v>129.5</v>
      </c>
      <c r="AE103" s="64">
        <v>128.80000000000001</v>
      </c>
      <c r="AF103" s="64">
        <v>128.19999999999999</v>
      </c>
      <c r="AG103" s="103"/>
      <c r="AH103" s="47">
        <f t="shared" si="19"/>
        <v>129.5</v>
      </c>
      <c r="AI103" s="48">
        <f t="shared" si="20"/>
        <v>123.1</v>
      </c>
    </row>
    <row r="104" spans="1:37" x14ac:dyDescent="0.25">
      <c r="A104" s="102" t="s">
        <v>112</v>
      </c>
      <c r="B104" s="64">
        <v>126.3</v>
      </c>
      <c r="C104" s="64">
        <v>125.3</v>
      </c>
      <c r="D104" s="64">
        <v>129.9</v>
      </c>
      <c r="E104" s="64">
        <v>128.9</v>
      </c>
      <c r="F104" s="64">
        <v>130.30000000000001</v>
      </c>
      <c r="G104" s="64">
        <v>130.69999999999999</v>
      </c>
      <c r="H104" s="64">
        <v>129</v>
      </c>
      <c r="I104" s="64">
        <v>130.30000000000001</v>
      </c>
      <c r="J104" s="64">
        <v>129.1</v>
      </c>
      <c r="K104" s="64">
        <v>129</v>
      </c>
      <c r="L104" s="64">
        <v>128.1</v>
      </c>
      <c r="M104" s="64">
        <v>124.4</v>
      </c>
      <c r="N104" s="64">
        <v>124.4</v>
      </c>
      <c r="O104" s="64">
        <v>127</v>
      </c>
      <c r="P104" s="64">
        <v>123.3</v>
      </c>
      <c r="Q104" s="64">
        <v>123.3</v>
      </c>
      <c r="R104" s="64">
        <v>121.2</v>
      </c>
      <c r="S104" s="64">
        <v>123.7</v>
      </c>
      <c r="T104" s="64">
        <v>124</v>
      </c>
      <c r="U104" s="64">
        <v>125.1</v>
      </c>
      <c r="V104" s="64">
        <v>127.7</v>
      </c>
      <c r="W104" s="64">
        <v>131.6</v>
      </c>
      <c r="X104" s="64">
        <v>131.19999999999999</v>
      </c>
      <c r="Y104" s="64">
        <v>129.5</v>
      </c>
      <c r="Z104" s="64">
        <v>122.7</v>
      </c>
      <c r="AA104" s="64">
        <v>127.3</v>
      </c>
      <c r="AB104" s="64">
        <v>127.6</v>
      </c>
      <c r="AC104" s="64">
        <v>127.6</v>
      </c>
      <c r="AD104" s="64">
        <v>128.5</v>
      </c>
      <c r="AE104" s="64">
        <v>129.9</v>
      </c>
      <c r="AF104" s="64">
        <v>122.9</v>
      </c>
      <c r="AG104" s="103"/>
      <c r="AH104" s="47">
        <f t="shared" si="19"/>
        <v>131.6</v>
      </c>
      <c r="AI104" s="48">
        <f t="shared" si="20"/>
        <v>121.2</v>
      </c>
    </row>
    <row r="105" spans="1:37" x14ac:dyDescent="0.25">
      <c r="A105" s="104" t="s">
        <v>113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 t="s">
        <v>286</v>
      </c>
      <c r="Y105" s="64"/>
      <c r="Z105" s="64"/>
      <c r="AA105" s="64"/>
      <c r="AB105" s="64">
        <v>128</v>
      </c>
      <c r="AC105" s="64">
        <v>128.9</v>
      </c>
      <c r="AD105" s="64">
        <v>130.19999999999999</v>
      </c>
      <c r="AE105" s="64">
        <v>133.4</v>
      </c>
      <c r="AF105" s="64">
        <v>126.8</v>
      </c>
      <c r="AG105" s="103"/>
      <c r="AH105" s="47">
        <f t="shared" si="19"/>
        <v>133.4</v>
      </c>
      <c r="AI105" s="48">
        <f t="shared" si="20"/>
        <v>126.8</v>
      </c>
    </row>
    <row r="106" spans="1:37" x14ac:dyDescent="0.25">
      <c r="A106" s="104" t="s">
        <v>114</v>
      </c>
      <c r="B106" s="105">
        <v>132.4</v>
      </c>
      <c r="C106" s="105">
        <v>133.5</v>
      </c>
      <c r="D106" s="105">
        <v>135.19999999999999</v>
      </c>
      <c r="E106" s="105">
        <v>131.6</v>
      </c>
      <c r="F106" s="105">
        <v>130.19999999999999</v>
      </c>
      <c r="G106" s="105">
        <v>131</v>
      </c>
      <c r="H106" s="105">
        <v>133.30000000000001</v>
      </c>
      <c r="I106" s="105">
        <v>132.9</v>
      </c>
      <c r="J106" s="105">
        <v>132.1</v>
      </c>
      <c r="K106" s="105">
        <v>129.69999999999999</v>
      </c>
      <c r="L106" s="105">
        <v>131.6</v>
      </c>
      <c r="M106" s="105">
        <v>133.19999999999999</v>
      </c>
      <c r="N106" s="105">
        <v>133.19999999999999</v>
      </c>
      <c r="O106" s="105">
        <v>130.69999999999999</v>
      </c>
      <c r="P106" s="105">
        <v>133.1</v>
      </c>
      <c r="Q106" s="105">
        <v>133.1</v>
      </c>
      <c r="R106" s="105">
        <v>133.30000000000001</v>
      </c>
      <c r="S106" s="105">
        <v>129.4</v>
      </c>
      <c r="T106" s="105">
        <v>130</v>
      </c>
      <c r="U106" s="105">
        <v>129.1</v>
      </c>
      <c r="V106" s="105">
        <v>134.4</v>
      </c>
      <c r="W106" s="105">
        <v>132.4</v>
      </c>
      <c r="X106" s="105">
        <v>133.6</v>
      </c>
      <c r="Y106" s="105">
        <v>133.5</v>
      </c>
      <c r="Z106" s="105">
        <v>135.19999999999999</v>
      </c>
      <c r="AA106" s="105">
        <v>131.19999999999999</v>
      </c>
      <c r="AB106" s="105">
        <v>131.30000000000001</v>
      </c>
      <c r="AC106" s="105">
        <v>132.4</v>
      </c>
      <c r="AD106" s="105">
        <v>134.30000000000001</v>
      </c>
      <c r="AE106" s="105">
        <v>133</v>
      </c>
      <c r="AF106" s="105">
        <v>131.9</v>
      </c>
      <c r="AG106" s="106"/>
      <c r="AH106" s="47">
        <f t="shared" si="19"/>
        <v>135.19999999999999</v>
      </c>
      <c r="AI106" s="48">
        <f t="shared" si="20"/>
        <v>129.1</v>
      </c>
    </row>
    <row r="107" spans="1:37" x14ac:dyDescent="0.25">
      <c r="A107" s="102" t="s">
        <v>115</v>
      </c>
      <c r="B107" s="64">
        <v>130.6</v>
      </c>
      <c r="C107" s="64">
        <v>132.4</v>
      </c>
      <c r="D107" s="64">
        <v>131.80000000000001</v>
      </c>
      <c r="E107" s="64">
        <v>132.6</v>
      </c>
      <c r="F107" s="64">
        <v>131.9</v>
      </c>
      <c r="G107" s="64">
        <v>131</v>
      </c>
      <c r="H107" s="64">
        <v>131.19999999999999</v>
      </c>
      <c r="I107" s="64">
        <v>130.30000000000001</v>
      </c>
      <c r="J107" s="64">
        <v>130.6</v>
      </c>
      <c r="K107" s="64">
        <v>127.9</v>
      </c>
      <c r="L107" s="64">
        <v>128.6</v>
      </c>
      <c r="M107" s="64">
        <v>130</v>
      </c>
      <c r="N107" s="64">
        <v>130</v>
      </c>
      <c r="O107" s="64">
        <v>128.9</v>
      </c>
      <c r="P107" s="64">
        <v>131.69999999999999</v>
      </c>
      <c r="Q107" s="64">
        <v>131.69999999999999</v>
      </c>
      <c r="R107" s="64">
        <v>131</v>
      </c>
      <c r="S107" s="64">
        <v>130.4</v>
      </c>
      <c r="T107" s="64">
        <v>129.80000000000001</v>
      </c>
      <c r="U107" s="64">
        <v>125.3</v>
      </c>
      <c r="V107" s="64">
        <v>135.9</v>
      </c>
      <c r="W107" s="64">
        <v>126.4</v>
      </c>
      <c r="X107" s="64">
        <v>127.6</v>
      </c>
      <c r="Y107" s="64">
        <v>129.1</v>
      </c>
      <c r="Z107" s="64">
        <v>130.9</v>
      </c>
      <c r="AA107" s="64">
        <v>131.19999999999999</v>
      </c>
      <c r="AB107" s="64">
        <v>130.1</v>
      </c>
      <c r="AC107" s="64">
        <v>129.9</v>
      </c>
      <c r="AD107" s="64">
        <v>130.5</v>
      </c>
      <c r="AE107" s="64">
        <v>131.19999999999999</v>
      </c>
      <c r="AF107" s="64">
        <v>130.4</v>
      </c>
      <c r="AG107" s="103"/>
      <c r="AH107" s="47">
        <f t="shared" si="19"/>
        <v>135.9</v>
      </c>
      <c r="AI107" s="48">
        <f t="shared" si="20"/>
        <v>125.3</v>
      </c>
    </row>
    <row r="108" spans="1:37" ht="15.75" thickBot="1" x14ac:dyDescent="0.3">
      <c r="A108" s="102" t="s">
        <v>116</v>
      </c>
      <c r="B108" s="91">
        <v>63.6</v>
      </c>
      <c r="C108" s="91">
        <v>63.8</v>
      </c>
      <c r="D108" s="91">
        <v>64.3</v>
      </c>
      <c r="E108" s="91">
        <v>64.7</v>
      </c>
      <c r="F108" s="91">
        <v>64.599999999999994</v>
      </c>
      <c r="G108" s="91">
        <v>64.2</v>
      </c>
      <c r="H108" s="91">
        <v>64.400000000000006</v>
      </c>
      <c r="I108" s="91">
        <v>64.599999999999994</v>
      </c>
      <c r="J108" s="91">
        <v>63.7</v>
      </c>
      <c r="K108" s="91">
        <v>63.3</v>
      </c>
      <c r="L108" s="91">
        <v>63.2</v>
      </c>
      <c r="M108" s="91">
        <v>63.1</v>
      </c>
      <c r="N108" s="91">
        <v>63.1</v>
      </c>
      <c r="O108" s="91">
        <v>63.1</v>
      </c>
      <c r="P108" s="91">
        <v>61.9</v>
      </c>
      <c r="Q108" s="91">
        <v>61.9</v>
      </c>
      <c r="R108" s="91">
        <v>62.8</v>
      </c>
      <c r="S108" s="91">
        <v>62</v>
      </c>
      <c r="T108" s="91">
        <v>61.8</v>
      </c>
      <c r="U108" s="91">
        <v>62.1</v>
      </c>
      <c r="V108" s="91">
        <v>64</v>
      </c>
      <c r="W108" s="91">
        <v>63.7</v>
      </c>
      <c r="X108" s="91">
        <v>64.2</v>
      </c>
      <c r="Y108" s="91">
        <v>63.7</v>
      </c>
      <c r="Z108" s="91">
        <v>63.8</v>
      </c>
      <c r="AA108" s="91">
        <v>63.3</v>
      </c>
      <c r="AB108" s="91">
        <v>63.2</v>
      </c>
      <c r="AC108" s="91">
        <v>64.400000000000006</v>
      </c>
      <c r="AD108" s="91">
        <v>64.5</v>
      </c>
      <c r="AE108" s="91">
        <v>64.7</v>
      </c>
      <c r="AF108" s="91">
        <v>64.5</v>
      </c>
      <c r="AG108" s="107"/>
      <c r="AH108" s="47">
        <f t="shared" si="19"/>
        <v>64.7</v>
      </c>
      <c r="AI108" s="48">
        <f t="shared" si="20"/>
        <v>61.8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19"/>
        <v>0</v>
      </c>
      <c r="AI109" s="48">
        <f t="shared" si="20"/>
        <v>0</v>
      </c>
    </row>
    <row r="110" spans="1:37" ht="15.75" thickBot="1" x14ac:dyDescent="0.3">
      <c r="A110" s="109" t="s">
        <v>118</v>
      </c>
      <c r="B110" s="110">
        <f t="shared" ref="B110" si="36">SUM(B20,B26,B29:B30,B58,B60:B61,B63,B65,B111:B115,B138,B144,B150,B159,B161,B173,B180,B183:B184,B191,B193,B195,B199:B201,B203:B205,B210,B216:B217,B219:B221,B229,B234)</f>
        <v>23.700000000000006</v>
      </c>
      <c r="C110" s="110">
        <f t="shared" ref="C110:O110" si="37">SUM(C20,C26,C29:C30,C58,C60:C61,C63,C65,C111:C115,C138,C144,C150,C159,C161,C173,C180,C183:C184,C191,C193,C195,C199:C201,C203:C205,C210,C216:C217,C219:C221,C229,C234)</f>
        <v>20.540000000000031</v>
      </c>
      <c r="D110" s="110">
        <f t="shared" ref="D110" si="38">SUM(D20,D26,D29:D30,D58,D60:D61,D63,D65,D111:D115,D138,D144,D150,D159,D161,D173,D180,D183:D184,D191,D193,D195,D199:D201,D203:D205,D210,D216:D217,D219:D221,D229,D234)</f>
        <v>19.140000000000025</v>
      </c>
      <c r="E110" s="110">
        <f t="shared" si="37"/>
        <v>17.740000000000002</v>
      </c>
      <c r="F110" s="110">
        <f t="shared" si="37"/>
        <v>13.940000000000012</v>
      </c>
      <c r="G110" s="110">
        <f t="shared" si="37"/>
        <v>44.939999999999991</v>
      </c>
      <c r="H110" s="110">
        <f t="shared" si="37"/>
        <v>63.740000000000023</v>
      </c>
      <c r="I110" s="110">
        <f t="shared" si="37"/>
        <v>76.740000000000023</v>
      </c>
      <c r="J110" s="110">
        <f t="shared" si="37"/>
        <v>108.84000000000002</v>
      </c>
      <c r="K110" s="110">
        <f t="shared" si="37"/>
        <v>152.74</v>
      </c>
      <c r="L110" s="110">
        <f t="shared" si="37"/>
        <v>195.83999999999997</v>
      </c>
      <c r="M110" s="110">
        <f t="shared" si="37"/>
        <v>180.54</v>
      </c>
      <c r="N110" s="110">
        <f t="shared" si="37"/>
        <v>180.54</v>
      </c>
      <c r="O110" s="110">
        <f t="shared" si="37"/>
        <v>155.23999999999995</v>
      </c>
      <c r="P110" s="110">
        <v>42</v>
      </c>
      <c r="Q110" s="110">
        <f t="shared" ref="Q110:AF110" si="39">SUM(Q20,Q26,Q29:Q30,Q58,Q60:Q61,Q63,Q65,Q111:Q115,Q138,Q144,Q150,Q159,Q161,Q173,Q180,Q183:Q184,Q191,Q193,Q195,Q199:Q201,Q203:Q205,Q210,Q216:Q217,Q219:Q221,Q229,Q234)</f>
        <v>145.9</v>
      </c>
      <c r="R110" s="110">
        <f t="shared" si="39"/>
        <v>260.39999999999998</v>
      </c>
      <c r="S110" s="110">
        <f t="shared" si="39"/>
        <v>151.59999999999997</v>
      </c>
      <c r="T110" s="110">
        <f t="shared" si="39"/>
        <v>176.99999999999997</v>
      </c>
      <c r="U110" s="110">
        <f t="shared" si="39"/>
        <v>183.60000000000002</v>
      </c>
      <c r="V110" s="110">
        <f t="shared" si="39"/>
        <v>190.79999999999995</v>
      </c>
      <c r="W110" s="110">
        <f t="shared" si="39"/>
        <v>150.9</v>
      </c>
      <c r="X110" s="110">
        <f t="shared" si="39"/>
        <v>162.89999999999998</v>
      </c>
      <c r="Y110" s="110">
        <f t="shared" si="39"/>
        <v>175.3</v>
      </c>
      <c r="Z110" s="110">
        <f t="shared" si="39"/>
        <v>194.6</v>
      </c>
      <c r="AA110" s="110">
        <f t="shared" si="39"/>
        <v>211.70000000000002</v>
      </c>
      <c r="AB110" s="110">
        <f t="shared" si="39"/>
        <v>185.4</v>
      </c>
      <c r="AC110" s="110">
        <f t="shared" si="39"/>
        <v>129.4</v>
      </c>
      <c r="AD110" s="110"/>
      <c r="AE110" s="110">
        <f t="shared" si="39"/>
        <v>81.999999999999986</v>
      </c>
      <c r="AF110" s="110">
        <f t="shared" si="39"/>
        <v>30.700000000000006</v>
      </c>
      <c r="AG110" s="111"/>
      <c r="AH110" s="47">
        <f t="shared" si="19"/>
        <v>260.39999999999998</v>
      </c>
      <c r="AI110" s="48">
        <f t="shared" si="20"/>
        <v>13.940000000000012</v>
      </c>
    </row>
    <row r="111" spans="1:37" x14ac:dyDescent="0.25">
      <c r="A111" s="99" t="s">
        <v>119</v>
      </c>
      <c r="B111" s="112">
        <v>29.1</v>
      </c>
      <c r="C111" s="112">
        <v>36.299999999999997</v>
      </c>
      <c r="D111" s="112">
        <v>33</v>
      </c>
      <c r="E111" s="112">
        <v>28.4</v>
      </c>
      <c r="F111" s="112">
        <v>35.9</v>
      </c>
      <c r="G111" s="112">
        <v>26.7</v>
      </c>
      <c r="H111" s="112">
        <v>47.3</v>
      </c>
      <c r="I111" s="112">
        <v>47.4</v>
      </c>
      <c r="J111" s="112">
        <v>57.8</v>
      </c>
      <c r="K111" s="112">
        <v>64.900000000000006</v>
      </c>
      <c r="L111" s="112">
        <v>80.7</v>
      </c>
      <c r="M111" s="112">
        <v>86.4</v>
      </c>
      <c r="N111" s="112">
        <v>86.4</v>
      </c>
      <c r="O111" s="112">
        <v>74.8</v>
      </c>
      <c r="P111" s="112">
        <v>89.7</v>
      </c>
      <c r="Q111" s="112">
        <v>89.7</v>
      </c>
      <c r="R111" s="112">
        <v>57.7</v>
      </c>
      <c r="S111" s="112">
        <v>73.3</v>
      </c>
      <c r="T111" s="112">
        <v>41.9</v>
      </c>
      <c r="U111" s="112">
        <v>42.9</v>
      </c>
      <c r="V111" s="112">
        <v>38.700000000000003</v>
      </c>
      <c r="W111" s="112">
        <v>31.3</v>
      </c>
      <c r="X111" s="112">
        <v>30.9</v>
      </c>
      <c r="Y111" s="112">
        <v>29.8</v>
      </c>
      <c r="Z111" s="112">
        <v>52.1</v>
      </c>
      <c r="AA111" s="112">
        <v>52.4</v>
      </c>
      <c r="AB111" s="112">
        <v>52.1</v>
      </c>
      <c r="AC111" s="112">
        <v>37.1</v>
      </c>
      <c r="AD111" s="112">
        <v>32.4</v>
      </c>
      <c r="AE111" s="112">
        <v>27.9</v>
      </c>
      <c r="AF111" s="112">
        <v>14.8</v>
      </c>
      <c r="AG111" s="113">
        <v>75</v>
      </c>
      <c r="AH111" s="47">
        <f t="shared" si="19"/>
        <v>89.7</v>
      </c>
      <c r="AI111" s="48">
        <f t="shared" si="20"/>
        <v>14.8</v>
      </c>
    </row>
    <row r="112" spans="1:37" x14ac:dyDescent="0.25">
      <c r="A112" s="102" t="s">
        <v>120</v>
      </c>
      <c r="B112" s="114">
        <v>44.1</v>
      </c>
      <c r="C112" s="114">
        <v>54.9</v>
      </c>
      <c r="D112" s="114">
        <v>49.8</v>
      </c>
      <c r="E112" s="114">
        <v>42.1</v>
      </c>
      <c r="F112" s="114">
        <v>50.4</v>
      </c>
      <c r="G112" s="114">
        <v>37.9</v>
      </c>
      <c r="H112" s="114">
        <v>64.8</v>
      </c>
      <c r="I112" s="114">
        <v>63.7</v>
      </c>
      <c r="J112" s="114">
        <v>80.400000000000006</v>
      </c>
      <c r="K112" s="114">
        <v>89.2</v>
      </c>
      <c r="L112" s="114">
        <v>111.6</v>
      </c>
      <c r="M112" s="114">
        <v>119.3</v>
      </c>
      <c r="N112" s="114">
        <v>119.3</v>
      </c>
      <c r="O112" s="114">
        <v>104.8</v>
      </c>
      <c r="P112" s="114">
        <v>126</v>
      </c>
      <c r="Q112" s="114">
        <v>126</v>
      </c>
      <c r="R112" s="114">
        <v>83.4</v>
      </c>
      <c r="S112" s="114">
        <v>103.2</v>
      </c>
      <c r="T112" s="114">
        <v>67</v>
      </c>
      <c r="U112" s="114">
        <v>68.099999999999994</v>
      </c>
      <c r="V112" s="114">
        <v>62.1</v>
      </c>
      <c r="W112" s="114">
        <v>47.6</v>
      </c>
      <c r="X112" s="114">
        <v>47.3</v>
      </c>
      <c r="Y112" s="114">
        <v>44.5</v>
      </c>
      <c r="Z112" s="114">
        <v>74.400000000000006</v>
      </c>
      <c r="AA112" s="114">
        <v>77.599999999999994</v>
      </c>
      <c r="AB112" s="114">
        <v>77.3</v>
      </c>
      <c r="AC112" s="114">
        <v>52.9</v>
      </c>
      <c r="AD112" s="114">
        <v>45.3</v>
      </c>
      <c r="AE112" s="114">
        <v>39.799999999999997</v>
      </c>
      <c r="AF112" s="114">
        <v>20.9</v>
      </c>
      <c r="AG112" s="113">
        <v>240</v>
      </c>
      <c r="AH112" s="47">
        <f t="shared" si="19"/>
        <v>126</v>
      </c>
      <c r="AI112" s="48">
        <f t="shared" si="20"/>
        <v>20.9</v>
      </c>
    </row>
    <row r="113" spans="1:37" x14ac:dyDescent="0.25">
      <c r="A113" s="102" t="s">
        <v>121</v>
      </c>
      <c r="B113" s="114">
        <f>-79.3-83.7</f>
        <v>-163</v>
      </c>
      <c r="C113" s="114">
        <f>-87.6-93.1</f>
        <v>-180.7</v>
      </c>
      <c r="D113" s="114">
        <f>-83.3-87.9</f>
        <v>-171.2</v>
      </c>
      <c r="E113" s="114">
        <v>-162</v>
      </c>
      <c r="F113" s="114">
        <v>-171</v>
      </c>
      <c r="G113" s="114">
        <v>-137</v>
      </c>
      <c r="H113" s="114">
        <v>-158</v>
      </c>
      <c r="I113" s="114">
        <v>-145.6</v>
      </c>
      <c r="J113" s="114">
        <v>-145</v>
      </c>
      <c r="K113" s="114">
        <v>-130</v>
      </c>
      <c r="L113" s="114">
        <v>-129</v>
      </c>
      <c r="M113" s="114">
        <v>-154</v>
      </c>
      <c r="N113" s="114">
        <v>-154</v>
      </c>
      <c r="O113" s="114">
        <v>-155</v>
      </c>
      <c r="P113" s="114">
        <v>-184</v>
      </c>
      <c r="Q113" s="114">
        <v>-184</v>
      </c>
      <c r="R113" s="114"/>
      <c r="S113" s="114">
        <f>-73-80</f>
        <v>-153</v>
      </c>
      <c r="T113" s="114">
        <f>-36.7-41.1</f>
        <v>-77.800000000000011</v>
      </c>
      <c r="U113" s="114">
        <f>-34.5-38.5</f>
        <v>-73</v>
      </c>
      <c r="V113" s="114">
        <f>-30.7-37.4</f>
        <v>-68.099999999999994</v>
      </c>
      <c r="W113" s="114">
        <f>-29.8-34.3</f>
        <v>-64.099999999999994</v>
      </c>
      <c r="X113" s="114">
        <f>-25-27</f>
        <v>-52</v>
      </c>
      <c r="Y113" s="114">
        <f>-16.7-18.5</f>
        <v>-35.200000000000003</v>
      </c>
      <c r="Z113" s="114">
        <f>-30.5-33.5</f>
        <v>-64</v>
      </c>
      <c r="AA113" s="114">
        <f>-28.3-31.4</f>
        <v>-59.7</v>
      </c>
      <c r="AB113" s="114">
        <v>-86</v>
      </c>
      <c r="AC113" s="114">
        <v>-92</v>
      </c>
      <c r="AD113" s="114">
        <v>-110</v>
      </c>
      <c r="AE113" s="114">
        <v>-142.5</v>
      </c>
      <c r="AF113" s="114">
        <v>-145.6</v>
      </c>
      <c r="AG113" s="113">
        <v>240</v>
      </c>
      <c r="AH113" s="47">
        <f t="shared" si="19"/>
        <v>-35.200000000000003</v>
      </c>
      <c r="AI113" s="48">
        <f t="shared" si="20"/>
        <v>-184</v>
      </c>
    </row>
    <row r="114" spans="1:37" x14ac:dyDescent="0.25">
      <c r="A114" s="102" t="s">
        <v>122</v>
      </c>
      <c r="B114" s="114">
        <v>-13.2</v>
      </c>
      <c r="C114" s="114">
        <v>-11.9</v>
      </c>
      <c r="D114" s="114">
        <v>-14.4</v>
      </c>
      <c r="E114" s="114">
        <v>-12.7</v>
      </c>
      <c r="F114" s="114">
        <v>-19.3</v>
      </c>
      <c r="G114" s="114">
        <v>-10.6</v>
      </c>
      <c r="H114" s="114">
        <v>-8.3000000000000007</v>
      </c>
      <c r="I114" s="114">
        <v>-6.7</v>
      </c>
      <c r="J114" s="114">
        <v>-2.2999999999999998</v>
      </c>
      <c r="K114" s="114">
        <v>-2.4</v>
      </c>
      <c r="L114" s="114">
        <v>0.8</v>
      </c>
      <c r="M114" s="114">
        <v>-3.5</v>
      </c>
      <c r="N114" s="114">
        <v>-3.5</v>
      </c>
      <c r="O114" s="114">
        <v>-1.8</v>
      </c>
      <c r="P114" s="114">
        <v>-5.0999999999999996</v>
      </c>
      <c r="Q114" s="114">
        <v>-5.0999999999999996</v>
      </c>
      <c r="R114" s="114">
        <v>0</v>
      </c>
      <c r="S114" s="114">
        <v>0</v>
      </c>
      <c r="T114" s="114">
        <v>0</v>
      </c>
      <c r="U114" s="114">
        <v>0</v>
      </c>
      <c r="V114" s="114">
        <v>0</v>
      </c>
      <c r="W114" s="114">
        <v>0</v>
      </c>
      <c r="X114" s="114">
        <v>0</v>
      </c>
      <c r="Y114" s="114">
        <v>0</v>
      </c>
      <c r="Z114" s="114">
        <v>0</v>
      </c>
      <c r="AA114" s="114">
        <v>0</v>
      </c>
      <c r="AB114" s="114">
        <v>0</v>
      </c>
      <c r="AC114" s="114">
        <v>0</v>
      </c>
      <c r="AD114" s="114">
        <v>0</v>
      </c>
      <c r="AE114" s="114">
        <v>0</v>
      </c>
      <c r="AF114" s="114">
        <v>0</v>
      </c>
      <c r="AG114" s="113">
        <v>60</v>
      </c>
      <c r="AH114" s="47">
        <f t="shared" si="19"/>
        <v>0.8</v>
      </c>
      <c r="AI114" s="48">
        <f t="shared" si="20"/>
        <v>-19.3</v>
      </c>
    </row>
    <row r="115" spans="1:37" x14ac:dyDescent="0.25">
      <c r="A115" s="115" t="s">
        <v>123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11.6</v>
      </c>
      <c r="L115" s="116">
        <v>12.2</v>
      </c>
      <c r="M115" s="116">
        <v>12.1</v>
      </c>
      <c r="N115" s="116">
        <v>12.1</v>
      </c>
      <c r="O115" s="116">
        <v>12.2</v>
      </c>
      <c r="P115" s="116">
        <v>0</v>
      </c>
      <c r="Q115" s="116">
        <v>0</v>
      </c>
      <c r="R115" s="116">
        <v>0</v>
      </c>
      <c r="S115" s="116">
        <v>0</v>
      </c>
      <c r="T115" s="116">
        <v>0</v>
      </c>
      <c r="U115" s="116">
        <v>0</v>
      </c>
      <c r="V115" s="116">
        <v>12.2</v>
      </c>
      <c r="W115" s="116">
        <v>12.3</v>
      </c>
      <c r="X115" s="116">
        <v>12.3</v>
      </c>
      <c r="Y115" s="116">
        <v>12.3</v>
      </c>
      <c r="Z115" s="116">
        <v>8.6</v>
      </c>
      <c r="AA115" s="116">
        <v>17.899999999999999</v>
      </c>
      <c r="AB115" s="116">
        <v>17.899999999999999</v>
      </c>
      <c r="AC115" s="116">
        <v>7.3</v>
      </c>
      <c r="AD115" s="116">
        <v>7.6</v>
      </c>
      <c r="AE115" s="116">
        <v>8.3000000000000007</v>
      </c>
      <c r="AF115" s="116">
        <v>-2.2000000000000002</v>
      </c>
      <c r="AG115" s="117">
        <v>120</v>
      </c>
      <c r="AH115" s="47">
        <f t="shared" si="19"/>
        <v>17.899999999999999</v>
      </c>
      <c r="AI115" s="48">
        <f t="shared" si="20"/>
        <v>-2.2000000000000002</v>
      </c>
    </row>
    <row r="116" spans="1:37" x14ac:dyDescent="0.25">
      <c r="A116" s="115" t="s">
        <v>124</v>
      </c>
      <c r="B116" s="116">
        <v>74.099999999999994</v>
      </c>
      <c r="C116" s="116">
        <v>68</v>
      </c>
      <c r="D116" s="116">
        <v>67.2</v>
      </c>
      <c r="E116" s="116">
        <v>66</v>
      </c>
      <c r="F116" s="116">
        <v>59</v>
      </c>
      <c r="G116" s="116">
        <v>78.3</v>
      </c>
      <c r="H116" s="116">
        <v>54.9</v>
      </c>
      <c r="I116" s="116">
        <v>55.1</v>
      </c>
      <c r="J116" s="116">
        <v>48.3</v>
      </c>
      <c r="K116" s="116">
        <v>57.1</v>
      </c>
      <c r="L116" s="116">
        <v>63.5</v>
      </c>
      <c r="M116" s="116">
        <v>43.8</v>
      </c>
      <c r="N116" s="116">
        <v>43.8</v>
      </c>
      <c r="O116" s="116">
        <v>44</v>
      </c>
      <c r="P116" s="116">
        <v>43.3</v>
      </c>
      <c r="Q116" s="116">
        <v>43.3</v>
      </c>
      <c r="R116" s="116">
        <v>62.5</v>
      </c>
      <c r="S116" s="116">
        <v>44.3</v>
      </c>
      <c r="T116" s="116">
        <v>49.6</v>
      </c>
      <c r="U116" s="116">
        <v>41.8</v>
      </c>
      <c r="V116" s="116">
        <v>28.8</v>
      </c>
      <c r="W116" s="116">
        <v>34</v>
      </c>
      <c r="X116" s="116">
        <v>41.7</v>
      </c>
      <c r="Y116" s="116">
        <v>67.400000000000006</v>
      </c>
      <c r="Z116" s="116">
        <v>34.4</v>
      </c>
      <c r="AA116" s="116">
        <v>43.5</v>
      </c>
      <c r="AB116" s="116">
        <v>50.6</v>
      </c>
      <c r="AC116" s="116">
        <v>48.2</v>
      </c>
      <c r="AD116" s="116">
        <v>49.3</v>
      </c>
      <c r="AE116" s="116">
        <v>43.1</v>
      </c>
      <c r="AF116" s="116">
        <v>65.2</v>
      </c>
      <c r="AG116" s="117"/>
      <c r="AH116" s="47">
        <f t="shared" si="19"/>
        <v>78.3</v>
      </c>
      <c r="AI116" s="48">
        <f t="shared" si="20"/>
        <v>28.8</v>
      </c>
    </row>
    <row r="117" spans="1:37" x14ac:dyDescent="0.25">
      <c r="A117" s="115" t="s">
        <v>125</v>
      </c>
      <c r="B117" s="116">
        <v>-15.7</v>
      </c>
      <c r="C117" s="116">
        <v>-14.1</v>
      </c>
      <c r="D117" s="116">
        <v>-11.5</v>
      </c>
      <c r="E117" s="116">
        <v>-23.7</v>
      </c>
      <c r="F117" s="116">
        <v>-5.9</v>
      </c>
      <c r="G117" s="116">
        <v>-19.2</v>
      </c>
      <c r="H117" s="116">
        <v>-1.9</v>
      </c>
      <c r="I117" s="116">
        <v>-3.3</v>
      </c>
      <c r="J117" s="116">
        <v>-3.5</v>
      </c>
      <c r="K117" s="116">
        <v>4.2</v>
      </c>
      <c r="L117" s="116">
        <v>19.7</v>
      </c>
      <c r="M117" s="116">
        <v>26.2</v>
      </c>
      <c r="N117" s="116">
        <v>26.2</v>
      </c>
      <c r="O117" s="116">
        <v>27.2</v>
      </c>
      <c r="P117" s="116">
        <v>28.8</v>
      </c>
      <c r="Q117" s="116">
        <v>28.8</v>
      </c>
      <c r="R117" s="116">
        <v>-3.4</v>
      </c>
      <c r="S117" s="116">
        <v>18.600000000000001</v>
      </c>
      <c r="T117" s="116">
        <v>31.6</v>
      </c>
      <c r="U117" s="116">
        <v>31.8</v>
      </c>
      <c r="V117" s="116">
        <v>22.8</v>
      </c>
      <c r="W117" s="116">
        <v>28.6</v>
      </c>
      <c r="X117" s="116">
        <v>25.7</v>
      </c>
      <c r="Y117" s="116">
        <v>25.2</v>
      </c>
      <c r="Z117" s="116">
        <v>25.3</v>
      </c>
      <c r="AA117" s="116">
        <v>14.4</v>
      </c>
      <c r="AB117" s="116">
        <v>17.899999999999999</v>
      </c>
      <c r="AC117" s="116">
        <v>12.8</v>
      </c>
      <c r="AD117" s="116">
        <v>15.2</v>
      </c>
      <c r="AE117" s="116">
        <v>18.600000000000001</v>
      </c>
      <c r="AF117" s="116">
        <v>8.8000000000000007</v>
      </c>
      <c r="AG117" s="118"/>
      <c r="AH117" s="47">
        <f t="shared" si="19"/>
        <v>31.8</v>
      </c>
      <c r="AI117" s="48">
        <f t="shared" si="20"/>
        <v>-23.7</v>
      </c>
    </row>
    <row r="118" spans="1:37" x14ac:dyDescent="0.25">
      <c r="A118" s="119" t="s">
        <v>126</v>
      </c>
      <c r="B118" s="105">
        <v>33.5</v>
      </c>
      <c r="C118" s="105">
        <v>35.299999999999997</v>
      </c>
      <c r="D118" s="105">
        <v>34.200000000000003</v>
      </c>
      <c r="E118" s="105">
        <v>38.700000000000003</v>
      </c>
      <c r="F118" s="105">
        <v>37.200000000000003</v>
      </c>
      <c r="G118" s="105">
        <v>41.8</v>
      </c>
      <c r="H118" s="105">
        <v>44.1</v>
      </c>
      <c r="I118" s="105">
        <v>37.9</v>
      </c>
      <c r="J118" s="105">
        <v>39.1</v>
      </c>
      <c r="K118" s="105">
        <v>35.5</v>
      </c>
      <c r="L118" s="105">
        <v>28.5</v>
      </c>
      <c r="M118" s="105">
        <v>26.2</v>
      </c>
      <c r="N118" s="105">
        <v>26.2</v>
      </c>
      <c r="O118" s="105">
        <v>15.6</v>
      </c>
      <c r="P118" s="105">
        <v>17.100000000000001</v>
      </c>
      <c r="Q118" s="105">
        <v>17.100000000000001</v>
      </c>
      <c r="R118" s="105">
        <v>18.100000000000001</v>
      </c>
      <c r="S118" s="105">
        <v>11.7</v>
      </c>
      <c r="T118" s="105">
        <v>13.5</v>
      </c>
      <c r="U118" s="105">
        <v>23.7</v>
      </c>
      <c r="V118" s="105">
        <v>19.600000000000001</v>
      </c>
      <c r="W118" s="105">
        <v>19.3</v>
      </c>
      <c r="X118" s="105">
        <v>17.8</v>
      </c>
      <c r="Y118" s="105">
        <v>17.8</v>
      </c>
      <c r="Z118" s="105">
        <v>16.399999999999999</v>
      </c>
      <c r="AA118" s="105">
        <v>19.899999999999999</v>
      </c>
      <c r="AB118" s="105">
        <v>18.100000000000001</v>
      </c>
      <c r="AC118" s="105">
        <v>19</v>
      </c>
      <c r="AD118" s="105">
        <v>20.3</v>
      </c>
      <c r="AE118" s="105">
        <v>32.200000000000003</v>
      </c>
      <c r="AF118" s="105">
        <v>28.6</v>
      </c>
      <c r="AG118" s="118"/>
      <c r="AH118" s="47">
        <f t="shared" si="19"/>
        <v>44.1</v>
      </c>
      <c r="AI118" s="48">
        <f t="shared" si="20"/>
        <v>11.7</v>
      </c>
    </row>
    <row r="119" spans="1:37" x14ac:dyDescent="0.25">
      <c r="A119" s="120" t="s">
        <v>127</v>
      </c>
      <c r="B119" s="105">
        <v>95.1</v>
      </c>
      <c r="C119" s="105">
        <v>96.9</v>
      </c>
      <c r="D119" s="105">
        <v>98.1</v>
      </c>
      <c r="E119" s="105">
        <v>88.3</v>
      </c>
      <c r="F119" s="105">
        <v>86.2</v>
      </c>
      <c r="G119" s="105">
        <v>74.900000000000006</v>
      </c>
      <c r="H119" s="105">
        <v>82.3</v>
      </c>
      <c r="I119" s="105">
        <v>74.7</v>
      </c>
      <c r="J119" s="105">
        <v>75.2</v>
      </c>
      <c r="K119" s="105">
        <v>67</v>
      </c>
      <c r="L119" s="105">
        <v>61.1</v>
      </c>
      <c r="M119" s="105">
        <v>75.2</v>
      </c>
      <c r="N119" s="105">
        <v>75.2</v>
      </c>
      <c r="O119" s="105">
        <v>85</v>
      </c>
      <c r="P119" s="105">
        <v>88.5</v>
      </c>
      <c r="Q119" s="105">
        <v>88.5</v>
      </c>
      <c r="R119" s="105">
        <v>88.5</v>
      </c>
      <c r="S119" s="105">
        <v>86.4</v>
      </c>
      <c r="T119" s="105">
        <v>83.4</v>
      </c>
      <c r="U119" s="105">
        <v>84.1</v>
      </c>
      <c r="V119" s="105">
        <v>84</v>
      </c>
      <c r="W119" s="105">
        <v>62.2</v>
      </c>
      <c r="X119" s="105">
        <v>55.4</v>
      </c>
      <c r="Y119" s="105">
        <v>42.9</v>
      </c>
      <c r="Z119" s="105">
        <v>71.5</v>
      </c>
      <c r="AA119" s="105">
        <v>66.599999999999994</v>
      </c>
      <c r="AB119" s="105">
        <v>81.7</v>
      </c>
      <c r="AC119" s="105">
        <v>77</v>
      </c>
      <c r="AD119" s="105">
        <v>81.599999999999994</v>
      </c>
      <c r="AE119" s="105">
        <v>102.7</v>
      </c>
      <c r="AF119" s="105">
        <v>106</v>
      </c>
      <c r="AG119" s="118"/>
      <c r="AH119" s="47">
        <f t="shared" si="19"/>
        <v>106</v>
      </c>
      <c r="AI119" s="48">
        <f t="shared" si="20"/>
        <v>42.9</v>
      </c>
    </row>
    <row r="120" spans="1:37" ht="15.75" thickBot="1" x14ac:dyDescent="0.3">
      <c r="A120" s="119" t="s">
        <v>128</v>
      </c>
      <c r="B120" s="105">
        <v>43</v>
      </c>
      <c r="C120" s="105">
        <v>47.1</v>
      </c>
      <c r="D120" s="105">
        <v>43.7</v>
      </c>
      <c r="E120" s="105">
        <v>40.5</v>
      </c>
      <c r="F120" s="105">
        <v>43.8</v>
      </c>
      <c r="G120" s="105">
        <v>31</v>
      </c>
      <c r="H120" s="105">
        <v>20.5</v>
      </c>
      <c r="I120" s="105">
        <v>53.6</v>
      </c>
      <c r="J120" s="105">
        <v>20.2</v>
      </c>
      <c r="K120" s="105">
        <v>20.100000000000001</v>
      </c>
      <c r="L120" s="105">
        <v>38.1</v>
      </c>
      <c r="M120" s="105">
        <v>25.9</v>
      </c>
      <c r="N120" s="105">
        <v>25.9</v>
      </c>
      <c r="O120" s="105">
        <v>57</v>
      </c>
      <c r="P120" s="105">
        <v>63.5</v>
      </c>
      <c r="Q120" s="105">
        <v>63.5</v>
      </c>
      <c r="R120" s="105">
        <v>63.5</v>
      </c>
      <c r="S120" s="105">
        <v>65.599999999999994</v>
      </c>
      <c r="T120" s="105">
        <v>64.400000000000006</v>
      </c>
      <c r="U120" s="105">
        <v>55.2</v>
      </c>
      <c r="V120" s="105">
        <v>51.8</v>
      </c>
      <c r="W120" s="105">
        <v>48.5</v>
      </c>
      <c r="X120" s="105">
        <v>53.3</v>
      </c>
      <c r="Y120" s="105">
        <v>54.2</v>
      </c>
      <c r="Z120" s="105">
        <v>68.8</v>
      </c>
      <c r="AA120" s="105">
        <v>68</v>
      </c>
      <c r="AB120" s="105">
        <v>72.8</v>
      </c>
      <c r="AC120" s="105">
        <v>75.3</v>
      </c>
      <c r="AD120" s="105">
        <v>71.2</v>
      </c>
      <c r="AE120" s="105">
        <v>68</v>
      </c>
      <c r="AF120" s="105">
        <v>72.900000000000006</v>
      </c>
      <c r="AG120" s="118"/>
      <c r="AH120" s="47">
        <f t="shared" si="19"/>
        <v>75.3</v>
      </c>
      <c r="AI120" s="48">
        <f t="shared" si="20"/>
        <v>20.100000000000001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40">SUM(B122:B226)</f>
        <v>0</v>
      </c>
      <c r="C227" s="136">
        <f t="shared" si="40"/>
        <v>0</v>
      </c>
      <c r="D227" s="136">
        <f t="shared" si="40"/>
        <v>0</v>
      </c>
      <c r="E227" s="136">
        <f t="shared" si="40"/>
        <v>0</v>
      </c>
      <c r="F227" s="136">
        <f t="shared" si="40"/>
        <v>0</v>
      </c>
      <c r="G227" s="136">
        <f t="shared" si="40"/>
        <v>0</v>
      </c>
      <c r="H227" s="136">
        <f t="shared" si="40"/>
        <v>0</v>
      </c>
      <c r="I227" s="136">
        <f t="shared" si="40"/>
        <v>0</v>
      </c>
      <c r="J227" s="136">
        <f t="shared" si="40"/>
        <v>0</v>
      </c>
      <c r="K227" s="136">
        <f t="shared" si="40"/>
        <v>0</v>
      </c>
      <c r="L227" s="136">
        <f t="shared" si="40"/>
        <v>0</v>
      </c>
      <c r="M227" s="136">
        <f t="shared" si="40"/>
        <v>0</v>
      </c>
      <c r="N227" s="136">
        <f t="shared" si="40"/>
        <v>0</v>
      </c>
      <c r="O227" s="136">
        <f t="shared" si="40"/>
        <v>0</v>
      </c>
      <c r="P227" s="136">
        <f t="shared" si="40"/>
        <v>0</v>
      </c>
      <c r="Q227" s="136">
        <f t="shared" si="40"/>
        <v>0</v>
      </c>
      <c r="R227" s="136">
        <f t="shared" si="40"/>
        <v>0</v>
      </c>
      <c r="S227" s="136">
        <f t="shared" si="40"/>
        <v>0</v>
      </c>
      <c r="T227" s="136">
        <f t="shared" si="40"/>
        <v>0</v>
      </c>
      <c r="U227" s="136">
        <f t="shared" si="40"/>
        <v>0</v>
      </c>
      <c r="V227" s="136">
        <f t="shared" si="40"/>
        <v>0</v>
      </c>
      <c r="W227" s="136">
        <f t="shared" si="40"/>
        <v>0</v>
      </c>
      <c r="X227" s="136">
        <f t="shared" si="40"/>
        <v>0</v>
      </c>
      <c r="Y227" s="136">
        <f t="shared" si="40"/>
        <v>0</v>
      </c>
      <c r="Z227" s="136">
        <f t="shared" si="40"/>
        <v>0</v>
      </c>
      <c r="AA227" s="136">
        <f t="shared" si="40"/>
        <v>0</v>
      </c>
      <c r="AB227" s="136">
        <f t="shared" si="40"/>
        <v>0</v>
      </c>
      <c r="AC227" s="136">
        <f t="shared" si="40"/>
        <v>0</v>
      </c>
      <c r="AD227" s="136">
        <f t="shared" si="40"/>
        <v>0</v>
      </c>
      <c r="AE227" s="136">
        <f t="shared" si="40"/>
        <v>0</v>
      </c>
      <c r="AF227" s="137">
        <f t="shared" si="40"/>
        <v>0</v>
      </c>
      <c r="AG227" s="138">
        <f t="shared" si="40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41">AF229</f>
        <v>0</v>
      </c>
      <c r="C229" s="140">
        <v>0.3</v>
      </c>
      <c r="D229" s="140">
        <f t="shared" ref="D229:P234" si="42">C229</f>
        <v>0.3</v>
      </c>
      <c r="E229" s="140">
        <f t="shared" si="42"/>
        <v>0.3</v>
      </c>
      <c r="F229" s="140">
        <f t="shared" si="42"/>
        <v>0.3</v>
      </c>
      <c r="G229" s="140">
        <f t="shared" si="42"/>
        <v>0.3</v>
      </c>
      <c r="H229" s="140">
        <f t="shared" si="42"/>
        <v>0.3</v>
      </c>
      <c r="I229" s="140">
        <f t="shared" si="42"/>
        <v>0.3</v>
      </c>
      <c r="J229" s="140">
        <f t="shared" si="42"/>
        <v>0.3</v>
      </c>
      <c r="K229" s="140">
        <f t="shared" si="42"/>
        <v>0.3</v>
      </c>
      <c r="L229" s="140">
        <f t="shared" si="42"/>
        <v>0.3</v>
      </c>
      <c r="M229" s="140">
        <f t="shared" si="42"/>
        <v>0.3</v>
      </c>
      <c r="N229" s="140">
        <f t="shared" si="42"/>
        <v>0.3</v>
      </c>
      <c r="O229" s="140">
        <f t="shared" si="42"/>
        <v>0.3</v>
      </c>
      <c r="P229" s="140">
        <f t="shared" si="42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41"/>
        <v>0</v>
      </c>
      <c r="C230" s="128">
        <v>0.4</v>
      </c>
      <c r="D230" s="128">
        <f t="shared" si="42"/>
        <v>0.4</v>
      </c>
      <c r="E230" s="128">
        <f t="shared" si="42"/>
        <v>0.4</v>
      </c>
      <c r="F230" s="128">
        <f t="shared" si="42"/>
        <v>0.4</v>
      </c>
      <c r="G230" s="128">
        <f t="shared" si="42"/>
        <v>0.4</v>
      </c>
      <c r="H230" s="128">
        <f t="shared" si="42"/>
        <v>0.4</v>
      </c>
      <c r="I230" s="128">
        <f t="shared" si="42"/>
        <v>0.4</v>
      </c>
      <c r="J230" s="128">
        <f t="shared" si="42"/>
        <v>0.4</v>
      </c>
      <c r="K230" s="128">
        <f t="shared" si="42"/>
        <v>0.4</v>
      </c>
      <c r="L230" s="128">
        <f t="shared" si="42"/>
        <v>0.4</v>
      </c>
      <c r="M230" s="128">
        <f t="shared" si="42"/>
        <v>0.4</v>
      </c>
      <c r="N230" s="128">
        <f t="shared" si="42"/>
        <v>0.4</v>
      </c>
      <c r="O230" s="128">
        <f t="shared" si="42"/>
        <v>0.4</v>
      </c>
      <c r="P230" s="128">
        <f t="shared" si="42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41"/>
        <v>0</v>
      </c>
      <c r="C231" s="128">
        <v>1.5</v>
      </c>
      <c r="D231" s="128">
        <f t="shared" si="42"/>
        <v>1.5</v>
      </c>
      <c r="E231" s="128">
        <f t="shared" si="42"/>
        <v>1.5</v>
      </c>
      <c r="F231" s="128">
        <f t="shared" si="42"/>
        <v>1.5</v>
      </c>
      <c r="G231" s="128">
        <f t="shared" si="42"/>
        <v>1.5</v>
      </c>
      <c r="H231" s="128">
        <f t="shared" si="42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42"/>
        <v>123.21900000000009</v>
      </c>
      <c r="K231" s="128">
        <f t="shared" ca="1" si="42"/>
        <v>123.21900000000009</v>
      </c>
      <c r="L231" s="128">
        <f t="shared" ca="1" si="42"/>
        <v>123.21900000000009</v>
      </c>
      <c r="M231" s="128">
        <f t="shared" ca="1" si="42"/>
        <v>119.19900000000008</v>
      </c>
      <c r="N231" s="128">
        <f t="shared" ca="1" si="42"/>
        <v>119.19900000000008</v>
      </c>
      <c r="O231" s="128">
        <f t="shared" ca="1" si="42"/>
        <v>119.19900000000008</v>
      </c>
      <c r="P231" s="128">
        <f t="shared" ca="1" si="42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41"/>
        <v>0</v>
      </c>
      <c r="C232" s="128">
        <v>0.3</v>
      </c>
      <c r="D232" s="128">
        <f t="shared" si="42"/>
        <v>0.3</v>
      </c>
      <c r="E232" s="128">
        <f t="shared" si="42"/>
        <v>0.3</v>
      </c>
      <c r="F232" s="128">
        <f t="shared" si="42"/>
        <v>0.3</v>
      </c>
      <c r="G232" s="128">
        <f t="shared" si="42"/>
        <v>0.3</v>
      </c>
      <c r="H232" s="128">
        <f t="shared" si="42"/>
        <v>0.3</v>
      </c>
      <c r="I232" s="128">
        <f t="shared" si="42"/>
        <v>0.3</v>
      </c>
      <c r="J232" s="128">
        <f t="shared" si="42"/>
        <v>0.3</v>
      </c>
      <c r="K232" s="128">
        <f t="shared" si="42"/>
        <v>0.3</v>
      </c>
      <c r="L232" s="128">
        <f t="shared" si="42"/>
        <v>0.3</v>
      </c>
      <c r="M232" s="128">
        <f t="shared" si="42"/>
        <v>0.3</v>
      </c>
      <c r="N232" s="128">
        <f t="shared" si="42"/>
        <v>0.3</v>
      </c>
      <c r="O232" s="128">
        <f t="shared" si="42"/>
        <v>0.3</v>
      </c>
      <c r="P232" s="128">
        <f t="shared" si="42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41"/>
        <v>0</v>
      </c>
      <c r="C233" s="128">
        <v>0.4</v>
      </c>
      <c r="D233" s="128">
        <f t="shared" si="42"/>
        <v>0.4</v>
      </c>
      <c r="E233" s="128">
        <f t="shared" si="42"/>
        <v>0.4</v>
      </c>
      <c r="F233" s="128">
        <f t="shared" si="42"/>
        <v>0.4</v>
      </c>
      <c r="G233" s="128">
        <f t="shared" si="42"/>
        <v>0.4</v>
      </c>
      <c r="H233" s="128">
        <f t="shared" si="42"/>
        <v>0.4</v>
      </c>
      <c r="I233" s="128">
        <f t="shared" si="42"/>
        <v>0.4</v>
      </c>
      <c r="J233" s="128">
        <f t="shared" si="42"/>
        <v>0.4</v>
      </c>
      <c r="K233" s="128">
        <f t="shared" si="42"/>
        <v>0.4</v>
      </c>
      <c r="L233" s="128">
        <f t="shared" si="42"/>
        <v>0.4</v>
      </c>
      <c r="M233" s="128">
        <f t="shared" si="42"/>
        <v>0.4</v>
      </c>
      <c r="N233" s="128">
        <f t="shared" si="42"/>
        <v>0.4</v>
      </c>
      <c r="O233" s="128">
        <f t="shared" si="42"/>
        <v>0.4</v>
      </c>
      <c r="P233" s="128">
        <f t="shared" si="42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41"/>
        <v>0</v>
      </c>
      <c r="C234" s="132">
        <v>0.64</v>
      </c>
      <c r="D234" s="132">
        <f t="shared" si="42"/>
        <v>0.64</v>
      </c>
      <c r="E234" s="132">
        <f t="shared" si="42"/>
        <v>0.64</v>
      </c>
      <c r="F234" s="132">
        <f t="shared" si="42"/>
        <v>0.64</v>
      </c>
      <c r="G234" s="132">
        <f t="shared" si="42"/>
        <v>0.64</v>
      </c>
      <c r="H234" s="132">
        <f t="shared" si="42"/>
        <v>0.64</v>
      </c>
      <c r="I234" s="132">
        <f t="shared" si="42"/>
        <v>0.64</v>
      </c>
      <c r="J234" s="132">
        <f t="shared" si="42"/>
        <v>0.64</v>
      </c>
      <c r="K234" s="132">
        <f t="shared" si="42"/>
        <v>0.64</v>
      </c>
      <c r="L234" s="132">
        <f t="shared" si="42"/>
        <v>0.64</v>
      </c>
      <c r="M234" s="132">
        <f t="shared" si="42"/>
        <v>0.64</v>
      </c>
      <c r="N234" s="132">
        <f t="shared" si="42"/>
        <v>0.64</v>
      </c>
      <c r="O234" s="132">
        <f t="shared" si="42"/>
        <v>0.64</v>
      </c>
      <c r="P234" s="132">
        <f t="shared" si="42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43">SUM(B229:B234)</f>
        <v>0</v>
      </c>
      <c r="C235" s="136">
        <f t="shared" si="43"/>
        <v>3.54</v>
      </c>
      <c r="D235" s="136">
        <f t="shared" si="43"/>
        <v>3.54</v>
      </c>
      <c r="E235" s="136">
        <f t="shared" si="43"/>
        <v>3.54</v>
      </c>
      <c r="F235" s="136">
        <f t="shared" si="43"/>
        <v>3.54</v>
      </c>
      <c r="G235" s="136">
        <f t="shared" si="43"/>
        <v>3.54</v>
      </c>
      <c r="H235" s="136">
        <f t="shared" si="43"/>
        <v>3.54</v>
      </c>
      <c r="I235" s="136">
        <f t="shared" ca="1" si="43"/>
        <v>121.23900000000009</v>
      </c>
      <c r="J235" s="136">
        <f t="shared" ca="1" si="43"/>
        <v>121.23900000000009</v>
      </c>
      <c r="K235" s="136">
        <f t="shared" ca="1" si="43"/>
        <v>121.23900000000009</v>
      </c>
      <c r="L235" s="136">
        <f t="shared" ca="1" si="43"/>
        <v>125.2590000000001</v>
      </c>
      <c r="M235" s="136">
        <f t="shared" ca="1" si="43"/>
        <v>121.23900000000009</v>
      </c>
      <c r="N235" s="136">
        <f t="shared" ca="1" si="43"/>
        <v>121.23900000000009</v>
      </c>
      <c r="O235" s="136">
        <f t="shared" ca="1" si="43"/>
        <v>121.23900000000009</v>
      </c>
      <c r="P235" s="136">
        <f t="shared" ca="1" si="43"/>
        <v>121.23900000000009</v>
      </c>
      <c r="Q235" s="136">
        <f t="shared" si="43"/>
        <v>0</v>
      </c>
      <c r="R235" s="136">
        <f t="shared" si="43"/>
        <v>0</v>
      </c>
      <c r="S235" s="136">
        <f t="shared" si="43"/>
        <v>0</v>
      </c>
      <c r="T235" s="136">
        <f t="shared" si="43"/>
        <v>0</v>
      </c>
      <c r="U235" s="136">
        <f t="shared" si="43"/>
        <v>0</v>
      </c>
      <c r="V235" s="136">
        <f t="shared" si="43"/>
        <v>0</v>
      </c>
      <c r="W235" s="136">
        <f t="shared" si="43"/>
        <v>0</v>
      </c>
      <c r="X235" s="136">
        <f t="shared" si="43"/>
        <v>0</v>
      </c>
      <c r="Y235" s="136">
        <f t="shared" si="43"/>
        <v>0</v>
      </c>
      <c r="Z235" s="136">
        <f t="shared" si="43"/>
        <v>0</v>
      </c>
      <c r="AA235" s="136">
        <f t="shared" si="43"/>
        <v>0</v>
      </c>
      <c r="AB235" s="136">
        <f t="shared" si="43"/>
        <v>0</v>
      </c>
      <c r="AC235" s="136">
        <f t="shared" si="43"/>
        <v>0</v>
      </c>
      <c r="AD235" s="136">
        <f t="shared" si="43"/>
        <v>0</v>
      </c>
      <c r="AE235" s="136">
        <f t="shared" si="43"/>
        <v>0</v>
      </c>
      <c r="AF235" s="136">
        <f t="shared" si="43"/>
        <v>0</v>
      </c>
      <c r="AG235" s="145">
        <f t="shared" si="43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1922.04</v>
      </c>
      <c r="C244" s="161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9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2080/04/9)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2080/04/9)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44">B91</f>
        <v>1983.5400000000002</v>
      </c>
      <c r="U249" s="170">
        <f t="shared" si="44"/>
        <v>1958.74</v>
      </c>
      <c r="V249" s="170">
        <f t="shared" si="44"/>
        <v>1937.9400000000003</v>
      </c>
      <c r="W249" s="170">
        <f t="shared" si="44"/>
        <v>1854.4400000000003</v>
      </c>
      <c r="X249" s="170">
        <f t="shared" si="44"/>
        <v>1613.24</v>
      </c>
      <c r="Y249" s="170">
        <f t="shared" si="44"/>
        <v>1807.5400000000002</v>
      </c>
      <c r="Z249" s="170">
        <f t="shared" si="44"/>
        <v>1843.5400000000002</v>
      </c>
      <c r="AA249" s="170">
        <f t="shared" si="44"/>
        <v>1841.44</v>
      </c>
      <c r="AB249" s="170">
        <f t="shared" si="44"/>
        <v>1827.3400000000001</v>
      </c>
      <c r="AC249" s="170">
        <f t="shared" si="44"/>
        <v>1870.3400000000001</v>
      </c>
      <c r="AD249" s="170">
        <f t="shared" si="44"/>
        <v>1891.94</v>
      </c>
      <c r="AE249" s="170">
        <f t="shared" si="44"/>
        <v>1922.04</v>
      </c>
      <c r="AF249" s="170">
        <f t="shared" si="44"/>
        <v>1874.04</v>
      </c>
      <c r="AG249" s="170">
        <f t="shared" si="44"/>
        <v>1901.7399999999998</v>
      </c>
      <c r="AH249" s="170">
        <f t="shared" si="44"/>
        <v>1864.7400000000002</v>
      </c>
      <c r="AI249" s="170">
        <f t="shared" si="44"/>
        <v>1864.7400000000002</v>
      </c>
      <c r="AJ249" s="170">
        <f t="shared" si="44"/>
        <v>1763.8400000000001</v>
      </c>
      <c r="AK249" s="170">
        <f t="shared" si="44"/>
        <v>1811.64</v>
      </c>
      <c r="AL249" s="170">
        <f t="shared" si="44"/>
        <v>1868.14</v>
      </c>
      <c r="AM249" s="170">
        <f t="shared" si="44"/>
        <v>1883.04</v>
      </c>
      <c r="AN249" s="170">
        <f t="shared" si="44"/>
        <v>2027.9400000000003</v>
      </c>
      <c r="AO249" s="170">
        <f t="shared" si="44"/>
        <v>1950.64</v>
      </c>
      <c r="AP249" s="170">
        <f t="shared" si="44"/>
        <v>1926.0400000000002</v>
      </c>
      <c r="AQ249" s="170">
        <f t="shared" si="44"/>
        <v>1902.94</v>
      </c>
      <c r="AR249" s="170">
        <f t="shared" si="44"/>
        <v>1958.14</v>
      </c>
      <c r="AS249" s="170">
        <f t="shared" si="44"/>
        <v>2007.1400000000003</v>
      </c>
      <c r="AT249" s="170">
        <f t="shared" si="44"/>
        <v>2012.4400000000003</v>
      </c>
      <c r="AU249" s="170">
        <f t="shared" si="44"/>
        <v>2016.2400000000002</v>
      </c>
      <c r="AV249" s="170">
        <f t="shared" si="44"/>
        <v>1975.14</v>
      </c>
      <c r="AW249" s="170">
        <f t="shared" si="44"/>
        <v>1982.6399999999999</v>
      </c>
      <c r="AX249" s="170">
        <f t="shared" si="44"/>
        <v>1908.34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45">C234</f>
        <v>0.64</v>
      </c>
      <c r="C270" s="173">
        <f t="shared" si="45"/>
        <v>0.64</v>
      </c>
      <c r="D270" s="173">
        <f t="shared" si="45"/>
        <v>0.64</v>
      </c>
      <c r="E270" s="173">
        <f t="shared" si="45"/>
        <v>0.64</v>
      </c>
      <c r="F270" s="173">
        <f t="shared" si="45"/>
        <v>0.64</v>
      </c>
      <c r="G270" s="173">
        <f t="shared" si="45"/>
        <v>0.64</v>
      </c>
      <c r="H270" s="173">
        <f t="shared" si="45"/>
        <v>0.64</v>
      </c>
      <c r="I270" s="173">
        <f t="shared" si="45"/>
        <v>0.64</v>
      </c>
      <c r="J270" s="173">
        <f t="shared" si="45"/>
        <v>0.64</v>
      </c>
      <c r="K270" s="173">
        <f t="shared" si="45"/>
        <v>0.64</v>
      </c>
      <c r="L270" s="173">
        <f t="shared" si="45"/>
        <v>0.64</v>
      </c>
      <c r="M270" s="173">
        <f t="shared" si="45"/>
        <v>0.64</v>
      </c>
      <c r="N270" s="173">
        <f t="shared" si="45"/>
        <v>0.64</v>
      </c>
      <c r="O270" s="173">
        <f t="shared" si="45"/>
        <v>0.64</v>
      </c>
      <c r="P270" s="173">
        <f t="shared" si="45"/>
        <v>0</v>
      </c>
      <c r="Q270" s="173">
        <f t="shared" si="45"/>
        <v>0</v>
      </c>
      <c r="R270" s="173">
        <f t="shared" si="45"/>
        <v>0</v>
      </c>
      <c r="S270" s="173">
        <f t="shared" si="45"/>
        <v>0</v>
      </c>
      <c r="T270" s="173">
        <f t="shared" si="45"/>
        <v>0</v>
      </c>
      <c r="U270" s="173">
        <f t="shared" si="45"/>
        <v>0</v>
      </c>
      <c r="V270" s="173">
        <f t="shared" si="45"/>
        <v>0</v>
      </c>
      <c r="W270" s="173">
        <f t="shared" si="45"/>
        <v>0</v>
      </c>
      <c r="X270" s="173">
        <f t="shared" si="45"/>
        <v>0</v>
      </c>
      <c r="Y270" s="173">
        <f t="shared" si="45"/>
        <v>0</v>
      </c>
      <c r="Z270" s="173">
        <f t="shared" si="45"/>
        <v>0</v>
      </c>
      <c r="AA270" s="173">
        <f t="shared" si="45"/>
        <v>0</v>
      </c>
      <c r="AB270" s="173">
        <f t="shared" si="45"/>
        <v>0</v>
      </c>
      <c r="AC270" s="173">
        <f t="shared" si="45"/>
        <v>0</v>
      </c>
      <c r="AD270" s="173">
        <f t="shared" si="45"/>
        <v>0</v>
      </c>
      <c r="AE270" s="173">
        <f t="shared" si="45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46">IF(B238&lt;100,"",B238-520)</f>
        <v/>
      </c>
      <c r="C271" s="174" t="str">
        <f t="shared" si="46"/>
        <v/>
      </c>
      <c r="D271" s="174" t="str">
        <f t="shared" si="46"/>
        <v/>
      </c>
      <c r="E271" s="174" t="str">
        <f t="shared" si="46"/>
        <v/>
      </c>
      <c r="F271" s="174" t="str">
        <f t="shared" si="46"/>
        <v/>
      </c>
      <c r="G271" s="174" t="str">
        <f t="shared" si="46"/>
        <v/>
      </c>
      <c r="H271" s="174" t="str">
        <f t="shared" si="46"/>
        <v/>
      </c>
      <c r="I271" s="174" t="str">
        <f t="shared" si="46"/>
        <v/>
      </c>
      <c r="J271" s="174" t="str">
        <f t="shared" si="46"/>
        <v/>
      </c>
      <c r="K271" s="174" t="str">
        <f t="shared" si="46"/>
        <v/>
      </c>
      <c r="L271" s="174" t="str">
        <f t="shared" si="46"/>
        <v/>
      </c>
      <c r="M271" s="174" t="str">
        <f t="shared" si="46"/>
        <v/>
      </c>
      <c r="N271" s="174" t="str">
        <f t="shared" si="46"/>
        <v/>
      </c>
      <c r="O271" s="174" t="str">
        <f t="shared" si="46"/>
        <v/>
      </c>
      <c r="P271" s="174" t="str">
        <f t="shared" si="46"/>
        <v/>
      </c>
      <c r="Q271" s="174" t="str">
        <f t="shared" si="46"/>
        <v/>
      </c>
      <c r="R271" s="174" t="str">
        <f t="shared" si="46"/>
        <v/>
      </c>
      <c r="S271" s="174" t="str">
        <f t="shared" si="46"/>
        <v/>
      </c>
      <c r="T271" s="174" t="str">
        <f t="shared" si="46"/>
        <v/>
      </c>
      <c r="U271" s="174" t="str">
        <f t="shared" si="46"/>
        <v/>
      </c>
      <c r="V271" s="174" t="str">
        <f t="shared" si="46"/>
        <v/>
      </c>
      <c r="W271" s="174" t="str">
        <f t="shared" si="46"/>
        <v/>
      </c>
      <c r="X271" s="174" t="str">
        <f t="shared" si="46"/>
        <v/>
      </c>
      <c r="Y271" s="174" t="str">
        <f t="shared" si="46"/>
        <v/>
      </c>
      <c r="Z271" s="174" t="str">
        <f t="shared" si="46"/>
        <v/>
      </c>
      <c r="AA271" s="174" t="str">
        <f t="shared" si="46"/>
        <v/>
      </c>
      <c r="AB271" s="174" t="str">
        <f t="shared" si="46"/>
        <v/>
      </c>
      <c r="AC271" s="174" t="str">
        <f t="shared" si="46"/>
        <v/>
      </c>
      <c r="AD271" s="174" t="str">
        <f t="shared" si="46"/>
        <v/>
      </c>
      <c r="AE271" s="174" t="str">
        <f t="shared" si="46"/>
        <v/>
      </c>
      <c r="AF271" s="174" t="str">
        <f t="shared" si="46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47">IF(B239&lt;100,"",B239-620)</f>
        <v/>
      </c>
      <c r="C272" s="174" t="str">
        <f t="shared" si="47"/>
        <v/>
      </c>
      <c r="D272" s="174" t="str">
        <f t="shared" si="47"/>
        <v/>
      </c>
      <c r="E272" s="174" t="str">
        <f t="shared" si="47"/>
        <v/>
      </c>
      <c r="F272" s="174" t="str">
        <f t="shared" si="47"/>
        <v/>
      </c>
      <c r="G272" s="174" t="str">
        <f t="shared" si="47"/>
        <v/>
      </c>
      <c r="H272" s="174" t="str">
        <f t="shared" si="47"/>
        <v/>
      </c>
      <c r="I272" s="174" t="str">
        <f t="shared" si="47"/>
        <v/>
      </c>
      <c r="J272" s="174" t="str">
        <f t="shared" si="47"/>
        <v/>
      </c>
      <c r="K272" s="174" t="str">
        <f t="shared" si="47"/>
        <v/>
      </c>
      <c r="L272" s="174" t="str">
        <f t="shared" si="47"/>
        <v/>
      </c>
      <c r="M272" s="174" t="str">
        <f t="shared" si="47"/>
        <v/>
      </c>
      <c r="N272" s="174" t="str">
        <f t="shared" si="47"/>
        <v/>
      </c>
      <c r="O272" s="174" t="str">
        <f t="shared" si="47"/>
        <v/>
      </c>
      <c r="P272" s="174" t="str">
        <f t="shared" si="47"/>
        <v/>
      </c>
      <c r="Q272" s="174" t="str">
        <f t="shared" si="47"/>
        <v/>
      </c>
      <c r="R272" s="174" t="str">
        <f t="shared" si="47"/>
        <v/>
      </c>
      <c r="S272" s="174" t="str">
        <f t="shared" si="47"/>
        <v/>
      </c>
      <c r="T272" s="174" t="str">
        <f t="shared" si="47"/>
        <v/>
      </c>
      <c r="U272" s="174" t="str">
        <f t="shared" si="47"/>
        <v/>
      </c>
      <c r="V272" s="174" t="str">
        <f t="shared" si="47"/>
        <v/>
      </c>
      <c r="W272" s="174" t="str">
        <f t="shared" si="47"/>
        <v/>
      </c>
      <c r="X272" s="174" t="str">
        <f t="shared" si="47"/>
        <v/>
      </c>
      <c r="Y272" s="174" t="str">
        <f t="shared" si="47"/>
        <v/>
      </c>
      <c r="Z272" s="174" t="str">
        <f t="shared" si="47"/>
        <v/>
      </c>
      <c r="AA272" s="174" t="str">
        <f t="shared" si="47"/>
        <v/>
      </c>
      <c r="AB272" s="174" t="str">
        <f t="shared" si="47"/>
        <v/>
      </c>
      <c r="AC272" s="174" t="str">
        <f t="shared" si="47"/>
        <v/>
      </c>
      <c r="AD272" s="174" t="str">
        <f t="shared" si="47"/>
        <v/>
      </c>
      <c r="AE272" s="174" t="str">
        <f t="shared" si="47"/>
        <v/>
      </c>
      <c r="AF272" s="174" t="str">
        <f t="shared" si="47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48">IF(B240&lt;100,"",B240-330)</f>
        <v/>
      </c>
      <c r="C273" s="174" t="str">
        <f t="shared" si="48"/>
        <v/>
      </c>
      <c r="D273" s="174" t="str">
        <f t="shared" si="48"/>
        <v/>
      </c>
      <c r="E273" s="174" t="str">
        <f t="shared" si="48"/>
        <v/>
      </c>
      <c r="F273" s="174" t="str">
        <f t="shared" si="48"/>
        <v/>
      </c>
      <c r="G273" s="174" t="str">
        <f t="shared" si="48"/>
        <v/>
      </c>
      <c r="H273" s="174" t="str">
        <f t="shared" si="48"/>
        <v/>
      </c>
      <c r="I273" s="174" t="str">
        <f t="shared" si="48"/>
        <v/>
      </c>
      <c r="J273" s="174" t="str">
        <f t="shared" si="48"/>
        <v/>
      </c>
      <c r="K273" s="174" t="str">
        <f t="shared" si="48"/>
        <v/>
      </c>
      <c r="L273" s="174" t="str">
        <f t="shared" si="48"/>
        <v/>
      </c>
      <c r="M273" s="174" t="str">
        <f t="shared" si="48"/>
        <v/>
      </c>
      <c r="N273" s="174" t="str">
        <f t="shared" si="48"/>
        <v/>
      </c>
      <c r="O273" s="174" t="str">
        <f t="shared" si="48"/>
        <v/>
      </c>
      <c r="P273" s="174" t="str">
        <f t="shared" si="48"/>
        <v/>
      </c>
      <c r="Q273" s="174" t="str">
        <f t="shared" si="48"/>
        <v/>
      </c>
      <c r="R273" s="174" t="str">
        <f t="shared" si="48"/>
        <v/>
      </c>
      <c r="S273" s="174" t="str">
        <f t="shared" si="48"/>
        <v/>
      </c>
      <c r="T273" s="174" t="str">
        <f t="shared" si="48"/>
        <v/>
      </c>
      <c r="U273" s="174" t="str">
        <f t="shared" si="48"/>
        <v/>
      </c>
      <c r="V273" s="174" t="str">
        <f t="shared" si="48"/>
        <v/>
      </c>
      <c r="W273" s="174" t="str">
        <f t="shared" si="48"/>
        <v/>
      </c>
      <c r="X273" s="174" t="str">
        <f t="shared" si="48"/>
        <v/>
      </c>
      <c r="Y273" s="174" t="str">
        <f t="shared" si="48"/>
        <v/>
      </c>
      <c r="Z273" s="174" t="str">
        <f t="shared" si="48"/>
        <v/>
      </c>
      <c r="AA273" s="174" t="str">
        <f t="shared" si="48"/>
        <v/>
      </c>
      <c r="AB273" s="174" t="str">
        <f t="shared" si="48"/>
        <v/>
      </c>
      <c r="AC273" s="174" t="str">
        <f t="shared" si="48"/>
        <v/>
      </c>
      <c r="AD273" s="174" t="str">
        <f t="shared" si="48"/>
        <v/>
      </c>
      <c r="AE273" s="174" t="str">
        <f t="shared" si="48"/>
        <v/>
      </c>
      <c r="AF273" s="174" t="str">
        <f t="shared" si="48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49">IF(B241&lt;100,"",B241-1500)</f>
        <v/>
      </c>
      <c r="C274" s="174" t="str">
        <f t="shared" si="49"/>
        <v/>
      </c>
      <c r="D274" s="174" t="str">
        <f t="shared" si="49"/>
        <v/>
      </c>
      <c r="E274" s="174" t="str">
        <f t="shared" si="49"/>
        <v/>
      </c>
      <c r="F274" s="174" t="str">
        <f t="shared" si="49"/>
        <v/>
      </c>
      <c r="G274" s="174" t="str">
        <f t="shared" si="49"/>
        <v/>
      </c>
      <c r="H274" s="174" t="str">
        <f t="shared" si="49"/>
        <v/>
      </c>
      <c r="I274" s="174" t="str">
        <f t="shared" si="49"/>
        <v/>
      </c>
      <c r="J274" s="174" t="str">
        <f t="shared" si="49"/>
        <v/>
      </c>
      <c r="K274" s="174" t="str">
        <f t="shared" si="49"/>
        <v/>
      </c>
      <c r="L274" s="174" t="str">
        <f t="shared" si="49"/>
        <v/>
      </c>
      <c r="M274" s="174" t="str">
        <f t="shared" si="49"/>
        <v/>
      </c>
      <c r="N274" s="174" t="str">
        <f t="shared" si="49"/>
        <v/>
      </c>
      <c r="O274" s="174" t="str">
        <f t="shared" si="49"/>
        <v/>
      </c>
      <c r="P274" s="174" t="str">
        <f t="shared" si="49"/>
        <v/>
      </c>
      <c r="Q274" s="174" t="str">
        <f t="shared" si="49"/>
        <v/>
      </c>
      <c r="R274" s="174" t="str">
        <f t="shared" si="49"/>
        <v/>
      </c>
      <c r="S274" s="174" t="str">
        <f t="shared" si="49"/>
        <v/>
      </c>
      <c r="T274" s="174" t="str">
        <f t="shared" si="49"/>
        <v/>
      </c>
      <c r="U274" s="174" t="str">
        <f t="shared" si="49"/>
        <v/>
      </c>
      <c r="V274" s="174" t="str">
        <f t="shared" si="49"/>
        <v/>
      </c>
      <c r="W274" s="174" t="str">
        <f t="shared" si="49"/>
        <v/>
      </c>
      <c r="X274" s="174" t="str">
        <f t="shared" si="49"/>
        <v/>
      </c>
      <c r="Y274" s="174" t="str">
        <f t="shared" si="49"/>
        <v/>
      </c>
      <c r="Z274" s="174" t="str">
        <f t="shared" si="49"/>
        <v/>
      </c>
      <c r="AA274" s="174" t="str">
        <f t="shared" si="49"/>
        <v/>
      </c>
      <c r="AB274" s="174" t="str">
        <f t="shared" si="49"/>
        <v/>
      </c>
      <c r="AC274" s="174" t="str">
        <f t="shared" si="49"/>
        <v/>
      </c>
      <c r="AD274" s="174" t="str">
        <f t="shared" si="49"/>
        <v/>
      </c>
      <c r="AE274" s="174" t="str">
        <f t="shared" si="49"/>
        <v/>
      </c>
      <c r="AF274" s="174" t="str">
        <f t="shared" si="49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2120" priority="184">
      <formula>$AH11=0</formula>
    </cfRule>
  </conditionalFormatting>
  <conditionalFormatting sqref="B8 M8 S8 AB8">
    <cfRule type="expression" dxfId="2119" priority="236">
      <formula>AND(C$9&gt;=8/24,C$9&lt;14/24)</formula>
    </cfRule>
    <cfRule type="expression" dxfId="2118" priority="237">
      <formula>C$9&lt;8/24</formula>
    </cfRule>
    <cfRule type="expression" dxfId="2117" priority="235">
      <formula>AND(C$9&gt;=14/24,C$9&lt;20/24)</formula>
    </cfRule>
  </conditionalFormatting>
  <conditionalFormatting sqref="B55:K60">
    <cfRule type="expression" dxfId="2116" priority="8">
      <formula>AND(B$9&gt;=14/24,B$9&lt;20/24)</formula>
    </cfRule>
    <cfRule type="expression" dxfId="2115" priority="45">
      <formula>AND(B$9&gt;=8/24,B$9&lt;14/24)</formula>
    </cfRule>
    <cfRule type="expression" dxfId="2114" priority="44">
      <formula>AND(B$9&gt;=14/24,B$9&lt;20/24)</formula>
    </cfRule>
    <cfRule type="expression" dxfId="2113" priority="43">
      <formula>B$9&gt;=20/24</formula>
    </cfRule>
    <cfRule type="expression" dxfId="2112" priority="46">
      <formula>B$9&lt;8/24</formula>
    </cfRule>
    <cfRule type="expression" dxfId="2111" priority="7">
      <formula>B$9&gt;=20/24</formula>
    </cfRule>
    <cfRule type="expression" dxfId="2110" priority="9">
      <formula>AND(B$9&gt;=8/24,B$9&lt;14/24)</formula>
    </cfRule>
    <cfRule type="expression" dxfId="2109" priority="10">
      <formula>B$9&lt;8/24</formula>
    </cfRule>
  </conditionalFormatting>
  <conditionalFormatting sqref="B62:X66">
    <cfRule type="expression" dxfId="2108" priority="1">
      <formula>B62&gt;$AG62</formula>
    </cfRule>
  </conditionalFormatting>
  <conditionalFormatting sqref="B9:AF45">
    <cfRule type="expression" dxfId="2107" priority="20">
      <formula>B$9&gt;=20/24</formula>
    </cfRule>
    <cfRule type="expression" dxfId="2106" priority="21">
      <formula>AND(B$9&gt;=14/24,B$9&lt;20/24)</formula>
    </cfRule>
    <cfRule type="expression" dxfId="2105" priority="22">
      <formula>AND(B$9&gt;=8/24,B$9&lt;14/24)</formula>
    </cfRule>
    <cfRule type="expression" dxfId="2104" priority="23">
      <formula>B$9&lt;8/24</formula>
    </cfRule>
  </conditionalFormatting>
  <conditionalFormatting sqref="B11:AF46">
    <cfRule type="expression" dxfId="2103" priority="19">
      <formula>B11&gt;$AG11</formula>
    </cfRule>
  </conditionalFormatting>
  <conditionalFormatting sqref="B46:AF46">
    <cfRule type="expression" dxfId="2102" priority="16">
      <formula>AND(B$9&gt;=14/24,B$9&lt;20/24)</formula>
    </cfRule>
    <cfRule type="expression" dxfId="2101" priority="15">
      <formula>B$9&gt;=20/24</formula>
    </cfRule>
    <cfRule type="expression" dxfId="2100" priority="17">
      <formula>AND(B$9&gt;=8/24,B$9&lt;14/24)</formula>
    </cfRule>
    <cfRule type="expression" dxfId="2099" priority="18">
      <formula>B$9&lt;8/24</formula>
    </cfRule>
  </conditionalFormatting>
  <conditionalFormatting sqref="B47:AF47">
    <cfRule type="expression" dxfId="2098" priority="29">
      <formula>B47&gt;$AG47</formula>
    </cfRule>
  </conditionalFormatting>
  <conditionalFormatting sqref="B47:AF49">
    <cfRule type="expression" dxfId="2097" priority="25">
      <formula>B$9&gt;=20/24</formula>
    </cfRule>
    <cfRule type="expression" dxfId="2096" priority="28">
      <formula>B$9&lt;8/24</formula>
    </cfRule>
    <cfRule type="expression" dxfId="2095" priority="27">
      <formula>AND(B$9&gt;=8/24,B$9&lt;14/24)</formula>
    </cfRule>
    <cfRule type="expression" dxfId="2094" priority="26">
      <formula>AND(B$9&gt;=14/24,B$9&lt;20/24)</formula>
    </cfRule>
  </conditionalFormatting>
  <conditionalFormatting sqref="B48:AF53">
    <cfRule type="expression" dxfId="2093" priority="24">
      <formula>B48&gt;$AG48</formula>
    </cfRule>
  </conditionalFormatting>
  <conditionalFormatting sqref="B51:AF53">
    <cfRule type="expression" dxfId="2092" priority="41">
      <formula>AND(B$9&gt;=8/24,B$9&lt;14/24)</formula>
    </cfRule>
    <cfRule type="expression" dxfId="2091" priority="40">
      <formula>AND(B$9&gt;=14/24,B$9&lt;20/24)</formula>
    </cfRule>
    <cfRule type="expression" dxfId="2090" priority="39">
      <formula>B$9&gt;=20/24</formula>
    </cfRule>
    <cfRule type="expression" dxfId="2089" priority="42">
      <formula>B$9&lt;8/24</formula>
    </cfRule>
  </conditionalFormatting>
  <conditionalFormatting sqref="B55:AF66">
    <cfRule type="expression" dxfId="2088" priority="6">
      <formula>B55&gt;$AG55</formula>
    </cfRule>
  </conditionalFormatting>
  <conditionalFormatting sqref="B61:AF66">
    <cfRule type="expression" dxfId="2087" priority="30">
      <formula>B$9&gt;=20/24</formula>
    </cfRule>
    <cfRule type="expression" dxfId="2086" priority="32">
      <formula>AND(B$9&gt;=8/24,B$9&lt;14/24)</formula>
    </cfRule>
    <cfRule type="expression" dxfId="2085" priority="33">
      <formula>B$9&lt;8/24</formula>
    </cfRule>
    <cfRule type="expression" dxfId="2084" priority="31">
      <formula>AND(B$9&gt;=14/24,B$9&lt;20/24)</formula>
    </cfRule>
  </conditionalFormatting>
  <conditionalFormatting sqref="B69:AF71">
    <cfRule type="expression" dxfId="2083" priority="48">
      <formula>B$9&gt;=20/24</formula>
    </cfRule>
    <cfRule type="expression" dxfId="2082" priority="47">
      <formula>B69&gt;$AG69</formula>
    </cfRule>
    <cfRule type="expression" dxfId="2081" priority="49">
      <formula>AND(B$9&gt;=14/24,B$9&lt;20/24)</formula>
    </cfRule>
    <cfRule type="expression" dxfId="2080" priority="51">
      <formula>B$9&lt;8/24</formula>
    </cfRule>
    <cfRule type="expression" dxfId="2079" priority="50">
      <formula>AND(B$9&gt;=8/24,B$9&lt;14/24)</formula>
    </cfRule>
  </conditionalFormatting>
  <conditionalFormatting sqref="B73:AF91">
    <cfRule type="expression" dxfId="2078" priority="4">
      <formula>AND(B$9&gt;=8/24,B$9&lt;14/24)</formula>
    </cfRule>
    <cfRule type="expression" dxfId="2077" priority="5">
      <formula>B$9&lt;8/24</formula>
    </cfRule>
    <cfRule type="expression" dxfId="2076" priority="2">
      <formula>B$9&gt;=20/24</formula>
    </cfRule>
    <cfRule type="expression" dxfId="2075" priority="3">
      <formula>AND(B$9&gt;=14/24,B$9&lt;20/24)</formula>
    </cfRule>
  </conditionalFormatting>
  <conditionalFormatting sqref="B111:AF120">
    <cfRule type="expression" dxfId="2074" priority="11">
      <formula>B$9&gt;=20/24</formula>
    </cfRule>
    <cfRule type="expression" dxfId="2073" priority="14">
      <formula>B$9&lt;8/24</formula>
    </cfRule>
    <cfRule type="expression" dxfId="2072" priority="12">
      <formula>AND(B$9&gt;=14/24,B$9&lt;20/24)</formula>
    </cfRule>
    <cfRule type="expression" dxfId="2071" priority="13">
      <formula>AND(B$9&gt;=8/24,B$9&lt;14/24)</formula>
    </cfRule>
  </conditionalFormatting>
  <conditionalFormatting sqref="B227:AF227 D229:AF230 B229:B235 D231:H231 J231:AF231 D232:AF235 U248:AF248">
    <cfRule type="expression" dxfId="2070" priority="229">
      <formula>AND(B$9&gt;=14/24,B$9&lt;20/24)</formula>
    </cfRule>
    <cfRule type="expression" dxfId="2069" priority="228">
      <formula>B$9&gt;=20/24</formula>
    </cfRule>
    <cfRule type="expression" dxfId="2068" priority="230">
      <formula>AND(B$9&gt;=8/24,B$9&lt;14/24)</formula>
    </cfRule>
    <cfRule type="expression" dxfId="2067" priority="231">
      <formula>B$9&lt;8/24</formula>
    </cfRule>
  </conditionalFormatting>
  <conditionalFormatting sqref="B54:AG54">
    <cfRule type="expression" dxfId="2066" priority="52">
      <formula>B54&gt;$AG54</formula>
    </cfRule>
    <cfRule type="expression" dxfId="2065" priority="53">
      <formula>B$9&gt;=20/24</formula>
    </cfRule>
    <cfRule type="expression" dxfId="2064" priority="55">
      <formula>AND(B$9&gt;=8/24,B$9&lt;14/24)</formula>
    </cfRule>
    <cfRule type="expression" dxfId="2063" priority="56">
      <formula>B$9&lt;8/24</formula>
    </cfRule>
    <cfRule type="expression" dxfId="2062" priority="54">
      <formula>AND(B$9&gt;=14/24,B$9&lt;20/24)</formula>
    </cfRule>
  </conditionalFormatting>
  <conditionalFormatting sqref="B67:AG68 B72:AG72">
    <cfRule type="expression" dxfId="2061" priority="34">
      <formula>B67&gt;$AG67</formula>
    </cfRule>
  </conditionalFormatting>
  <conditionalFormatting sqref="B72:AG72 B93:AF109">
    <cfRule type="expression" dxfId="2060" priority="37">
      <formula>AND(B$9&gt;=8/24,B$9&lt;14/24)</formula>
    </cfRule>
    <cfRule type="expression" dxfId="2059" priority="35">
      <formula>B$9&gt;=20/24</formula>
    </cfRule>
    <cfRule type="expression" dxfId="2058" priority="36">
      <formula>AND(B$9&gt;=14/24,B$9&lt;20/24)</formula>
    </cfRule>
    <cfRule type="expression" dxfId="2057" priority="38">
      <formula>B$9&lt;8/24</formula>
    </cfRule>
  </conditionalFormatting>
  <conditionalFormatting sqref="L55:R57">
    <cfRule type="expression" dxfId="2056" priority="209">
      <formula>L$9&gt;=20/24</formula>
    </cfRule>
    <cfRule type="expression" dxfId="2055" priority="210">
      <formula>AND(L$9&gt;=14/24,L$9&lt;20/24)</formula>
    </cfRule>
    <cfRule type="expression" dxfId="2054" priority="211">
      <formula>AND(L$9&gt;=8/24,L$9&lt;14/24)</formula>
    </cfRule>
    <cfRule type="expression" dxfId="2053" priority="212">
      <formula>L$9&lt;8/24</formula>
    </cfRule>
  </conditionalFormatting>
  <conditionalFormatting sqref="L60:V60">
    <cfRule type="expression" dxfId="2052" priority="171">
      <formula>L$9&gt;=20/24</formula>
    </cfRule>
    <cfRule type="expression" dxfId="2051" priority="172">
      <formula>AND(L$9&gt;=14/24,L$9&lt;20/24)</formula>
    </cfRule>
    <cfRule type="expression" dxfId="2050" priority="173">
      <formula>AND(L$9&gt;=8/24,L$9&lt;14/24)</formula>
    </cfRule>
    <cfRule type="expression" dxfId="2049" priority="174">
      <formula>L$9&lt;8/24</formula>
    </cfRule>
  </conditionalFormatting>
  <conditionalFormatting sqref="O3:P3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Q55:R59 S59:T59">
    <cfRule type="expression" dxfId="2048" priority="213">
      <formula>Q$9&gt;=20/24</formula>
    </cfRule>
    <cfRule type="expression" dxfId="2047" priority="215">
      <formula>AND(Q$9&gt;=8/24,Q$9&lt;14/24)</formula>
    </cfRule>
    <cfRule type="expression" dxfId="2046" priority="216">
      <formula>Q$9&lt;8/24</formula>
    </cfRule>
    <cfRule type="expression" dxfId="2045" priority="214">
      <formula>AND(Q$9&gt;=14/24,Q$9&lt;20/24)</formula>
    </cfRule>
  </conditionalFormatting>
  <conditionalFormatting sqref="S8 AB8 B8 M8">
    <cfRule type="expression" dxfId="2044" priority="234">
      <formula>C$9&gt;=20/24</formula>
    </cfRule>
  </conditionalFormatting>
  <conditionalFormatting sqref="S8">
    <cfRule type="expression" dxfId="2043" priority="221">
      <formula>U$9&gt;=20/24</formula>
    </cfRule>
    <cfRule type="expression" dxfId="2042" priority="222">
      <formula>AND(U$9&gt;=14/24,U$9&lt;20/24)</formula>
    </cfRule>
    <cfRule type="expression" dxfId="2041" priority="223">
      <formula>AND(U$9&gt;=8/24,U$9&lt;14/24)</formula>
    </cfRule>
    <cfRule type="expression" dxfId="2040" priority="224">
      <formula>U$9&lt;8/24</formula>
    </cfRule>
  </conditionalFormatting>
  <conditionalFormatting sqref="S55:AF60">
    <cfRule type="expression" dxfId="2039" priority="130">
      <formula>S$9&gt;=20/24</formula>
    </cfRule>
    <cfRule type="expression" dxfId="2038" priority="131">
      <formula>AND(S$9&gt;=14/24,S$9&lt;20/24)</formula>
    </cfRule>
    <cfRule type="expression" dxfId="2037" priority="132">
      <formula>AND(S$9&gt;=8/24,S$9&lt;14/24)</formula>
    </cfRule>
    <cfRule type="expression" dxfId="2036" priority="133">
      <formula>S$9&lt;8/24</formula>
    </cfRule>
  </conditionalFormatting>
  <conditionalFormatting sqref="T248">
    <cfRule type="expression" dxfId="2035" priority="246">
      <formula>AX$9&gt;=20/24</formula>
    </cfRule>
    <cfRule type="expression" dxfId="2034" priority="247">
      <formula>AND(AX$9&gt;=14/24,AX$9&lt;20/24)</formula>
    </cfRule>
    <cfRule type="expression" dxfId="2033" priority="248">
      <formula>AND(AX$9&gt;=8/24,AX$9&lt;14/24)</formula>
    </cfRule>
    <cfRule type="expression" dxfId="2032" priority="249">
      <formula>AX$9&lt;8/24</formula>
    </cfRule>
  </conditionalFormatting>
  <conditionalFormatting sqref="V3 AB3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031" priority="217">
      <formula>AD$9&gt;=20/24</formula>
    </cfRule>
    <cfRule type="expression" dxfId="2030" priority="218">
      <formula>AND(AD$9&gt;=14/24,AD$9&lt;20/24)</formula>
    </cfRule>
    <cfRule type="expression" dxfId="2029" priority="219">
      <formula>AND(AD$9&gt;=8/24,AD$9&lt;14/24)</formula>
    </cfRule>
    <cfRule type="expression" dxfId="2028" priority="220">
      <formula>AD$9&lt;8/24</formula>
    </cfRule>
  </conditionalFormatting>
  <conditionalFormatting sqref="AG50">
    <cfRule type="expression" dxfId="2027" priority="204">
      <formula>AG50&gt;$AG50</formula>
    </cfRule>
  </conditionalFormatting>
  <conditionalFormatting sqref="AG89">
    <cfRule type="expression" dxfId="2026" priority="207">
      <formula>AND(AG$9&gt;=8/24,AG$9&lt;14/24)</formula>
    </cfRule>
    <cfRule type="expression" dxfId="2025" priority="208">
      <formula>AG$9&lt;8/24</formula>
    </cfRule>
    <cfRule type="expression" dxfId="2024" priority="206">
      <formula>AND(AG$9&gt;=14/24,AG$9&lt;20/24)</formula>
    </cfRule>
    <cfRule type="expression" dxfId="2023" priority="205">
      <formula>AG$9&gt;=20/24</formula>
    </cfRule>
  </conditionalFormatting>
  <conditionalFormatting sqref="AG248">
    <cfRule type="expression" dxfId="2022" priority="238">
      <formula>B$9&gt;=20/24</formula>
    </cfRule>
    <cfRule type="expression" dxfId="2021" priority="239">
      <formula>AND(B$9&gt;=14/24,B$9&lt;20/24)</formula>
    </cfRule>
    <cfRule type="expression" dxfId="2020" priority="240">
      <formula>AND(B$9&gt;=8/24,B$9&lt;14/24)</formula>
    </cfRule>
    <cfRule type="expression" dxfId="2019" priority="241">
      <formula>B$9&lt;8/24</formula>
    </cfRule>
  </conditionalFormatting>
  <conditionalFormatting sqref="AH248:AX248">
    <cfRule type="expression" dxfId="2018" priority="242">
      <formula>AG$9&gt;=20/24</formula>
    </cfRule>
    <cfRule type="expression" dxfId="2017" priority="243">
      <formula>AND(AG$9&gt;=14/24,AG$9&lt;20/24)</formula>
    </cfRule>
    <cfRule type="expression" dxfId="2016" priority="244">
      <formula>AND(AG$9&gt;=8/24,AG$9&lt;14/24)</formula>
    </cfRule>
    <cfRule type="expression" dxfId="2015" priority="245">
      <formula>AG$9&lt;8/24</formula>
    </cfRule>
  </conditionalFormatting>
  <conditionalFormatting sqref="AL4:AL6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22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014" priority="251">
      <formula>AJ$9&gt;=20/24</formula>
    </cfRule>
    <cfRule type="expression" dxfId="2013" priority="252">
      <formula>AND(AJ$9&gt;=14/24,AJ$9&lt;20/24)</formula>
    </cfRule>
    <cfRule type="expression" dxfId="2012" priority="253">
      <formula>AND(AJ$9&gt;=8/24,AJ$9&lt;14/24)</formula>
    </cfRule>
    <cfRule type="expression" dxfId="2011" priority="254">
      <formula>AJ$9&lt;8/24</formula>
    </cfRule>
  </conditionalFormatting>
  <conditionalFormatting sqref="AL80:AN80 AL86:AN86">
    <cfRule type="expression" dxfId="2010" priority="192">
      <formula>AL$9&gt;=20/24</formula>
    </cfRule>
    <cfRule type="expression" dxfId="2009" priority="193">
      <formula>AND(AL$9&gt;=14/24,AL$9&lt;20/24)</formula>
    </cfRule>
    <cfRule type="expression" dxfId="2008" priority="194">
      <formula>AND(AL$9&gt;=8/24,AL$9&lt;14/24)</formula>
    </cfRule>
    <cfRule type="expression" dxfId="2007" priority="195">
      <formula>AL$9&lt;8/24</formula>
    </cfRule>
  </conditionalFormatting>
  <conditionalFormatting sqref="AN81:AN84">
    <cfRule type="expression" dxfId="2006" priority="188">
      <formula>AN$9&gt;=20/24</formula>
    </cfRule>
    <cfRule type="expression" dxfId="2005" priority="189">
      <formula>AND(AN$9&gt;=14/24,AN$9&lt;20/24)</formula>
    </cfRule>
    <cfRule type="expression" dxfId="2004" priority="190">
      <formula>AND(AN$9&gt;=8/24,AN$9&lt;14/24)</formula>
    </cfRule>
    <cfRule type="expression" dxfId="2003" priority="191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2D93-117C-4975-B20F-847E603B7A23}">
  <dimension ref="A1:CJ281"/>
  <sheetViews>
    <sheetView workbookViewId="0">
      <pane xSplit="1" ySplit="10" topLeftCell="J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H11" sqref="AH11:AI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2080/04/10</v>
      </c>
      <c r="C4" s="203"/>
      <c r="D4" s="203"/>
      <c r="E4" s="204" t="str">
        <f ca="1">"2079/"&amp;"12/"&amp;INT(MID(CELL("filename",G6),FIND("]",CELL("filename",G6))+1,200))</f>
        <v>2079/12/10</v>
      </c>
      <c r="F4" s="204"/>
      <c r="G4" s="204"/>
      <c r="H4" s="204" t="str">
        <f ca="1">TEXT(E4,"dddd")</f>
        <v>Sunday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20</v>
      </c>
      <c r="N5" s="30">
        <f t="shared" si="0"/>
        <v>8.1999999999999993</v>
      </c>
      <c r="O5" s="30">
        <f t="shared" si="0"/>
        <v>14</v>
      </c>
      <c r="P5" s="30">
        <f t="shared" si="0"/>
        <v>13.5</v>
      </c>
      <c r="Q5" s="30">
        <f t="shared" si="0"/>
        <v>17</v>
      </c>
      <c r="R5" s="30">
        <f t="shared" si="0"/>
        <v>25</v>
      </c>
      <c r="S5" s="30">
        <f t="shared" si="0"/>
        <v>1.9</v>
      </c>
      <c r="T5" s="30">
        <f t="shared" si="0"/>
        <v>0</v>
      </c>
      <c r="U5" s="30">
        <f t="shared" si="0"/>
        <v>16.5</v>
      </c>
      <c r="V5" s="30">
        <f t="shared" si="0"/>
        <v>16.5</v>
      </c>
      <c r="W5" s="30">
        <f t="shared" si="0"/>
        <v>10.8</v>
      </c>
      <c r="X5" s="30">
        <f t="shared" si="0"/>
        <v>15.5</v>
      </c>
      <c r="Y5" s="30">
        <f t="shared" si="0"/>
        <v>20.100000000000001</v>
      </c>
      <c r="Z5" s="30">
        <f t="shared" si="0"/>
        <v>25.2</v>
      </c>
      <c r="AA5" s="30">
        <f t="shared" si="0"/>
        <v>37.799999999999997</v>
      </c>
      <c r="AB5" s="30">
        <f t="shared" si="0"/>
        <v>26.3</v>
      </c>
      <c r="AC5" s="30">
        <f t="shared" si="0"/>
        <v>22</v>
      </c>
      <c r="AD5" s="30">
        <f t="shared" si="0"/>
        <v>9.3000000000000007</v>
      </c>
      <c r="AE5" s="30">
        <f t="shared" si="0"/>
        <v>17</v>
      </c>
      <c r="AF5" s="30">
        <f>B84</f>
        <v>6.9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1954MW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Load=1829</v>
      </c>
      <c r="B7" s="35">
        <f t="shared" ref="B7:AF7" si="1">B91</f>
        <v>1899.7400000000002</v>
      </c>
      <c r="C7" s="35">
        <f t="shared" si="1"/>
        <v>1884.5400000000002</v>
      </c>
      <c r="D7" s="35">
        <f t="shared" si="1"/>
        <v>1871.74</v>
      </c>
      <c r="E7" s="35">
        <f t="shared" si="1"/>
        <v>1828.8400000000001</v>
      </c>
      <c r="F7" s="35">
        <f t="shared" si="1"/>
        <v>1856.7400000000002</v>
      </c>
      <c r="G7" s="35">
        <f t="shared" si="1"/>
        <v>1858.8400000000001</v>
      </c>
      <c r="H7" s="35">
        <f t="shared" si="1"/>
        <v>1865.44</v>
      </c>
      <c r="I7" s="35">
        <f t="shared" si="1"/>
        <v>1890.3400000000001</v>
      </c>
      <c r="J7" s="35">
        <f t="shared" si="1"/>
        <v>1917.8400000000001</v>
      </c>
      <c r="K7" s="35">
        <f t="shared" si="1"/>
        <v>1953.8400000000001</v>
      </c>
      <c r="L7" s="35">
        <f t="shared" si="1"/>
        <v>1928.14</v>
      </c>
      <c r="M7" s="35">
        <f t="shared" si="1"/>
        <v>1930.04</v>
      </c>
      <c r="N7" s="35">
        <f>N91</f>
        <v>1943.1399999999999</v>
      </c>
      <c r="O7" s="35">
        <f t="shared" si="1"/>
        <v>2007.64</v>
      </c>
      <c r="P7" s="35">
        <f t="shared" si="1"/>
        <v>1991.1399999999999</v>
      </c>
      <c r="Q7" s="35">
        <f t="shared" si="1"/>
        <v>1990.9399999999998</v>
      </c>
      <c r="R7" s="35">
        <f t="shared" si="1"/>
        <v>1995.1399999999999</v>
      </c>
      <c r="S7" s="35">
        <f t="shared" si="1"/>
        <v>2004.34</v>
      </c>
      <c r="T7" s="35">
        <f t="shared" si="1"/>
        <v>1975.74</v>
      </c>
      <c r="U7" s="35">
        <f t="shared" si="1"/>
        <v>1963.54</v>
      </c>
      <c r="V7" s="35">
        <f t="shared" si="1"/>
        <v>1954.74</v>
      </c>
      <c r="W7" s="35">
        <f t="shared" si="1"/>
        <v>1949.24</v>
      </c>
      <c r="X7" s="35">
        <f t="shared" si="1"/>
        <v>1903.14</v>
      </c>
      <c r="Y7" s="35">
        <f t="shared" si="1"/>
        <v>1930.04</v>
      </c>
      <c r="Z7" s="35">
        <f t="shared" si="1"/>
        <v>1928.7399999999998</v>
      </c>
      <c r="AA7" s="35">
        <f t="shared" si="1"/>
        <v>1995.9400000000003</v>
      </c>
      <c r="AB7" s="35">
        <f t="shared" si="1"/>
        <v>2020.5400000000002</v>
      </c>
      <c r="AC7" s="35">
        <f t="shared" si="1"/>
        <v>2070.34</v>
      </c>
      <c r="AD7" s="35">
        <f t="shared" si="1"/>
        <v>2065.44</v>
      </c>
      <c r="AE7" s="35">
        <f t="shared" si="1"/>
        <v>1975.84</v>
      </c>
      <c r="AF7" s="35">
        <f t="shared" si="1"/>
        <v>1952.54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85.2</v>
      </c>
      <c r="C11" s="45">
        <v>85.2</v>
      </c>
      <c r="D11" s="45">
        <v>85.2</v>
      </c>
      <c r="E11" s="45">
        <v>85.2</v>
      </c>
      <c r="F11" s="45">
        <v>85.2</v>
      </c>
      <c r="G11" s="45">
        <v>85.2</v>
      </c>
      <c r="H11" s="45">
        <v>85.2</v>
      </c>
      <c r="I11" s="45">
        <v>85.2</v>
      </c>
      <c r="J11" s="45">
        <v>85.2</v>
      </c>
      <c r="K11" s="45">
        <v>85.2</v>
      </c>
      <c r="L11" s="45">
        <v>85.2</v>
      </c>
      <c r="M11" s="45">
        <v>85.2</v>
      </c>
      <c r="N11" s="45">
        <v>85.2</v>
      </c>
      <c r="O11" s="45">
        <v>85.2</v>
      </c>
      <c r="P11" s="45">
        <v>85.2</v>
      </c>
      <c r="Q11" s="45">
        <v>85.2</v>
      </c>
      <c r="R11" s="45">
        <v>85.2</v>
      </c>
      <c r="S11" s="45">
        <v>90</v>
      </c>
      <c r="T11" s="45">
        <v>90</v>
      </c>
      <c r="U11" s="45">
        <v>90</v>
      </c>
      <c r="V11" s="45">
        <v>90</v>
      </c>
      <c r="W11" s="45">
        <v>90</v>
      </c>
      <c r="X11" s="45">
        <v>60</v>
      </c>
      <c r="Y11" s="45">
        <v>60</v>
      </c>
      <c r="Z11" s="45">
        <v>60</v>
      </c>
      <c r="AA11" s="45">
        <v>60</v>
      </c>
      <c r="AB11" s="45">
        <v>60</v>
      </c>
      <c r="AC11" s="45">
        <v>90</v>
      </c>
      <c r="AD11" s="45">
        <v>90</v>
      </c>
      <c r="AE11" s="45">
        <v>90</v>
      </c>
      <c r="AF11" s="45">
        <v>90</v>
      </c>
      <c r="AG11" s="46">
        <v>86</v>
      </c>
      <c r="AH11" s="47">
        <f t="shared" ref="AH11:AH76" si="2">MAX(B11:AF11)</f>
        <v>90</v>
      </c>
      <c r="AI11" s="48">
        <f t="shared" ref="AI11:AI76" si="3">MIN(B11:AF11)</f>
        <v>60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5</v>
      </c>
      <c r="N12" s="45">
        <v>0</v>
      </c>
      <c r="O12" s="45">
        <v>26</v>
      </c>
      <c r="P12" s="45">
        <v>26</v>
      </c>
      <c r="Q12" s="45">
        <v>26</v>
      </c>
      <c r="R12" s="45">
        <v>26</v>
      </c>
      <c r="S12" s="45">
        <v>26</v>
      </c>
      <c r="T12" s="45">
        <v>26</v>
      </c>
      <c r="U12" s="45">
        <v>26</v>
      </c>
      <c r="V12" s="45">
        <v>26</v>
      </c>
      <c r="W12" s="45">
        <v>26</v>
      </c>
      <c r="X12" s="45">
        <v>26</v>
      </c>
      <c r="Y12" s="45">
        <v>26</v>
      </c>
      <c r="Z12" s="45">
        <v>26</v>
      </c>
      <c r="AA12" s="45">
        <v>26</v>
      </c>
      <c r="AB12" s="45">
        <v>26</v>
      </c>
      <c r="AC12" s="45">
        <v>26</v>
      </c>
      <c r="AD12" s="45">
        <v>26</v>
      </c>
      <c r="AE12" s="45">
        <v>20</v>
      </c>
      <c r="AF12" s="45">
        <v>20</v>
      </c>
      <c r="AG12" s="49">
        <v>54</v>
      </c>
      <c r="AH12" s="47">
        <f t="shared" si="2"/>
        <v>26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55.1</v>
      </c>
      <c r="C13" s="45">
        <v>55.1</v>
      </c>
      <c r="D13" s="45">
        <v>55.1</v>
      </c>
      <c r="E13" s="45">
        <v>54.8</v>
      </c>
      <c r="F13" s="45">
        <v>54.8</v>
      </c>
      <c r="G13" s="45">
        <v>54.8</v>
      </c>
      <c r="H13" s="45">
        <v>54.8</v>
      </c>
      <c r="I13" s="45">
        <v>54.8</v>
      </c>
      <c r="J13" s="45">
        <v>54.8</v>
      </c>
      <c r="K13" s="45">
        <v>54.8</v>
      </c>
      <c r="L13" s="45">
        <v>54.8</v>
      </c>
      <c r="M13" s="45">
        <v>54.8</v>
      </c>
      <c r="N13" s="45">
        <v>54.8</v>
      </c>
      <c r="O13" s="45">
        <v>54.9</v>
      </c>
      <c r="P13" s="45">
        <v>54.9</v>
      </c>
      <c r="Q13" s="45">
        <v>54.9</v>
      </c>
      <c r="R13" s="45">
        <v>54.9</v>
      </c>
      <c r="S13" s="45">
        <v>54.9</v>
      </c>
      <c r="T13" s="45">
        <v>54.9</v>
      </c>
      <c r="U13" s="45">
        <v>54.9</v>
      </c>
      <c r="V13" s="45">
        <v>54.9</v>
      </c>
      <c r="W13" s="45">
        <v>54.9</v>
      </c>
      <c r="X13" s="45">
        <v>54.9</v>
      </c>
      <c r="Y13" s="45">
        <v>54.9</v>
      </c>
      <c r="Z13" s="45">
        <v>54.9</v>
      </c>
      <c r="AA13" s="45">
        <v>54.9</v>
      </c>
      <c r="AB13" s="45">
        <v>54.9</v>
      </c>
      <c r="AC13" s="45">
        <v>54.9</v>
      </c>
      <c r="AD13" s="45">
        <v>54.9</v>
      </c>
      <c r="AE13" s="45">
        <v>54.9</v>
      </c>
      <c r="AF13" s="45">
        <v>54.9</v>
      </c>
      <c r="AG13" s="46">
        <v>52.4</v>
      </c>
      <c r="AH13" s="47">
        <f t="shared" si="2"/>
        <v>55.1</v>
      </c>
      <c r="AI13" s="48">
        <f t="shared" si="3"/>
        <v>54.8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50.7</v>
      </c>
      <c r="C14" s="58">
        <v>50.7</v>
      </c>
      <c r="D14" s="58">
        <v>50.7</v>
      </c>
      <c r="E14" s="58">
        <v>50.3</v>
      </c>
      <c r="F14" s="58">
        <v>50.3</v>
      </c>
      <c r="G14" s="58">
        <v>50.3</v>
      </c>
      <c r="H14" s="58">
        <v>50.3</v>
      </c>
      <c r="I14" s="58">
        <v>50.3</v>
      </c>
      <c r="J14" s="58">
        <v>50.3</v>
      </c>
      <c r="K14" s="58">
        <v>50.3</v>
      </c>
      <c r="L14" s="58">
        <v>50.3</v>
      </c>
      <c r="M14" s="58">
        <v>50.3</v>
      </c>
      <c r="N14" s="58">
        <v>50.3</v>
      </c>
      <c r="O14" s="45">
        <v>50.4</v>
      </c>
      <c r="P14" s="45">
        <v>50.4</v>
      </c>
      <c r="Q14" s="45">
        <v>50.4</v>
      </c>
      <c r="R14" s="45">
        <v>50.4</v>
      </c>
      <c r="S14" s="45">
        <v>50.4</v>
      </c>
      <c r="T14" s="45">
        <v>50.4</v>
      </c>
      <c r="U14" s="45">
        <v>50.4</v>
      </c>
      <c r="V14" s="45">
        <v>50.4</v>
      </c>
      <c r="W14" s="45">
        <v>50.4</v>
      </c>
      <c r="X14" s="45">
        <v>50.4</v>
      </c>
      <c r="Y14" s="45">
        <v>50.4</v>
      </c>
      <c r="Z14" s="45">
        <v>50.4</v>
      </c>
      <c r="AA14" s="45">
        <v>50.4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49">
        <v>50</v>
      </c>
      <c r="AH14" s="47">
        <f t="shared" si="2"/>
        <v>50.7</v>
      </c>
      <c r="AI14" s="48">
        <f t="shared" si="3"/>
        <v>50.3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46.2</v>
      </c>
      <c r="C15" s="45">
        <v>46.2</v>
      </c>
      <c r="D15" s="45">
        <v>46.2</v>
      </c>
      <c r="E15" s="45">
        <v>46.1</v>
      </c>
      <c r="F15" s="45">
        <v>46.1</v>
      </c>
      <c r="G15" s="45">
        <v>46.1</v>
      </c>
      <c r="H15" s="45">
        <v>46.1</v>
      </c>
      <c r="I15" s="45">
        <v>46.1</v>
      </c>
      <c r="J15" s="45">
        <v>46.1</v>
      </c>
      <c r="K15" s="45">
        <v>46.1</v>
      </c>
      <c r="L15" s="45">
        <v>46.1</v>
      </c>
      <c r="M15" s="45">
        <v>46.1</v>
      </c>
      <c r="N15" s="45">
        <v>46.1</v>
      </c>
      <c r="O15" s="45">
        <v>46.1</v>
      </c>
      <c r="P15" s="45">
        <v>46.1</v>
      </c>
      <c r="Q15" s="45">
        <v>46.1</v>
      </c>
      <c r="R15" s="45">
        <v>46.1</v>
      </c>
      <c r="S15" s="45">
        <v>46.1</v>
      </c>
      <c r="T15" s="45">
        <v>46.1</v>
      </c>
      <c r="U15" s="45">
        <v>46.1</v>
      </c>
      <c r="V15" s="45">
        <v>46.1</v>
      </c>
      <c r="W15" s="45">
        <v>46.1</v>
      </c>
      <c r="X15" s="45">
        <v>46.1</v>
      </c>
      <c r="Y15" s="45">
        <v>46.1</v>
      </c>
      <c r="Z15" s="45">
        <v>46.1</v>
      </c>
      <c r="AA15" s="45">
        <v>46.1</v>
      </c>
      <c r="AB15" s="45">
        <v>46.1</v>
      </c>
      <c r="AC15" s="45">
        <v>46.1</v>
      </c>
      <c r="AD15" s="45">
        <v>46.1</v>
      </c>
      <c r="AE15" s="45">
        <v>46.1</v>
      </c>
      <c r="AF15" s="45">
        <v>46.1</v>
      </c>
      <c r="AG15" s="49">
        <v>45</v>
      </c>
      <c r="AH15" s="47">
        <f t="shared" si="2"/>
        <v>46.2</v>
      </c>
      <c r="AI15" s="48">
        <f t="shared" si="3"/>
        <v>46.1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</v>
      </c>
      <c r="C17" s="45">
        <v>28</v>
      </c>
      <c r="D17" s="45">
        <v>28</v>
      </c>
      <c r="E17" s="45">
        <v>28</v>
      </c>
      <c r="F17" s="45">
        <v>28</v>
      </c>
      <c r="G17" s="45">
        <v>28</v>
      </c>
      <c r="H17" s="45">
        <v>28</v>
      </c>
      <c r="I17" s="45">
        <v>28</v>
      </c>
      <c r="J17" s="45">
        <v>28</v>
      </c>
      <c r="K17" s="45">
        <v>28</v>
      </c>
      <c r="L17" s="45">
        <v>28</v>
      </c>
      <c r="M17" s="45">
        <v>29</v>
      </c>
      <c r="N17" s="45">
        <v>29</v>
      </c>
      <c r="O17" s="45">
        <v>29</v>
      </c>
      <c r="P17" s="45">
        <v>29</v>
      </c>
      <c r="Q17" s="45">
        <v>29</v>
      </c>
      <c r="R17" s="45">
        <v>29</v>
      </c>
      <c r="S17" s="45">
        <v>29</v>
      </c>
      <c r="T17" s="45">
        <v>29</v>
      </c>
      <c r="U17" s="45">
        <v>29</v>
      </c>
      <c r="V17" s="45">
        <v>29</v>
      </c>
      <c r="W17" s="45">
        <v>29</v>
      </c>
      <c r="X17" s="45">
        <v>29</v>
      </c>
      <c r="Y17" s="45">
        <v>29</v>
      </c>
      <c r="Z17" s="45">
        <v>29</v>
      </c>
      <c r="AA17" s="45">
        <v>28</v>
      </c>
      <c r="AB17" s="45">
        <v>28</v>
      </c>
      <c r="AC17" s="45">
        <v>28</v>
      </c>
      <c r="AD17" s="45">
        <v>28</v>
      </c>
      <c r="AE17" s="45">
        <v>28</v>
      </c>
      <c r="AF17" s="45">
        <v>28</v>
      </c>
      <c r="AG17" s="49">
        <v>42</v>
      </c>
      <c r="AH17" s="47">
        <f t="shared" si="2"/>
        <v>29</v>
      </c>
      <c r="AI17" s="48">
        <f t="shared" si="3"/>
        <v>28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36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0</v>
      </c>
      <c r="C20" s="45">
        <v>0</v>
      </c>
      <c r="D20" s="45">
        <v>0</v>
      </c>
      <c r="E20" s="45">
        <v>0</v>
      </c>
      <c r="F20" s="45">
        <v>10.5</v>
      </c>
      <c r="G20" s="45">
        <v>5.8</v>
      </c>
      <c r="H20" s="45">
        <v>5.8</v>
      </c>
      <c r="I20" s="45">
        <v>5.8</v>
      </c>
      <c r="J20" s="45">
        <v>5.8</v>
      </c>
      <c r="K20" s="45">
        <v>15</v>
      </c>
      <c r="L20" s="45">
        <v>15</v>
      </c>
      <c r="M20" s="45">
        <v>5</v>
      </c>
      <c r="N20" s="45">
        <v>0</v>
      </c>
      <c r="O20" s="45">
        <v>0</v>
      </c>
      <c r="P20" s="45">
        <v>10.9</v>
      </c>
      <c r="Q20" s="45">
        <v>10.9</v>
      </c>
      <c r="R20" s="45">
        <v>10.9</v>
      </c>
      <c r="S20" s="45">
        <v>6</v>
      </c>
      <c r="T20" s="45">
        <v>6</v>
      </c>
      <c r="U20" s="45">
        <v>6</v>
      </c>
      <c r="V20" s="45">
        <v>6</v>
      </c>
      <c r="W20" s="45">
        <v>6</v>
      </c>
      <c r="X20" s="45">
        <v>6</v>
      </c>
      <c r="Y20" s="45">
        <v>6</v>
      </c>
      <c r="Z20" s="45">
        <v>6</v>
      </c>
      <c r="AA20" s="45">
        <v>30</v>
      </c>
      <c r="AB20" s="45">
        <v>30</v>
      </c>
      <c r="AC20" s="45">
        <v>30</v>
      </c>
      <c r="AD20" s="45">
        <v>30</v>
      </c>
      <c r="AE20" s="45">
        <v>15</v>
      </c>
      <c r="AF20" s="45">
        <v>15</v>
      </c>
      <c r="AG20" s="51">
        <v>30</v>
      </c>
      <c r="AH20" s="47">
        <f t="shared" si="2"/>
        <v>30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20.8</v>
      </c>
      <c r="C21" s="45">
        <v>20.8</v>
      </c>
      <c r="D21" s="45">
        <v>20.8</v>
      </c>
      <c r="E21" s="45">
        <v>20.8</v>
      </c>
      <c r="F21" s="45">
        <v>20.8</v>
      </c>
      <c r="G21" s="45">
        <v>20.8</v>
      </c>
      <c r="H21" s="45">
        <v>20.8</v>
      </c>
      <c r="I21" s="45">
        <v>20.8</v>
      </c>
      <c r="J21" s="45">
        <v>20.8</v>
      </c>
      <c r="K21" s="45">
        <v>20.8</v>
      </c>
      <c r="L21" s="45">
        <v>20.8</v>
      </c>
      <c r="M21" s="45">
        <v>21</v>
      </c>
      <c r="N21" s="45">
        <v>21</v>
      </c>
      <c r="O21" s="45">
        <v>21</v>
      </c>
      <c r="P21" s="45">
        <v>21</v>
      </c>
      <c r="Q21" s="45">
        <v>21</v>
      </c>
      <c r="R21" s="45">
        <v>21</v>
      </c>
      <c r="S21" s="45">
        <v>21</v>
      </c>
      <c r="T21" s="45">
        <v>21</v>
      </c>
      <c r="U21" s="45">
        <v>21</v>
      </c>
      <c r="V21" s="45">
        <v>21</v>
      </c>
      <c r="W21" s="45">
        <v>21</v>
      </c>
      <c r="X21" s="45">
        <v>21</v>
      </c>
      <c r="Y21" s="45">
        <v>21</v>
      </c>
      <c r="Z21" s="45">
        <v>21</v>
      </c>
      <c r="AA21" s="45">
        <v>20.8</v>
      </c>
      <c r="AB21" s="45">
        <v>20.8</v>
      </c>
      <c r="AC21" s="45">
        <v>20.8</v>
      </c>
      <c r="AD21" s="45">
        <v>20.8</v>
      </c>
      <c r="AE21" s="45">
        <v>20.8</v>
      </c>
      <c r="AF21" s="45">
        <v>20.8</v>
      </c>
      <c r="AG21" s="49">
        <v>24.2</v>
      </c>
      <c r="AH21" s="47">
        <f t="shared" si="2"/>
        <v>21</v>
      </c>
      <c r="AI21" s="48">
        <f t="shared" si="3"/>
        <v>20.8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20.6</v>
      </c>
      <c r="C22" s="45">
        <v>20.6</v>
      </c>
      <c r="D22" s="45">
        <v>20.6</v>
      </c>
      <c r="E22" s="45">
        <v>20.6</v>
      </c>
      <c r="F22" s="45">
        <v>20.6</v>
      </c>
      <c r="G22" s="45">
        <v>20.6</v>
      </c>
      <c r="H22" s="45">
        <v>20.6</v>
      </c>
      <c r="I22" s="45">
        <v>20.6</v>
      </c>
      <c r="J22" s="45">
        <v>20.6</v>
      </c>
      <c r="K22" s="45">
        <v>20.6</v>
      </c>
      <c r="L22" s="45">
        <v>20.6</v>
      </c>
      <c r="M22" s="45">
        <v>20.5</v>
      </c>
      <c r="N22" s="45">
        <v>20.5</v>
      </c>
      <c r="O22" s="45">
        <v>20.5</v>
      </c>
      <c r="P22" s="45">
        <v>20.5</v>
      </c>
      <c r="Q22" s="45">
        <v>20.5</v>
      </c>
      <c r="R22" s="45">
        <v>20.5</v>
      </c>
      <c r="S22" s="45">
        <v>20.5</v>
      </c>
      <c r="T22" s="45">
        <v>20.5</v>
      </c>
      <c r="U22" s="45">
        <v>20.5</v>
      </c>
      <c r="V22" s="45">
        <v>20.5</v>
      </c>
      <c r="W22" s="45">
        <v>20.5</v>
      </c>
      <c r="X22" s="45">
        <v>20.5</v>
      </c>
      <c r="Y22" s="45">
        <v>20.5</v>
      </c>
      <c r="Z22" s="45">
        <v>20.5</v>
      </c>
      <c r="AA22" s="45">
        <v>20.5</v>
      </c>
      <c r="AB22" s="45">
        <v>20.5</v>
      </c>
      <c r="AC22" s="45">
        <v>20.5</v>
      </c>
      <c r="AD22" s="45">
        <v>20.5</v>
      </c>
      <c r="AE22" s="45">
        <v>20.5</v>
      </c>
      <c r="AF22" s="45">
        <v>20.5</v>
      </c>
      <c r="AG22" s="49">
        <v>28</v>
      </c>
      <c r="AH22" s="47">
        <f t="shared" si="2"/>
        <v>20.6</v>
      </c>
      <c r="AI22" s="48">
        <f t="shared" si="3"/>
        <v>20.5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0</v>
      </c>
      <c r="C23" s="45">
        <v>0</v>
      </c>
      <c r="D23" s="45">
        <v>0</v>
      </c>
      <c r="E23" s="45">
        <v>0</v>
      </c>
      <c r="F23" s="45">
        <v>4</v>
      </c>
      <c r="G23" s="45">
        <v>4</v>
      </c>
      <c r="H23" s="45">
        <v>4</v>
      </c>
      <c r="I23" s="45">
        <v>4</v>
      </c>
      <c r="J23" s="45">
        <v>4</v>
      </c>
      <c r="K23" s="45">
        <v>9</v>
      </c>
      <c r="L23" s="45">
        <v>9</v>
      </c>
      <c r="M23" s="45">
        <v>5</v>
      </c>
      <c r="N23" s="45">
        <v>5</v>
      </c>
      <c r="O23" s="45">
        <v>5</v>
      </c>
      <c r="P23" s="45">
        <v>5</v>
      </c>
      <c r="Q23" s="45">
        <v>5</v>
      </c>
      <c r="R23" s="45">
        <v>5</v>
      </c>
      <c r="S23" s="45">
        <v>5</v>
      </c>
      <c r="T23" s="45">
        <v>5</v>
      </c>
      <c r="U23" s="45">
        <v>5</v>
      </c>
      <c r="V23" s="45">
        <v>5</v>
      </c>
      <c r="W23" s="45">
        <v>5</v>
      </c>
      <c r="X23" s="45">
        <v>5</v>
      </c>
      <c r="Y23" s="45">
        <v>5</v>
      </c>
      <c r="Z23" s="45">
        <v>5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26.1</v>
      </c>
      <c r="C24" s="45">
        <v>26.1</v>
      </c>
      <c r="D24" s="45">
        <v>26.1</v>
      </c>
      <c r="E24" s="45">
        <v>26.1</v>
      </c>
      <c r="F24" s="45">
        <v>26.1</v>
      </c>
      <c r="G24" s="45">
        <v>26.1</v>
      </c>
      <c r="H24" s="45">
        <v>26.1</v>
      </c>
      <c r="I24" s="45">
        <v>26.1</v>
      </c>
      <c r="J24" s="45">
        <v>26.1</v>
      </c>
      <c r="K24" s="45">
        <v>26.1</v>
      </c>
      <c r="L24" s="45">
        <v>26.1</v>
      </c>
      <c r="M24" s="45">
        <v>26</v>
      </c>
      <c r="N24" s="45">
        <v>26</v>
      </c>
      <c r="O24" s="45">
        <v>26</v>
      </c>
      <c r="P24" s="45">
        <v>26</v>
      </c>
      <c r="Q24" s="45">
        <v>26</v>
      </c>
      <c r="R24" s="45">
        <v>26</v>
      </c>
      <c r="S24" s="45">
        <v>26</v>
      </c>
      <c r="T24" s="45">
        <v>26</v>
      </c>
      <c r="U24" s="45">
        <v>26</v>
      </c>
      <c r="V24" s="45">
        <v>26</v>
      </c>
      <c r="W24" s="45">
        <v>26</v>
      </c>
      <c r="X24" s="45">
        <v>26</v>
      </c>
      <c r="Y24" s="45">
        <v>26</v>
      </c>
      <c r="Z24" s="45">
        <v>26</v>
      </c>
      <c r="AA24" s="45">
        <v>26</v>
      </c>
      <c r="AB24" s="45">
        <v>26</v>
      </c>
      <c r="AC24" s="45">
        <v>26</v>
      </c>
      <c r="AD24" s="45">
        <v>26</v>
      </c>
      <c r="AE24" s="45">
        <v>26</v>
      </c>
      <c r="AF24" s="45">
        <v>26</v>
      </c>
      <c r="AG24" s="49">
        <v>25</v>
      </c>
      <c r="AH24" s="47">
        <f t="shared" si="2"/>
        <v>26.1</v>
      </c>
      <c r="AI24" s="48">
        <f t="shared" si="3"/>
        <v>26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0</v>
      </c>
      <c r="C27" s="45">
        <v>0</v>
      </c>
      <c r="D27" s="45">
        <v>0</v>
      </c>
      <c r="E27" s="45">
        <v>0</v>
      </c>
      <c r="F27" s="45">
        <v>9</v>
      </c>
      <c r="G27" s="45">
        <v>9</v>
      </c>
      <c r="H27" s="45">
        <v>9</v>
      </c>
      <c r="I27" s="45">
        <v>9</v>
      </c>
      <c r="J27" s="45">
        <v>9</v>
      </c>
      <c r="K27" s="45">
        <v>9</v>
      </c>
      <c r="L27" s="45">
        <v>9</v>
      </c>
      <c r="M27" s="45">
        <v>5</v>
      </c>
      <c r="N27" s="45">
        <v>0</v>
      </c>
      <c r="O27" s="45">
        <v>12.5</v>
      </c>
      <c r="P27" s="45">
        <v>12.5</v>
      </c>
      <c r="Q27" s="45">
        <v>12.5</v>
      </c>
      <c r="R27" s="45">
        <v>12.5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5</v>
      </c>
      <c r="AA27" s="45">
        <v>25</v>
      </c>
      <c r="AB27" s="45">
        <v>25</v>
      </c>
      <c r="AC27" s="45">
        <v>25</v>
      </c>
      <c r="AD27" s="45">
        <v>25</v>
      </c>
      <c r="AE27" s="45">
        <v>12</v>
      </c>
      <c r="AF27" s="45">
        <v>12</v>
      </c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24.9</v>
      </c>
      <c r="C28" s="45">
        <v>24.9</v>
      </c>
      <c r="D28" s="45">
        <v>24.9</v>
      </c>
      <c r="E28" s="45">
        <v>24.9</v>
      </c>
      <c r="F28" s="45">
        <v>24.9</v>
      </c>
      <c r="G28" s="45">
        <v>24.9</v>
      </c>
      <c r="H28" s="45">
        <v>24.9</v>
      </c>
      <c r="I28" s="45">
        <v>24.9</v>
      </c>
      <c r="J28" s="45">
        <v>24.9</v>
      </c>
      <c r="K28" s="45">
        <v>24.9</v>
      </c>
      <c r="L28" s="45">
        <v>24.9</v>
      </c>
      <c r="M28" s="45">
        <v>24.9</v>
      </c>
      <c r="N28" s="45">
        <v>24.9</v>
      </c>
      <c r="O28" s="45">
        <v>24.9</v>
      </c>
      <c r="P28" s="45">
        <v>24.9</v>
      </c>
      <c r="Q28" s="45">
        <v>24.9</v>
      </c>
      <c r="R28" s="45">
        <v>24.9</v>
      </c>
      <c r="S28" s="45">
        <v>24.9</v>
      </c>
      <c r="T28" s="45">
        <v>24.9</v>
      </c>
      <c r="U28" s="45">
        <v>24.9</v>
      </c>
      <c r="V28" s="45">
        <v>24.9</v>
      </c>
      <c r="W28" s="45">
        <v>24.9</v>
      </c>
      <c r="X28" s="45">
        <v>24.9</v>
      </c>
      <c r="Y28" s="45">
        <v>24.9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25.1</v>
      </c>
      <c r="AF28" s="45">
        <v>25.1</v>
      </c>
      <c r="AG28" s="49">
        <v>23.5</v>
      </c>
      <c r="AH28" s="47">
        <f t="shared" si="2"/>
        <v>25.1</v>
      </c>
      <c r="AI28" s="48">
        <f t="shared" si="3"/>
        <v>24.9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6</v>
      </c>
      <c r="C33" s="45">
        <v>6</v>
      </c>
      <c r="D33" s="45">
        <v>6</v>
      </c>
      <c r="E33" s="45">
        <v>0</v>
      </c>
      <c r="F33" s="45">
        <v>0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10</v>
      </c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49">
        <v>20</v>
      </c>
      <c r="AH33" s="47">
        <f t="shared" si="2"/>
        <v>10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5</v>
      </c>
      <c r="P34" s="45">
        <v>5</v>
      </c>
      <c r="Q34" s="45">
        <v>5</v>
      </c>
      <c r="R34" s="45">
        <v>5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5</v>
      </c>
      <c r="Y34" s="45">
        <v>5</v>
      </c>
      <c r="Z34" s="45">
        <v>5</v>
      </c>
      <c r="AA34" s="45">
        <v>10</v>
      </c>
      <c r="AB34" s="45">
        <v>17</v>
      </c>
      <c r="AC34" s="45">
        <v>17</v>
      </c>
      <c r="AD34" s="45">
        <v>17</v>
      </c>
      <c r="AE34" s="45">
        <v>7</v>
      </c>
      <c r="AF34" s="45">
        <v>7</v>
      </c>
      <c r="AG34" s="49">
        <v>18</v>
      </c>
      <c r="AH34" s="47">
        <f t="shared" si="2"/>
        <v>17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14</v>
      </c>
      <c r="C35" s="45">
        <v>14</v>
      </c>
      <c r="D35" s="45">
        <v>14</v>
      </c>
      <c r="E35" s="45">
        <v>14</v>
      </c>
      <c r="F35" s="45">
        <v>14</v>
      </c>
      <c r="G35" s="45">
        <v>14</v>
      </c>
      <c r="H35" s="45">
        <v>14</v>
      </c>
      <c r="I35" s="45">
        <v>14</v>
      </c>
      <c r="J35" s="45">
        <v>14</v>
      </c>
      <c r="K35" s="45">
        <v>14</v>
      </c>
      <c r="L35" s="45">
        <v>14</v>
      </c>
      <c r="M35" s="45">
        <v>14</v>
      </c>
      <c r="N35" s="45">
        <v>14</v>
      </c>
      <c r="O35" s="45">
        <v>14</v>
      </c>
      <c r="P35" s="45">
        <v>14</v>
      </c>
      <c r="Q35" s="45">
        <v>14</v>
      </c>
      <c r="R35" s="45">
        <v>14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>
        <v>14</v>
      </c>
      <c r="Z35" s="45">
        <v>14</v>
      </c>
      <c r="AA35" s="45">
        <v>14</v>
      </c>
      <c r="AB35" s="45">
        <v>14</v>
      </c>
      <c r="AC35" s="45">
        <v>14</v>
      </c>
      <c r="AD35" s="45">
        <v>14</v>
      </c>
      <c r="AE35" s="45">
        <v>14</v>
      </c>
      <c r="AF35" s="45">
        <v>14</v>
      </c>
      <c r="AG35" s="49">
        <v>14.9</v>
      </c>
      <c r="AH35" s="47">
        <f t="shared" si="2"/>
        <v>14</v>
      </c>
      <c r="AI35" s="48">
        <f t="shared" si="3"/>
        <v>14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0</v>
      </c>
      <c r="C39" s="45">
        <v>0</v>
      </c>
      <c r="D39" s="45">
        <v>0</v>
      </c>
      <c r="E39" s="45">
        <v>0</v>
      </c>
      <c r="F39" s="45">
        <v>6</v>
      </c>
      <c r="G39" s="45">
        <v>4</v>
      </c>
      <c r="H39" s="45">
        <v>4</v>
      </c>
      <c r="I39" s="45">
        <v>4</v>
      </c>
      <c r="J39" s="45">
        <v>4</v>
      </c>
      <c r="K39" s="45">
        <v>4</v>
      </c>
      <c r="L39" s="45">
        <v>4</v>
      </c>
      <c r="M39" s="45">
        <v>4</v>
      </c>
      <c r="N39" s="45">
        <v>4</v>
      </c>
      <c r="O39" s="45">
        <v>4</v>
      </c>
      <c r="P39" s="45">
        <v>4</v>
      </c>
      <c r="Q39" s="45">
        <v>4</v>
      </c>
      <c r="R39" s="45">
        <v>4</v>
      </c>
      <c r="S39" s="45">
        <v>4</v>
      </c>
      <c r="T39" s="45">
        <v>3</v>
      </c>
      <c r="U39" s="45">
        <v>3</v>
      </c>
      <c r="V39" s="45">
        <v>3</v>
      </c>
      <c r="W39" s="45">
        <v>3</v>
      </c>
      <c r="X39" s="45">
        <v>3</v>
      </c>
      <c r="Y39" s="45">
        <v>3</v>
      </c>
      <c r="Z39" s="45">
        <v>3</v>
      </c>
      <c r="AA39" s="45">
        <v>12</v>
      </c>
      <c r="AB39" s="45">
        <v>12</v>
      </c>
      <c r="AC39" s="45">
        <v>12</v>
      </c>
      <c r="AD39" s="45">
        <v>12</v>
      </c>
      <c r="AE39" s="45">
        <v>6</v>
      </c>
      <c r="AF39" s="45">
        <v>6</v>
      </c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7</v>
      </c>
      <c r="T40" s="45">
        <v>7</v>
      </c>
      <c r="U40" s="45">
        <v>7</v>
      </c>
      <c r="V40" s="45">
        <v>7</v>
      </c>
      <c r="W40" s="45">
        <v>7</v>
      </c>
      <c r="X40" s="45">
        <v>7</v>
      </c>
      <c r="Y40" s="45">
        <v>7</v>
      </c>
      <c r="Z40" s="45">
        <v>7</v>
      </c>
      <c r="AA40" s="45">
        <v>7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12</v>
      </c>
      <c r="J41" s="45">
        <v>12</v>
      </c>
      <c r="K41" s="45">
        <v>12</v>
      </c>
      <c r="L41" s="45">
        <v>12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</v>
      </c>
      <c r="C43" s="45">
        <v>11</v>
      </c>
      <c r="D43" s="45">
        <v>11</v>
      </c>
      <c r="E43" s="45">
        <v>11</v>
      </c>
      <c r="F43" s="45">
        <v>11</v>
      </c>
      <c r="G43" s="45">
        <v>11</v>
      </c>
      <c r="H43" s="45">
        <v>11</v>
      </c>
      <c r="I43" s="45">
        <v>11</v>
      </c>
      <c r="J43" s="45">
        <v>11</v>
      </c>
      <c r="K43" s="45">
        <v>11</v>
      </c>
      <c r="L43" s="45">
        <v>11</v>
      </c>
      <c r="M43" s="45">
        <v>11</v>
      </c>
      <c r="N43" s="45">
        <v>11</v>
      </c>
      <c r="O43" s="45">
        <v>11</v>
      </c>
      <c r="P43" s="45">
        <v>11</v>
      </c>
      <c r="Q43" s="45">
        <v>11</v>
      </c>
      <c r="R43" s="45">
        <v>11</v>
      </c>
      <c r="S43" s="45">
        <v>11</v>
      </c>
      <c r="T43" s="45">
        <v>11</v>
      </c>
      <c r="U43" s="45">
        <v>11</v>
      </c>
      <c r="V43" s="45">
        <v>11</v>
      </c>
      <c r="W43" s="45">
        <v>11</v>
      </c>
      <c r="X43" s="45">
        <v>11</v>
      </c>
      <c r="Y43" s="45">
        <v>11</v>
      </c>
      <c r="Z43" s="45">
        <v>11</v>
      </c>
      <c r="AA43" s="45">
        <v>11</v>
      </c>
      <c r="AB43" s="45">
        <v>11</v>
      </c>
      <c r="AC43" s="45">
        <v>11</v>
      </c>
      <c r="AD43" s="45">
        <v>11</v>
      </c>
      <c r="AE43" s="45">
        <v>11</v>
      </c>
      <c r="AF43" s="45">
        <v>11</v>
      </c>
      <c r="AG43" s="51">
        <v>11.88</v>
      </c>
      <c r="AH43" s="47">
        <f t="shared" si="2"/>
        <v>11</v>
      </c>
      <c r="AI43" s="48">
        <f t="shared" si="3"/>
        <v>11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9.5</v>
      </c>
      <c r="C45" s="45">
        <v>9.5</v>
      </c>
      <c r="D45" s="45">
        <v>9.5</v>
      </c>
      <c r="E45" s="45">
        <v>9.5</v>
      </c>
      <c r="F45" s="45">
        <v>9.5</v>
      </c>
      <c r="G45" s="45">
        <v>9.5</v>
      </c>
      <c r="H45" s="45">
        <v>9.5</v>
      </c>
      <c r="I45" s="45">
        <v>9.5</v>
      </c>
      <c r="J45" s="45">
        <v>9.5</v>
      </c>
      <c r="K45" s="45">
        <v>9.5</v>
      </c>
      <c r="L45" s="45">
        <v>9.5</v>
      </c>
      <c r="M45" s="45">
        <v>9.5</v>
      </c>
      <c r="N45" s="45">
        <v>9.5</v>
      </c>
      <c r="O45" s="45">
        <v>9.5</v>
      </c>
      <c r="P45" s="45">
        <v>9.5</v>
      </c>
      <c r="Q45" s="45">
        <v>9.5</v>
      </c>
      <c r="R45" s="45">
        <v>9.5</v>
      </c>
      <c r="S45" s="45">
        <v>9.5</v>
      </c>
      <c r="T45" s="45">
        <v>9.5</v>
      </c>
      <c r="U45" s="45">
        <v>9.5</v>
      </c>
      <c r="V45" s="45">
        <v>9.5</v>
      </c>
      <c r="W45" s="45">
        <v>9.5</v>
      </c>
      <c r="X45" s="45">
        <v>9.5</v>
      </c>
      <c r="Y45" s="45">
        <v>9.5</v>
      </c>
      <c r="Z45" s="45">
        <v>9.5</v>
      </c>
      <c r="AA45" s="45">
        <v>9.5</v>
      </c>
      <c r="AB45" s="45">
        <v>9.5</v>
      </c>
      <c r="AC45" s="45">
        <v>9.5</v>
      </c>
      <c r="AD45" s="45">
        <v>9.5</v>
      </c>
      <c r="AE45" s="45">
        <v>9.5</v>
      </c>
      <c r="AF45" s="45">
        <v>9.5</v>
      </c>
      <c r="AG45" s="54">
        <v>10</v>
      </c>
      <c r="AH45" s="47">
        <f t="shared" si="2"/>
        <v>9.5</v>
      </c>
      <c r="AI45" s="48">
        <f t="shared" si="3"/>
        <v>9.5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>
        <f>24.4+82.8</f>
        <v>107.19999999999999</v>
      </c>
      <c r="C49" s="56">
        <f>24.5+82.9</f>
        <v>107.4</v>
      </c>
      <c r="D49" s="56">
        <f>22.7+77.2</f>
        <v>99.9</v>
      </c>
      <c r="E49" s="56">
        <f>22.7+77.2</f>
        <v>99.9</v>
      </c>
      <c r="F49" s="56">
        <f>24+81.6</f>
        <v>105.6</v>
      </c>
      <c r="G49" s="56">
        <f t="shared" ref="G49:L49" si="4">24.6+83.7</f>
        <v>108.30000000000001</v>
      </c>
      <c r="H49" s="56">
        <f t="shared" si="4"/>
        <v>108.30000000000001</v>
      </c>
      <c r="I49" s="56">
        <f t="shared" si="4"/>
        <v>108.30000000000001</v>
      </c>
      <c r="J49" s="56">
        <f t="shared" si="4"/>
        <v>108.30000000000001</v>
      </c>
      <c r="K49" s="56">
        <f t="shared" si="4"/>
        <v>108.30000000000001</v>
      </c>
      <c r="L49" s="56">
        <f t="shared" si="4"/>
        <v>108.30000000000001</v>
      </c>
      <c r="M49" s="56">
        <v>107</v>
      </c>
      <c r="N49" s="56">
        <v>107</v>
      </c>
      <c r="O49" s="58">
        <f>83.1+24.1</f>
        <v>107.19999999999999</v>
      </c>
      <c r="P49" s="58">
        <f>83.1+24.1</f>
        <v>107.19999999999999</v>
      </c>
      <c r="Q49" s="58">
        <f t="shared" ref="Q49:AD49" si="5">83.1+24.1</f>
        <v>107.19999999999999</v>
      </c>
      <c r="R49" s="58">
        <f t="shared" si="5"/>
        <v>107.19999999999999</v>
      </c>
      <c r="S49" s="58">
        <f t="shared" si="5"/>
        <v>107.19999999999999</v>
      </c>
      <c r="T49" s="58">
        <f t="shared" si="5"/>
        <v>107.19999999999999</v>
      </c>
      <c r="U49" s="58">
        <f t="shared" si="5"/>
        <v>107.19999999999999</v>
      </c>
      <c r="V49" s="58">
        <f t="shared" si="5"/>
        <v>107.19999999999999</v>
      </c>
      <c r="W49" s="58">
        <f t="shared" si="5"/>
        <v>107.19999999999999</v>
      </c>
      <c r="X49" s="58">
        <f t="shared" si="5"/>
        <v>107.19999999999999</v>
      </c>
      <c r="Y49" s="58">
        <f t="shared" si="5"/>
        <v>107.19999999999999</v>
      </c>
      <c r="Z49" s="58">
        <f t="shared" si="5"/>
        <v>107.19999999999999</v>
      </c>
      <c r="AA49" s="58">
        <f t="shared" si="5"/>
        <v>107.19999999999999</v>
      </c>
      <c r="AB49" s="58">
        <f t="shared" si="5"/>
        <v>107.19999999999999</v>
      </c>
      <c r="AC49" s="58">
        <f t="shared" si="5"/>
        <v>107.19999999999999</v>
      </c>
      <c r="AD49" s="58">
        <f t="shared" si="5"/>
        <v>107.19999999999999</v>
      </c>
      <c r="AE49" s="58">
        <f>24.2+82.5</f>
        <v>106.7</v>
      </c>
      <c r="AF49" s="58">
        <f>24.2+82.5</f>
        <v>106.7</v>
      </c>
      <c r="AG49" s="54">
        <v>240</v>
      </c>
      <c r="AH49" s="47">
        <f t="shared" si="2"/>
        <v>108.30000000000001</v>
      </c>
      <c r="AI49" s="48">
        <f t="shared" si="3"/>
        <v>99.9</v>
      </c>
      <c r="AK49" s="50"/>
    </row>
    <row r="50" spans="1:41" ht="15.75" thickBot="1" x14ac:dyDescent="0.3">
      <c r="A50" s="59" t="s">
        <v>58</v>
      </c>
      <c r="B50" s="60">
        <f t="shared" ref="B50:AF50" si="6">SUM(B11:B48)</f>
        <v>939.80000000000007</v>
      </c>
      <c r="C50" s="60">
        <f t="shared" si="6"/>
        <v>939.80000000000007</v>
      </c>
      <c r="D50" s="60">
        <f t="shared" si="6"/>
        <v>939.80000000000007</v>
      </c>
      <c r="E50" s="60">
        <f t="shared" si="6"/>
        <v>933</v>
      </c>
      <c r="F50" s="60">
        <f t="shared" si="6"/>
        <v>962.50000000000011</v>
      </c>
      <c r="G50" s="60">
        <f t="shared" si="6"/>
        <v>960.80000000000007</v>
      </c>
      <c r="H50" s="60">
        <f t="shared" si="6"/>
        <v>968.80000000000007</v>
      </c>
      <c r="I50" s="60">
        <f t="shared" si="6"/>
        <v>980.80000000000007</v>
      </c>
      <c r="J50" s="60">
        <f t="shared" si="6"/>
        <v>980.80000000000007</v>
      </c>
      <c r="K50" s="60">
        <f t="shared" si="6"/>
        <v>995.00000000000011</v>
      </c>
      <c r="L50" s="60">
        <f t="shared" si="6"/>
        <v>995.00000000000011</v>
      </c>
      <c r="M50" s="60">
        <f t="shared" si="6"/>
        <v>975</v>
      </c>
      <c r="N50" s="60">
        <f t="shared" si="6"/>
        <v>960</v>
      </c>
      <c r="O50" s="60">
        <f t="shared" si="6"/>
        <v>1008.7</v>
      </c>
      <c r="P50" s="60">
        <f t="shared" si="6"/>
        <v>1019.6</v>
      </c>
      <c r="Q50" s="60">
        <f t="shared" si="6"/>
        <v>1019.6</v>
      </c>
      <c r="R50" s="60">
        <f t="shared" si="6"/>
        <v>1019.6</v>
      </c>
      <c r="S50" s="60">
        <f t="shared" si="6"/>
        <v>1019.0000000000001</v>
      </c>
      <c r="T50" s="60">
        <f t="shared" si="6"/>
        <v>1018.0000000000001</v>
      </c>
      <c r="U50" s="60">
        <f t="shared" si="6"/>
        <v>1018.0000000000001</v>
      </c>
      <c r="V50" s="60">
        <f t="shared" si="6"/>
        <v>1018.0000000000001</v>
      </c>
      <c r="W50" s="60">
        <f t="shared" si="6"/>
        <v>1018.0000000000001</v>
      </c>
      <c r="X50" s="60">
        <f t="shared" si="6"/>
        <v>988</v>
      </c>
      <c r="Y50" s="60">
        <f t="shared" si="6"/>
        <v>988</v>
      </c>
      <c r="Z50" s="60">
        <f t="shared" si="6"/>
        <v>983</v>
      </c>
      <c r="AA50" s="60">
        <f t="shared" si="6"/>
        <v>1043.8000000000002</v>
      </c>
      <c r="AB50" s="60">
        <f t="shared" si="6"/>
        <v>1055.8000000000002</v>
      </c>
      <c r="AC50" s="60">
        <f t="shared" si="6"/>
        <v>1085.8000000000002</v>
      </c>
      <c r="AD50" s="60">
        <f t="shared" si="6"/>
        <v>1085.8000000000002</v>
      </c>
      <c r="AE50" s="60">
        <f t="shared" si="6"/>
        <v>1036</v>
      </c>
      <c r="AF50" s="60">
        <f t="shared" si="6"/>
        <v>1036</v>
      </c>
      <c r="AG50" s="61">
        <f>SUM(AG13:AG48)</f>
        <v>922.14</v>
      </c>
      <c r="AH50" s="47">
        <f t="shared" si="2"/>
        <v>1085.8000000000002</v>
      </c>
      <c r="AI50" s="48">
        <f t="shared" si="3"/>
        <v>933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f>456</f>
        <v>456</v>
      </c>
      <c r="K51" s="45">
        <f>456</f>
        <v>456</v>
      </c>
      <c r="L51" s="45">
        <f>456</f>
        <v>456</v>
      </c>
      <c r="M51" s="45">
        <f>456</f>
        <v>456</v>
      </c>
      <c r="N51" s="45">
        <f>456</f>
        <v>456</v>
      </c>
      <c r="O51" s="45">
        <f>456</f>
        <v>456</v>
      </c>
      <c r="P51" s="45">
        <f>456</f>
        <v>456</v>
      </c>
      <c r="Q51" s="45">
        <f>456</f>
        <v>456</v>
      </c>
      <c r="R51" s="45">
        <f>456</f>
        <v>456</v>
      </c>
      <c r="S51" s="45">
        <f>456</f>
        <v>456</v>
      </c>
      <c r="T51" s="45">
        <f>456</f>
        <v>456</v>
      </c>
      <c r="U51" s="45">
        <f>456</f>
        <v>456</v>
      </c>
      <c r="V51" s="45">
        <f>456</f>
        <v>456</v>
      </c>
      <c r="W51" s="45">
        <f>456</f>
        <v>456</v>
      </c>
      <c r="X51" s="45">
        <f>456</f>
        <v>456</v>
      </c>
      <c r="Y51" s="45">
        <f>456</f>
        <v>456</v>
      </c>
      <c r="Z51" s="45">
        <f>456</f>
        <v>456</v>
      </c>
      <c r="AA51" s="45">
        <f>456</f>
        <v>456</v>
      </c>
      <c r="AB51" s="45">
        <f>456</f>
        <v>456</v>
      </c>
      <c r="AC51" s="45">
        <f>456</f>
        <v>456</v>
      </c>
      <c r="AD51" s="45">
        <f>456</f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</v>
      </c>
      <c r="N53" s="66">
        <v>22</v>
      </c>
      <c r="O53" s="66">
        <v>22</v>
      </c>
      <c r="P53" s="66">
        <v>22</v>
      </c>
      <c r="Q53" s="66">
        <v>22</v>
      </c>
      <c r="R53" s="66">
        <v>22</v>
      </c>
      <c r="S53" s="66">
        <v>22</v>
      </c>
      <c r="T53" s="66">
        <v>22</v>
      </c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66">
        <v>22</v>
      </c>
      <c r="AB53" s="66">
        <v>22</v>
      </c>
      <c r="AC53" s="66">
        <v>22</v>
      </c>
      <c r="AD53" s="66">
        <v>22</v>
      </c>
      <c r="AE53" s="66">
        <v>22</v>
      </c>
      <c r="AF53" s="66">
        <v>22</v>
      </c>
      <c r="AG53" s="67">
        <v>22.1</v>
      </c>
      <c r="AH53" s="47">
        <f t="shared" si="2"/>
        <v>22.5</v>
      </c>
      <c r="AI53" s="48">
        <f t="shared" si="3"/>
        <v>22</v>
      </c>
      <c r="AK53" s="50"/>
    </row>
    <row r="54" spans="1:41" ht="15.75" thickBot="1" x14ac:dyDescent="0.3">
      <c r="A54" s="68" t="s">
        <v>62</v>
      </c>
      <c r="B54" s="60">
        <f t="shared" ref="B54:AG54" si="7">SUM(B51:B53)</f>
        <v>533.5</v>
      </c>
      <c r="C54" s="60">
        <f t="shared" si="7"/>
        <v>533.5</v>
      </c>
      <c r="D54" s="60">
        <f t="shared" si="7"/>
        <v>533.4</v>
      </c>
      <c r="E54" s="60">
        <f t="shared" si="7"/>
        <v>533.4</v>
      </c>
      <c r="F54" s="60">
        <f t="shared" si="7"/>
        <v>533.4</v>
      </c>
      <c r="G54" s="60">
        <f t="shared" si="7"/>
        <v>533.4</v>
      </c>
      <c r="H54" s="60">
        <f t="shared" si="7"/>
        <v>533.4</v>
      </c>
      <c r="I54" s="60">
        <f t="shared" si="7"/>
        <v>533.4</v>
      </c>
      <c r="J54" s="60">
        <f t="shared" si="7"/>
        <v>533.4</v>
      </c>
      <c r="K54" s="60">
        <f t="shared" si="7"/>
        <v>533.4</v>
      </c>
      <c r="L54" s="60">
        <f t="shared" si="7"/>
        <v>533.4</v>
      </c>
      <c r="M54" s="60">
        <f t="shared" si="7"/>
        <v>533</v>
      </c>
      <c r="N54" s="60">
        <f t="shared" si="7"/>
        <v>533</v>
      </c>
      <c r="O54" s="60">
        <f t="shared" si="7"/>
        <v>533</v>
      </c>
      <c r="P54" s="60">
        <f t="shared" si="7"/>
        <v>533</v>
      </c>
      <c r="Q54" s="60">
        <f t="shared" si="7"/>
        <v>533</v>
      </c>
      <c r="R54" s="60">
        <f t="shared" si="7"/>
        <v>533</v>
      </c>
      <c r="S54" s="60">
        <f t="shared" si="7"/>
        <v>533</v>
      </c>
      <c r="T54" s="60">
        <f t="shared" si="7"/>
        <v>533</v>
      </c>
      <c r="U54" s="60">
        <f t="shared" si="7"/>
        <v>533</v>
      </c>
      <c r="V54" s="60">
        <f t="shared" si="7"/>
        <v>533</v>
      </c>
      <c r="W54" s="60">
        <f t="shared" si="7"/>
        <v>533</v>
      </c>
      <c r="X54" s="60">
        <f t="shared" si="7"/>
        <v>533</v>
      </c>
      <c r="Y54" s="60">
        <f t="shared" si="7"/>
        <v>533</v>
      </c>
      <c r="Z54" s="60">
        <f t="shared" si="7"/>
        <v>533</v>
      </c>
      <c r="AA54" s="60">
        <f t="shared" si="7"/>
        <v>533</v>
      </c>
      <c r="AB54" s="60">
        <f t="shared" si="7"/>
        <v>533</v>
      </c>
      <c r="AC54" s="60">
        <f t="shared" si="7"/>
        <v>533</v>
      </c>
      <c r="AD54" s="60">
        <f t="shared" si="7"/>
        <v>533</v>
      </c>
      <c r="AE54" s="60">
        <f t="shared" si="7"/>
        <v>533</v>
      </c>
      <c r="AF54" s="60">
        <f t="shared" si="7"/>
        <v>533</v>
      </c>
      <c r="AG54" s="61">
        <f t="shared" si="7"/>
        <v>538.1</v>
      </c>
      <c r="AH54" s="47">
        <f t="shared" si="2"/>
        <v>533.5</v>
      </c>
      <c r="AI54" s="48">
        <f t="shared" si="3"/>
        <v>533</v>
      </c>
      <c r="AK54" s="50"/>
    </row>
    <row r="55" spans="1:41" x14ac:dyDescent="0.25">
      <c r="A55" s="44" t="s">
        <v>63</v>
      </c>
      <c r="B55" s="45">
        <v>135.19999999999999</v>
      </c>
      <c r="C55" s="45">
        <v>134.5</v>
      </c>
      <c r="D55" s="45">
        <v>124</v>
      </c>
      <c r="E55" s="45">
        <v>135.80000000000001</v>
      </c>
      <c r="F55" s="45">
        <v>135.5</v>
      </c>
      <c r="G55" s="45">
        <v>135.9</v>
      </c>
      <c r="H55" s="45">
        <v>135.69999999999999</v>
      </c>
      <c r="I55" s="45">
        <v>135.9</v>
      </c>
      <c r="J55" s="45">
        <v>136.4</v>
      </c>
      <c r="K55" s="45">
        <v>136.4</v>
      </c>
      <c r="L55" s="45">
        <v>136.4</v>
      </c>
      <c r="M55" s="45">
        <v>135</v>
      </c>
      <c r="N55" s="45">
        <v>135.6</v>
      </c>
      <c r="O55" s="45">
        <v>135.6</v>
      </c>
      <c r="P55" s="45">
        <v>135.6</v>
      </c>
      <c r="Q55" s="45">
        <v>135.6</v>
      </c>
      <c r="R55" s="45">
        <v>135.6</v>
      </c>
      <c r="S55" s="45">
        <v>137</v>
      </c>
      <c r="T55" s="45">
        <v>131.69999999999999</v>
      </c>
      <c r="U55" s="45">
        <v>131.69999999999999</v>
      </c>
      <c r="V55" s="45">
        <v>137</v>
      </c>
      <c r="W55" s="45">
        <v>137</v>
      </c>
      <c r="X55" s="45">
        <v>137</v>
      </c>
      <c r="Y55" s="45">
        <v>137.5</v>
      </c>
      <c r="Z55" s="45">
        <v>137.5</v>
      </c>
      <c r="AA55" s="45">
        <v>137.6</v>
      </c>
      <c r="AB55" s="45">
        <v>137.6</v>
      </c>
      <c r="AC55" s="45">
        <v>137.69999999999999</v>
      </c>
      <c r="AD55" s="45">
        <v>137.69999999999999</v>
      </c>
      <c r="AE55" s="45">
        <v>137.69999999999999</v>
      </c>
      <c r="AF55" s="45">
        <v>121.4</v>
      </c>
      <c r="AG55" s="51">
        <v>144</v>
      </c>
      <c r="AH55" s="47">
        <f t="shared" si="2"/>
        <v>137.69999999999999</v>
      </c>
      <c r="AI55" s="48">
        <f t="shared" si="3"/>
        <v>121.4</v>
      </c>
      <c r="AK55" s="50"/>
    </row>
    <row r="56" spans="1:41" x14ac:dyDescent="0.25">
      <c r="A56" s="53" t="s">
        <v>64</v>
      </c>
      <c r="B56" s="64">
        <v>66.400000000000006</v>
      </c>
      <c r="C56" s="64">
        <v>70</v>
      </c>
      <c r="D56" s="64">
        <v>66.2</v>
      </c>
      <c r="E56" s="64">
        <v>70.7</v>
      </c>
      <c r="F56" s="64">
        <v>70.099999999999994</v>
      </c>
      <c r="G56" s="64">
        <v>70.7</v>
      </c>
      <c r="H56" s="64">
        <v>70.7</v>
      </c>
      <c r="I56" s="64">
        <v>51.9</v>
      </c>
      <c r="J56" s="64">
        <v>71.400000000000006</v>
      </c>
      <c r="K56" s="64">
        <v>71.400000000000006</v>
      </c>
      <c r="L56" s="64">
        <v>65</v>
      </c>
      <c r="M56" s="64">
        <v>70.2</v>
      </c>
      <c r="N56" s="64">
        <v>69.8</v>
      </c>
      <c r="O56" s="64">
        <v>69.900000000000006</v>
      </c>
      <c r="P56" s="64">
        <v>69.900000000000006</v>
      </c>
      <c r="Q56" s="64">
        <v>69.900000000000006</v>
      </c>
      <c r="R56" s="64">
        <v>69.900000000000006</v>
      </c>
      <c r="S56" s="64">
        <v>71</v>
      </c>
      <c r="T56" s="64">
        <v>71.099999999999994</v>
      </c>
      <c r="U56" s="64">
        <v>71.099999999999994</v>
      </c>
      <c r="V56" s="64">
        <v>67</v>
      </c>
      <c r="W56" s="64">
        <v>67</v>
      </c>
      <c r="X56" s="64">
        <v>68.400000000000006</v>
      </c>
      <c r="Y56" s="64">
        <v>69.900000000000006</v>
      </c>
      <c r="Z56" s="64">
        <v>70</v>
      </c>
      <c r="AA56" s="64">
        <v>70.400000000000006</v>
      </c>
      <c r="AB56" s="64">
        <v>70.400000000000006</v>
      </c>
      <c r="AC56" s="45">
        <v>70.599999999999994</v>
      </c>
      <c r="AD56" s="64">
        <v>70.599999999999994</v>
      </c>
      <c r="AE56" s="45">
        <v>64.2</v>
      </c>
      <c r="AF56" s="45">
        <v>65.8</v>
      </c>
      <c r="AG56" s="54">
        <v>70</v>
      </c>
      <c r="AH56" s="47">
        <f t="shared" si="2"/>
        <v>71.400000000000006</v>
      </c>
      <c r="AI56" s="48">
        <f t="shared" si="3"/>
        <v>51.9</v>
      </c>
      <c r="AK56" s="50"/>
    </row>
    <row r="57" spans="1:41" x14ac:dyDescent="0.25">
      <c r="A57" s="53" t="s">
        <v>65</v>
      </c>
      <c r="B57" s="64">
        <v>64.599999999999994</v>
      </c>
      <c r="C57" s="64">
        <v>64.3</v>
      </c>
      <c r="D57" s="64">
        <v>65.400000000000006</v>
      </c>
      <c r="E57" s="64">
        <v>64.400000000000006</v>
      </c>
      <c r="F57" s="64">
        <v>63.7</v>
      </c>
      <c r="G57" s="64">
        <v>66.5</v>
      </c>
      <c r="H57" s="64">
        <v>65.3</v>
      </c>
      <c r="I57" s="64">
        <v>64</v>
      </c>
      <c r="J57" s="64">
        <v>64.3</v>
      </c>
      <c r="K57" s="64">
        <v>64.7</v>
      </c>
      <c r="L57" s="64">
        <v>62.1</v>
      </c>
      <c r="M57" s="64">
        <v>64.900000000000006</v>
      </c>
      <c r="N57" s="64">
        <v>64.8</v>
      </c>
      <c r="O57" s="64">
        <v>64.8</v>
      </c>
      <c r="P57" s="64">
        <v>64.8</v>
      </c>
      <c r="Q57" s="64">
        <v>64.8</v>
      </c>
      <c r="R57" s="64">
        <v>64.8</v>
      </c>
      <c r="S57" s="64">
        <v>64.099999999999994</v>
      </c>
      <c r="T57" s="64">
        <v>64.8</v>
      </c>
      <c r="U57" s="64">
        <v>64.8</v>
      </c>
      <c r="V57" s="64">
        <v>59.4</v>
      </c>
      <c r="W57" s="64">
        <v>59.4</v>
      </c>
      <c r="X57" s="64">
        <v>60.2</v>
      </c>
      <c r="Y57" s="64">
        <v>65</v>
      </c>
      <c r="Z57" s="64">
        <v>64</v>
      </c>
      <c r="AA57" s="64">
        <v>64.8</v>
      </c>
      <c r="AB57" s="64">
        <v>64.8</v>
      </c>
      <c r="AC57" s="45">
        <v>65.8</v>
      </c>
      <c r="AD57" s="64">
        <v>65.2</v>
      </c>
      <c r="AE57" s="45">
        <v>54.5</v>
      </c>
      <c r="AF57" s="45">
        <v>55</v>
      </c>
      <c r="AG57" s="54">
        <v>69</v>
      </c>
      <c r="AH57" s="47">
        <f t="shared" si="2"/>
        <v>66.5</v>
      </c>
      <c r="AI57" s="48">
        <f t="shared" si="3"/>
        <v>54.5</v>
      </c>
      <c r="AK57" s="50"/>
    </row>
    <row r="58" spans="1:41" x14ac:dyDescent="0.25">
      <c r="A58" s="53" t="s">
        <v>66</v>
      </c>
      <c r="B58" s="64">
        <v>60.9</v>
      </c>
      <c r="C58" s="64">
        <v>50.9</v>
      </c>
      <c r="D58" s="64">
        <v>51.4</v>
      </c>
      <c r="E58" s="56">
        <v>0</v>
      </c>
      <c r="F58" s="56">
        <v>0</v>
      </c>
      <c r="G58" s="56">
        <v>0</v>
      </c>
      <c r="H58" s="56">
        <v>0</v>
      </c>
      <c r="I58" s="56">
        <v>32.799999999999997</v>
      </c>
      <c r="J58" s="56">
        <v>40</v>
      </c>
      <c r="K58" s="56">
        <v>60.4</v>
      </c>
      <c r="L58" s="56">
        <v>43.4</v>
      </c>
      <c r="M58" s="64">
        <v>52.9</v>
      </c>
      <c r="N58" s="64">
        <v>60.9</v>
      </c>
      <c r="O58" s="64">
        <v>60.3</v>
      </c>
      <c r="P58" s="64">
        <v>60.3</v>
      </c>
      <c r="Q58" s="64">
        <v>60.3</v>
      </c>
      <c r="R58" s="64">
        <v>60.3</v>
      </c>
      <c r="S58" s="64">
        <v>60.3</v>
      </c>
      <c r="T58" s="64">
        <v>60.3</v>
      </c>
      <c r="U58" s="64">
        <v>50</v>
      </c>
      <c r="V58" s="64">
        <v>40</v>
      </c>
      <c r="W58" s="64">
        <v>40</v>
      </c>
      <c r="X58" s="64">
        <v>39.6</v>
      </c>
      <c r="Y58" s="64">
        <v>60</v>
      </c>
      <c r="Z58" s="64">
        <v>60</v>
      </c>
      <c r="AA58" s="64">
        <v>60</v>
      </c>
      <c r="AB58" s="64">
        <v>60</v>
      </c>
      <c r="AC58" s="64">
        <v>60</v>
      </c>
      <c r="AD58" s="64">
        <v>60</v>
      </c>
      <c r="AE58" s="45">
        <v>50</v>
      </c>
      <c r="AF58" s="45">
        <v>42.1</v>
      </c>
      <c r="AG58" s="54">
        <v>60</v>
      </c>
      <c r="AH58" s="47">
        <f t="shared" si="2"/>
        <v>60.9</v>
      </c>
      <c r="AI58" s="48">
        <f t="shared" si="3"/>
        <v>0</v>
      </c>
      <c r="AK58" s="50"/>
    </row>
    <row r="59" spans="1:41" x14ac:dyDescent="0.25">
      <c r="A59" s="53" t="s">
        <v>67</v>
      </c>
      <c r="B59" s="64">
        <v>30</v>
      </c>
      <c r="C59" s="64">
        <v>30</v>
      </c>
      <c r="D59" s="64">
        <v>30</v>
      </c>
      <c r="E59" s="64">
        <v>30</v>
      </c>
      <c r="F59" s="56">
        <v>30</v>
      </c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30</v>
      </c>
      <c r="O59" s="64">
        <v>30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1</v>
      </c>
      <c r="L60" s="64">
        <v>1.3</v>
      </c>
      <c r="M60" s="64">
        <v>7.5</v>
      </c>
      <c r="N60" s="64">
        <v>7.5</v>
      </c>
      <c r="O60" s="64">
        <v>15.1</v>
      </c>
      <c r="P60" s="64">
        <v>15.1</v>
      </c>
      <c r="Q60" s="64">
        <v>15.4</v>
      </c>
      <c r="R60" s="64">
        <v>16.5</v>
      </c>
      <c r="S60" s="64">
        <v>16.5</v>
      </c>
      <c r="T60" s="64">
        <v>16.5</v>
      </c>
      <c r="U60" s="64">
        <v>16.5</v>
      </c>
      <c r="V60" s="64">
        <v>16.5</v>
      </c>
      <c r="W60" s="64">
        <v>11</v>
      </c>
      <c r="X60" s="64">
        <v>5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45">
        <v>0</v>
      </c>
      <c r="AF60" s="45">
        <v>0</v>
      </c>
      <c r="AG60" s="54">
        <v>25</v>
      </c>
      <c r="AH60" s="47">
        <f t="shared" si="2"/>
        <v>16.5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3.2</v>
      </c>
      <c r="C62" s="64">
        <v>3.2</v>
      </c>
      <c r="D62" s="64">
        <v>3.2</v>
      </c>
      <c r="E62" s="64">
        <v>3.2</v>
      </c>
      <c r="F62" s="64">
        <v>3.2</v>
      </c>
      <c r="G62" s="64">
        <v>3.2</v>
      </c>
      <c r="H62" s="64">
        <v>3.2</v>
      </c>
      <c r="I62" s="64">
        <v>3.2</v>
      </c>
      <c r="J62" s="64">
        <v>3.2</v>
      </c>
      <c r="K62" s="64">
        <v>3.2</v>
      </c>
      <c r="L62" s="64">
        <v>3.2</v>
      </c>
      <c r="M62" s="64">
        <v>3.2</v>
      </c>
      <c r="N62" s="64">
        <v>3.2</v>
      </c>
      <c r="O62" s="64">
        <v>3.2</v>
      </c>
      <c r="P62" s="64">
        <v>3.2</v>
      </c>
      <c r="Q62" s="64">
        <v>3.2</v>
      </c>
      <c r="R62" s="64">
        <v>3.2</v>
      </c>
      <c r="S62" s="64">
        <v>3.2</v>
      </c>
      <c r="T62" s="64">
        <v>3.2</v>
      </c>
      <c r="U62" s="64">
        <v>3.2</v>
      </c>
      <c r="V62" s="64">
        <v>3.2</v>
      </c>
      <c r="W62" s="64">
        <v>3.2</v>
      </c>
      <c r="X62" s="64">
        <v>3.2</v>
      </c>
      <c r="Y62" s="64">
        <v>3.2</v>
      </c>
      <c r="Z62" s="64">
        <v>3.2</v>
      </c>
      <c r="AA62" s="64">
        <v>3.2</v>
      </c>
      <c r="AB62" s="64">
        <v>3.2</v>
      </c>
      <c r="AC62" s="64">
        <v>3.2</v>
      </c>
      <c r="AD62" s="64">
        <v>3.2</v>
      </c>
      <c r="AE62" s="64">
        <v>3.2</v>
      </c>
      <c r="AF62" s="64">
        <v>3.2</v>
      </c>
      <c r="AG62" s="54">
        <v>15</v>
      </c>
      <c r="AH62" s="47">
        <f t="shared" si="2"/>
        <v>3.2</v>
      </c>
      <c r="AI62" s="48">
        <f t="shared" si="3"/>
        <v>3.2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11.6</v>
      </c>
      <c r="C63" s="64">
        <v>10.8</v>
      </c>
      <c r="D63" s="64">
        <v>10.8</v>
      </c>
      <c r="E63" s="64">
        <v>10.8</v>
      </c>
      <c r="F63" s="64">
        <v>10.8</v>
      </c>
      <c r="G63" s="64">
        <v>10.8</v>
      </c>
      <c r="H63" s="64">
        <v>10.8</v>
      </c>
      <c r="I63" s="64">
        <v>10.8</v>
      </c>
      <c r="J63" s="64">
        <v>10.8</v>
      </c>
      <c r="K63" s="64">
        <v>10.8</v>
      </c>
      <c r="L63" s="64">
        <v>10.8</v>
      </c>
      <c r="M63" s="64">
        <v>10.8</v>
      </c>
      <c r="N63" s="64">
        <v>10.8</v>
      </c>
      <c r="O63" s="64">
        <v>10.8</v>
      </c>
      <c r="P63" s="64">
        <v>10.8</v>
      </c>
      <c r="Q63" s="64">
        <v>10.8</v>
      </c>
      <c r="R63" s="64">
        <v>10.4</v>
      </c>
      <c r="S63" s="64">
        <v>10.4</v>
      </c>
      <c r="T63" s="64">
        <v>10.4</v>
      </c>
      <c r="U63" s="64">
        <v>10.4</v>
      </c>
      <c r="V63" s="64">
        <v>10.4</v>
      </c>
      <c r="W63" s="64">
        <v>10.4</v>
      </c>
      <c r="X63" s="64">
        <v>10.4</v>
      </c>
      <c r="Y63" s="64">
        <v>10.4</v>
      </c>
      <c r="Z63" s="64">
        <v>10.4</v>
      </c>
      <c r="AA63" s="64">
        <v>10.4</v>
      </c>
      <c r="AB63" s="64">
        <v>10.4</v>
      </c>
      <c r="AC63" s="64">
        <v>10.4</v>
      </c>
      <c r="AD63" s="64">
        <v>10.4</v>
      </c>
      <c r="AE63" s="64">
        <v>10.4</v>
      </c>
      <c r="AF63" s="64">
        <v>9.6999999999999993</v>
      </c>
      <c r="AG63" s="54">
        <v>14.1</v>
      </c>
      <c r="AH63" s="47">
        <f t="shared" si="2"/>
        <v>11.6</v>
      </c>
      <c r="AI63" s="48">
        <f t="shared" si="3"/>
        <v>9.6999999999999993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13.9</v>
      </c>
      <c r="C64" s="64">
        <v>13.8</v>
      </c>
      <c r="D64" s="64">
        <v>13.8</v>
      </c>
      <c r="E64" s="64">
        <v>13.8</v>
      </c>
      <c r="F64" s="64">
        <v>13.8</v>
      </c>
      <c r="G64" s="64">
        <v>13.8</v>
      </c>
      <c r="H64" s="64">
        <v>13.8</v>
      </c>
      <c r="I64" s="64">
        <v>13.8</v>
      </c>
      <c r="J64" s="64">
        <v>13.8</v>
      </c>
      <c r="K64" s="64">
        <v>13.8</v>
      </c>
      <c r="L64" s="64">
        <v>13.8</v>
      </c>
      <c r="M64" s="64">
        <v>13.8</v>
      </c>
      <c r="N64" s="64">
        <v>13.8</v>
      </c>
      <c r="O64" s="64">
        <v>13.8</v>
      </c>
      <c r="P64" s="64">
        <v>13.8</v>
      </c>
      <c r="Q64" s="64">
        <v>13.8</v>
      </c>
      <c r="R64" s="64">
        <v>13.8</v>
      </c>
      <c r="S64" s="64">
        <v>13.8</v>
      </c>
      <c r="T64" s="64">
        <v>13.8</v>
      </c>
      <c r="U64" s="64">
        <v>13.8</v>
      </c>
      <c r="V64" s="64">
        <v>13.8</v>
      </c>
      <c r="W64" s="64">
        <v>13.8</v>
      </c>
      <c r="X64" s="64">
        <v>13.8</v>
      </c>
      <c r="Y64" s="64">
        <v>13.8</v>
      </c>
      <c r="Z64" s="64">
        <v>13.8</v>
      </c>
      <c r="AA64" s="64">
        <v>13.8</v>
      </c>
      <c r="AB64" s="64">
        <v>13.8</v>
      </c>
      <c r="AC64" s="64">
        <v>13.8</v>
      </c>
      <c r="AD64" s="64">
        <v>13.8</v>
      </c>
      <c r="AE64" s="64">
        <v>13.8</v>
      </c>
      <c r="AF64" s="64">
        <v>5.6</v>
      </c>
      <c r="AG64" s="54">
        <v>14</v>
      </c>
      <c r="AH64" s="47">
        <f t="shared" si="2"/>
        <v>13.9</v>
      </c>
      <c r="AI64" s="48">
        <f t="shared" si="3"/>
        <v>5.6</v>
      </c>
      <c r="AK64" s="50"/>
    </row>
    <row r="65" spans="1:40" x14ac:dyDescent="0.25">
      <c r="A65" s="53" t="s">
        <v>73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>
        <v>9</v>
      </c>
      <c r="L65" s="64">
        <v>9</v>
      </c>
      <c r="M65" s="64">
        <v>9</v>
      </c>
      <c r="N65" s="64">
        <v>9</v>
      </c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>
        <v>9</v>
      </c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9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8">SUM(B55:B67)</f>
        <v>419.53999999999996</v>
      </c>
      <c r="C68" s="60">
        <f t="shared" si="8"/>
        <v>411.24</v>
      </c>
      <c r="D68" s="60">
        <f t="shared" si="8"/>
        <v>398.54</v>
      </c>
      <c r="E68" s="60">
        <f t="shared" si="8"/>
        <v>362.44</v>
      </c>
      <c r="F68" s="60">
        <f t="shared" si="8"/>
        <v>360.84000000000003</v>
      </c>
      <c r="G68" s="60">
        <f t="shared" si="8"/>
        <v>364.64000000000004</v>
      </c>
      <c r="H68" s="60">
        <f t="shared" si="8"/>
        <v>363.24</v>
      </c>
      <c r="I68" s="60">
        <f t="shared" si="8"/>
        <v>376.14000000000004</v>
      </c>
      <c r="J68" s="60">
        <f t="shared" si="8"/>
        <v>403.64000000000004</v>
      </c>
      <c r="K68" s="60">
        <f t="shared" si="8"/>
        <v>425.44</v>
      </c>
      <c r="L68" s="60">
        <f t="shared" si="8"/>
        <v>399.74</v>
      </c>
      <c r="M68" s="60">
        <f t="shared" si="8"/>
        <v>422.04</v>
      </c>
      <c r="N68" s="60">
        <f t="shared" si="8"/>
        <v>430.14</v>
      </c>
      <c r="O68" s="60">
        <f t="shared" si="8"/>
        <v>437.24000000000007</v>
      </c>
      <c r="P68" s="60">
        <f t="shared" si="8"/>
        <v>407.24000000000007</v>
      </c>
      <c r="Q68" s="60">
        <f t="shared" si="8"/>
        <v>407.54</v>
      </c>
      <c r="R68" s="60">
        <f t="shared" si="8"/>
        <v>408.24</v>
      </c>
      <c r="S68" s="60">
        <f t="shared" si="8"/>
        <v>410.04</v>
      </c>
      <c r="T68" s="60">
        <f t="shared" si="8"/>
        <v>405.53999999999996</v>
      </c>
      <c r="U68" s="60">
        <f t="shared" si="8"/>
        <v>395.23999999999995</v>
      </c>
      <c r="V68" s="60">
        <f t="shared" si="8"/>
        <v>381.03999999999996</v>
      </c>
      <c r="W68" s="60">
        <f t="shared" si="8"/>
        <v>375.53999999999996</v>
      </c>
      <c r="X68" s="60">
        <f t="shared" si="8"/>
        <v>371.34000000000003</v>
      </c>
      <c r="Y68" s="60">
        <f t="shared" si="8"/>
        <v>393.53999999999996</v>
      </c>
      <c r="Z68" s="60">
        <f t="shared" si="8"/>
        <v>392.64</v>
      </c>
      <c r="AA68" s="60">
        <f t="shared" si="8"/>
        <v>393.94</v>
      </c>
      <c r="AB68" s="60">
        <f t="shared" si="8"/>
        <v>393.94</v>
      </c>
      <c r="AC68" s="60">
        <f t="shared" si="8"/>
        <v>425.23999999999995</v>
      </c>
      <c r="AD68" s="60">
        <f t="shared" si="8"/>
        <v>424.64</v>
      </c>
      <c r="AE68" s="60">
        <f t="shared" si="8"/>
        <v>397.53999999999996</v>
      </c>
      <c r="AF68" s="60">
        <f t="shared" si="8"/>
        <v>366.54</v>
      </c>
      <c r="AG68" s="61">
        <f t="shared" si="8"/>
        <v>489.91</v>
      </c>
      <c r="AH68" s="47">
        <f t="shared" si="2"/>
        <v>437.24000000000007</v>
      </c>
      <c r="AI68" s="48">
        <f t="shared" si="3"/>
        <v>360.84000000000003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13.1</v>
      </c>
      <c r="P69" s="45">
        <v>10.4</v>
      </c>
      <c r="Q69" s="45">
        <v>10.4</v>
      </c>
      <c r="R69" s="45">
        <v>10.4</v>
      </c>
      <c r="S69" s="45">
        <v>10.4</v>
      </c>
      <c r="T69" s="45">
        <v>10.4</v>
      </c>
      <c r="U69" s="45">
        <v>10.4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13.1</v>
      </c>
      <c r="AI69" s="48">
        <f t="shared" si="3"/>
        <v>0</v>
      </c>
      <c r="AK69" s="50"/>
    </row>
    <row r="70" spans="1:40" x14ac:dyDescent="0.25">
      <c r="A70" s="53" t="s">
        <v>78</v>
      </c>
      <c r="B70" s="45">
        <v>0</v>
      </c>
      <c r="C70" s="45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5.4</v>
      </c>
      <c r="P70" s="64">
        <v>5.4</v>
      </c>
      <c r="Q70" s="64">
        <v>5.4</v>
      </c>
      <c r="R70" s="64">
        <v>5.4</v>
      </c>
      <c r="S70" s="64">
        <v>5.4</v>
      </c>
      <c r="T70" s="64">
        <v>5.4</v>
      </c>
      <c r="U70" s="64">
        <v>5.4</v>
      </c>
      <c r="V70" s="64">
        <v>4.7</v>
      </c>
      <c r="W70" s="64">
        <v>4.7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5.4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>
        <v>0</v>
      </c>
      <c r="C71" s="45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2</v>
      </c>
      <c r="P71" s="66">
        <v>1.5</v>
      </c>
      <c r="Q71" s="66">
        <v>1.5</v>
      </c>
      <c r="R71" s="66">
        <v>1.5</v>
      </c>
      <c r="S71" s="66">
        <v>1.5</v>
      </c>
      <c r="T71" s="66">
        <v>1.5</v>
      </c>
      <c r="U71" s="66">
        <v>1.5</v>
      </c>
      <c r="V71" s="66">
        <v>1.5</v>
      </c>
      <c r="W71" s="66">
        <v>1.5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2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9">M69+M70+M71</f>
        <v>0</v>
      </c>
      <c r="N72" s="60">
        <f t="shared" si="9"/>
        <v>0</v>
      </c>
      <c r="O72" s="60">
        <f t="shared" si="9"/>
        <v>20.5</v>
      </c>
      <c r="P72" s="60">
        <f t="shared" si="9"/>
        <v>17.3</v>
      </c>
      <c r="Q72" s="60">
        <f>Q69+Q70+Q71</f>
        <v>17.3</v>
      </c>
      <c r="R72" s="60">
        <f>R69+R70+R71</f>
        <v>17.3</v>
      </c>
      <c r="S72" s="60">
        <f t="shared" si="9"/>
        <v>17.3</v>
      </c>
      <c r="T72" s="60">
        <f t="shared" si="9"/>
        <v>17.3</v>
      </c>
      <c r="U72" s="60">
        <f t="shared" si="9"/>
        <v>17.3</v>
      </c>
      <c r="V72" s="60">
        <f t="shared" si="9"/>
        <v>6.2</v>
      </c>
      <c r="W72" s="60">
        <f t="shared" si="9"/>
        <v>6.2</v>
      </c>
      <c r="X72" s="60">
        <f t="shared" si="9"/>
        <v>0</v>
      </c>
      <c r="Y72" s="60">
        <f t="shared" si="9"/>
        <v>0</v>
      </c>
      <c r="Z72" s="60">
        <f t="shared" si="9"/>
        <v>0</v>
      </c>
      <c r="AA72" s="60">
        <f t="shared" si="9"/>
        <v>0</v>
      </c>
      <c r="AB72" s="60">
        <f t="shared" si="9"/>
        <v>0</v>
      </c>
      <c r="AC72" s="60">
        <f t="shared" si="9"/>
        <v>0</v>
      </c>
      <c r="AD72" s="60">
        <f t="shared" si="9"/>
        <v>0</v>
      </c>
      <c r="AE72" s="60">
        <f t="shared" si="9"/>
        <v>0</v>
      </c>
      <c r="AF72" s="60">
        <f t="shared" si="9"/>
        <v>0</v>
      </c>
      <c r="AG72" s="61">
        <f>SUM(AG69:AG71)</f>
        <v>106</v>
      </c>
      <c r="AH72" s="47">
        <f t="shared" si="2"/>
        <v>20.5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6.9</v>
      </c>
      <c r="C73" s="45">
        <v>-1.9</v>
      </c>
      <c r="D73" s="45">
        <v>-4.9000000000000004</v>
      </c>
      <c r="E73" s="45">
        <v>-5</v>
      </c>
      <c r="F73" s="45">
        <v>-7.2</v>
      </c>
      <c r="G73" s="45">
        <v>0</v>
      </c>
      <c r="H73" s="45">
        <v>0</v>
      </c>
      <c r="I73" s="45">
        <v>-6.8</v>
      </c>
      <c r="J73" s="45">
        <v>-7</v>
      </c>
      <c r="K73" s="45">
        <v>-7.2</v>
      </c>
      <c r="L73" s="45">
        <v>-22</v>
      </c>
      <c r="M73" s="45">
        <v>-4.4000000000000004</v>
      </c>
      <c r="N73" s="45">
        <v>20</v>
      </c>
      <c r="O73" s="45">
        <v>8.1999999999999993</v>
      </c>
      <c r="P73" s="45">
        <v>14</v>
      </c>
      <c r="Q73" s="45">
        <v>13.5</v>
      </c>
      <c r="R73" s="45">
        <v>17</v>
      </c>
      <c r="S73" s="45">
        <v>25</v>
      </c>
      <c r="T73" s="45">
        <v>1.9</v>
      </c>
      <c r="U73" s="45">
        <v>-9.1</v>
      </c>
      <c r="V73" s="45">
        <v>16.5</v>
      </c>
      <c r="W73" s="45">
        <v>16.5</v>
      </c>
      <c r="X73" s="45">
        <v>10.8</v>
      </c>
      <c r="Y73" s="45">
        <v>15.5</v>
      </c>
      <c r="Z73" s="45">
        <v>20.100000000000001</v>
      </c>
      <c r="AA73" s="45">
        <v>25.2</v>
      </c>
      <c r="AB73" s="45">
        <v>37.799999999999997</v>
      </c>
      <c r="AC73" s="45">
        <v>26.3</v>
      </c>
      <c r="AD73" s="45">
        <v>22</v>
      </c>
      <c r="AE73" s="45">
        <v>9.3000000000000007</v>
      </c>
      <c r="AF73" s="45">
        <v>17</v>
      </c>
      <c r="AG73" s="51"/>
      <c r="AH73" s="47">
        <f t="shared" si="2"/>
        <v>37.799999999999997</v>
      </c>
      <c r="AI73" s="48">
        <f t="shared" si="3"/>
        <v>-22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-221.7</v>
      </c>
      <c r="C75" s="64">
        <v>-267.8</v>
      </c>
      <c r="D75" s="64">
        <v>-263</v>
      </c>
      <c r="E75" s="64">
        <v>-248</v>
      </c>
      <c r="F75" s="64">
        <v>-259</v>
      </c>
      <c r="G75" s="64">
        <v>-287.3</v>
      </c>
      <c r="H75" s="64">
        <v>-376</v>
      </c>
      <c r="I75" s="64">
        <v>-358</v>
      </c>
      <c r="J75" s="64">
        <v>-387.5</v>
      </c>
      <c r="K75" s="64">
        <v>-379.3</v>
      </c>
      <c r="L75" s="64">
        <v>-309.8</v>
      </c>
      <c r="M75" s="64">
        <v>-310</v>
      </c>
      <c r="N75" s="64">
        <v>-286.89999999999998</v>
      </c>
      <c r="O75" s="64">
        <v>-290.39999999999998</v>
      </c>
      <c r="P75" s="64">
        <v>-301</v>
      </c>
      <c r="Q75" s="64">
        <v>-287</v>
      </c>
      <c r="R75" s="64">
        <v>-296</v>
      </c>
      <c r="S75" s="64">
        <v>-280</v>
      </c>
      <c r="T75" s="64">
        <v>-271</v>
      </c>
      <c r="U75" s="64">
        <v>-271</v>
      </c>
      <c r="V75" s="64">
        <v>-359</v>
      </c>
      <c r="W75" s="64">
        <v>-359</v>
      </c>
      <c r="X75" s="64">
        <v>-350</v>
      </c>
      <c r="Y75" s="64">
        <v>-340</v>
      </c>
      <c r="Z75" s="64">
        <v>-272</v>
      </c>
      <c r="AA75" s="64">
        <v>-244</v>
      </c>
      <c r="AB75" s="64">
        <v>-260</v>
      </c>
      <c r="AC75" s="64">
        <v>-238</v>
      </c>
      <c r="AD75" s="64">
        <v>-239</v>
      </c>
      <c r="AE75" s="64">
        <v>-262.89999999999998</v>
      </c>
      <c r="AF75" s="64">
        <v>-265.39999999999998</v>
      </c>
      <c r="AG75" s="74"/>
      <c r="AH75" s="47">
        <f t="shared" si="2"/>
        <v>-221.7</v>
      </c>
      <c r="AI75" s="48">
        <f t="shared" si="3"/>
        <v>-387.5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64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64">
        <v>0</v>
      </c>
      <c r="E77" s="64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10">MAX(B77:AF77)</f>
        <v>0</v>
      </c>
      <c r="AI77" s="48">
        <f t="shared" ref="AI77:AI120" si="11">MIN(B77:AF77)</f>
        <v>0</v>
      </c>
      <c r="AK77" s="50"/>
    </row>
    <row r="78" spans="1:40" x14ac:dyDescent="0.25">
      <c r="A78" s="53" t="s">
        <v>86</v>
      </c>
      <c r="B78" s="76">
        <v>0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74"/>
      <c r="AH78" s="47">
        <f t="shared" si="10"/>
        <v>0</v>
      </c>
      <c r="AI78" s="48">
        <f t="shared" si="11"/>
        <v>0</v>
      </c>
      <c r="AK78" s="50"/>
    </row>
    <row r="79" spans="1:40" ht="15.75" thickBot="1" x14ac:dyDescent="0.3">
      <c r="A79" s="53" t="s">
        <v>87</v>
      </c>
      <c r="B79" s="45">
        <v>0</v>
      </c>
      <c r="C79" s="76">
        <v>0</v>
      </c>
      <c r="D79" s="64">
        <v>0</v>
      </c>
      <c r="E79" s="64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10"/>
        <v>0</v>
      </c>
      <c r="AI79" s="48">
        <f t="shared" si="11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>
        <v>0</v>
      </c>
      <c r="C80" s="76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74"/>
      <c r="AH80" s="47">
        <f t="shared" si="10"/>
        <v>0</v>
      </c>
      <c r="AI80" s="48">
        <f t="shared" si="11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>
        <v>0</v>
      </c>
      <c r="C81" s="76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74"/>
      <c r="AH81" s="47">
        <f t="shared" si="10"/>
        <v>0</v>
      </c>
      <c r="AI81" s="48">
        <f t="shared" si="11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>
        <v>0</v>
      </c>
      <c r="C82" s="76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84"/>
      <c r="AH82" s="47">
        <f t="shared" si="10"/>
        <v>0</v>
      </c>
      <c r="AI82" s="48">
        <f t="shared" si="11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>
        <v>0</v>
      </c>
      <c r="C83" s="76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84"/>
      <c r="AH83" s="47">
        <f t="shared" si="10"/>
        <v>0</v>
      </c>
      <c r="AI83" s="48">
        <f t="shared" si="11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12">SUMIF(B73:B83,"&gt;0")</f>
        <v>6.9</v>
      </c>
      <c r="C84" s="60">
        <f t="shared" si="12"/>
        <v>0</v>
      </c>
      <c r="D84" s="60">
        <f t="shared" si="12"/>
        <v>0</v>
      </c>
      <c r="E84" s="60">
        <f t="shared" si="12"/>
        <v>0</v>
      </c>
      <c r="F84" s="60">
        <f t="shared" si="12"/>
        <v>0</v>
      </c>
      <c r="G84" s="60">
        <f t="shared" si="12"/>
        <v>0</v>
      </c>
      <c r="H84" s="60">
        <f t="shared" si="12"/>
        <v>0</v>
      </c>
      <c r="I84" s="60">
        <f t="shared" si="12"/>
        <v>0</v>
      </c>
      <c r="J84" s="60">
        <f t="shared" si="12"/>
        <v>0</v>
      </c>
      <c r="K84" s="60">
        <f t="shared" si="12"/>
        <v>0</v>
      </c>
      <c r="L84" s="60">
        <f t="shared" si="12"/>
        <v>0</v>
      </c>
      <c r="M84" s="60">
        <f t="shared" si="12"/>
        <v>0</v>
      </c>
      <c r="N84" s="60">
        <f t="shared" si="12"/>
        <v>20</v>
      </c>
      <c r="O84" s="60">
        <f t="shared" si="12"/>
        <v>8.1999999999999993</v>
      </c>
      <c r="P84" s="60">
        <f t="shared" si="12"/>
        <v>14</v>
      </c>
      <c r="Q84" s="60">
        <f t="shared" si="12"/>
        <v>13.5</v>
      </c>
      <c r="R84" s="60">
        <f t="shared" si="12"/>
        <v>17</v>
      </c>
      <c r="S84" s="60">
        <f t="shared" si="12"/>
        <v>25</v>
      </c>
      <c r="T84" s="60">
        <f t="shared" si="12"/>
        <v>1.9</v>
      </c>
      <c r="U84" s="60">
        <f t="shared" si="12"/>
        <v>0</v>
      </c>
      <c r="V84" s="60">
        <f t="shared" si="12"/>
        <v>16.5</v>
      </c>
      <c r="W84" s="60">
        <f t="shared" si="12"/>
        <v>16.5</v>
      </c>
      <c r="X84" s="60">
        <f t="shared" si="12"/>
        <v>10.8</v>
      </c>
      <c r="Y84" s="60">
        <f t="shared" si="12"/>
        <v>15.5</v>
      </c>
      <c r="Z84" s="60">
        <f t="shared" si="12"/>
        <v>20.100000000000001</v>
      </c>
      <c r="AA84" s="60">
        <f t="shared" si="12"/>
        <v>25.2</v>
      </c>
      <c r="AB84" s="60">
        <f t="shared" si="12"/>
        <v>37.799999999999997</v>
      </c>
      <c r="AC84" s="60">
        <f t="shared" si="12"/>
        <v>26.3</v>
      </c>
      <c r="AD84" s="60">
        <f t="shared" si="12"/>
        <v>22</v>
      </c>
      <c r="AE84" s="60">
        <f t="shared" si="12"/>
        <v>9.3000000000000007</v>
      </c>
      <c r="AF84" s="60">
        <f t="shared" si="12"/>
        <v>17</v>
      </c>
      <c r="AG84" s="87">
        <f>SUM(AG73:AG83)</f>
        <v>0</v>
      </c>
      <c r="AH84" s="47">
        <f t="shared" si="10"/>
        <v>37.799999999999997</v>
      </c>
      <c r="AI84" s="48">
        <f t="shared" si="11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0"/>
        <v>0</v>
      </c>
      <c r="AI85" s="48">
        <f t="shared" si="11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0"/>
        <v>0</v>
      </c>
      <c r="AI86" s="48">
        <f t="shared" si="11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0"/>
        <v>0</v>
      </c>
      <c r="AI87" s="48">
        <f t="shared" si="11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0"/>
        <v>0</v>
      </c>
      <c r="AI88" s="48">
        <f t="shared" si="11"/>
        <v>0</v>
      </c>
    </row>
    <row r="89" spans="1:40" ht="15.75" thickBot="1" x14ac:dyDescent="0.3">
      <c r="A89" s="73" t="s">
        <v>100</v>
      </c>
      <c r="B89" s="94">
        <f t="shared" ref="B89:AG89" si="13">B50+B54+B72+B68+B84+B88</f>
        <v>1899.7400000000002</v>
      </c>
      <c r="C89" s="94">
        <f t="shared" si="13"/>
        <v>1884.5400000000002</v>
      </c>
      <c r="D89" s="94">
        <f t="shared" si="13"/>
        <v>1871.74</v>
      </c>
      <c r="E89" s="94">
        <f t="shared" si="13"/>
        <v>1828.8400000000001</v>
      </c>
      <c r="F89" s="94">
        <f t="shared" si="13"/>
        <v>1856.7400000000002</v>
      </c>
      <c r="G89" s="94">
        <f t="shared" si="13"/>
        <v>1858.8400000000001</v>
      </c>
      <c r="H89" s="94">
        <f t="shared" si="13"/>
        <v>1865.44</v>
      </c>
      <c r="I89" s="94">
        <f t="shared" si="13"/>
        <v>1890.3400000000001</v>
      </c>
      <c r="J89" s="94">
        <f t="shared" si="13"/>
        <v>1917.8400000000001</v>
      </c>
      <c r="K89" s="94">
        <f t="shared" si="13"/>
        <v>1953.8400000000001</v>
      </c>
      <c r="L89" s="94">
        <f t="shared" si="13"/>
        <v>1928.14</v>
      </c>
      <c r="M89" s="94">
        <f t="shared" si="13"/>
        <v>1930.04</v>
      </c>
      <c r="N89" s="94">
        <f t="shared" si="13"/>
        <v>1943.1399999999999</v>
      </c>
      <c r="O89" s="94">
        <f t="shared" si="13"/>
        <v>2007.64</v>
      </c>
      <c r="P89" s="94">
        <f t="shared" si="13"/>
        <v>1991.1399999999999</v>
      </c>
      <c r="Q89" s="94">
        <f t="shared" si="13"/>
        <v>1990.9399999999998</v>
      </c>
      <c r="R89" s="94">
        <f t="shared" si="13"/>
        <v>1995.1399999999999</v>
      </c>
      <c r="S89" s="94">
        <f t="shared" si="13"/>
        <v>2004.34</v>
      </c>
      <c r="T89" s="94">
        <f t="shared" si="13"/>
        <v>1975.74</v>
      </c>
      <c r="U89" s="94">
        <f t="shared" si="13"/>
        <v>1963.54</v>
      </c>
      <c r="V89" s="94">
        <f t="shared" si="13"/>
        <v>1954.74</v>
      </c>
      <c r="W89" s="94">
        <f t="shared" si="13"/>
        <v>1949.24</v>
      </c>
      <c r="X89" s="94">
        <f t="shared" si="13"/>
        <v>1903.14</v>
      </c>
      <c r="Y89" s="94">
        <f t="shared" si="13"/>
        <v>1930.04</v>
      </c>
      <c r="Z89" s="94">
        <f t="shared" si="13"/>
        <v>1928.7399999999998</v>
      </c>
      <c r="AA89" s="94">
        <f t="shared" si="13"/>
        <v>1995.9400000000003</v>
      </c>
      <c r="AB89" s="94">
        <f t="shared" si="13"/>
        <v>2020.5400000000002</v>
      </c>
      <c r="AC89" s="94">
        <f t="shared" si="13"/>
        <v>2070.34</v>
      </c>
      <c r="AD89" s="94">
        <f t="shared" si="13"/>
        <v>2065.44</v>
      </c>
      <c r="AE89" s="94">
        <f t="shared" si="13"/>
        <v>1975.84</v>
      </c>
      <c r="AF89" s="94">
        <f t="shared" si="13"/>
        <v>1952.54</v>
      </c>
      <c r="AG89" s="61">
        <f t="shared" si="13"/>
        <v>2111.5500000000002</v>
      </c>
      <c r="AH89" s="47">
        <f t="shared" si="10"/>
        <v>2070.34</v>
      </c>
      <c r="AI89" s="48">
        <f t="shared" si="11"/>
        <v>1828.8400000000001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0"/>
        <v>0</v>
      </c>
      <c r="AI90" s="48">
        <f t="shared" si="11"/>
        <v>0</v>
      </c>
    </row>
    <row r="91" spans="1:40" ht="15.75" thickBot="1" x14ac:dyDescent="0.3">
      <c r="A91" s="73" t="s">
        <v>102</v>
      </c>
      <c r="B91" s="94">
        <f t="shared" ref="B91:AF91" si="14">B89+B90</f>
        <v>1899.7400000000002</v>
      </c>
      <c r="C91" s="94">
        <f t="shared" si="14"/>
        <v>1884.5400000000002</v>
      </c>
      <c r="D91" s="94">
        <f t="shared" si="14"/>
        <v>1871.74</v>
      </c>
      <c r="E91" s="94">
        <f t="shared" si="14"/>
        <v>1828.8400000000001</v>
      </c>
      <c r="F91" s="94">
        <f t="shared" si="14"/>
        <v>1856.7400000000002</v>
      </c>
      <c r="G91" s="94">
        <f t="shared" si="14"/>
        <v>1858.8400000000001</v>
      </c>
      <c r="H91" s="94">
        <f t="shared" si="14"/>
        <v>1865.44</v>
      </c>
      <c r="I91" s="94">
        <f t="shared" si="14"/>
        <v>1890.3400000000001</v>
      </c>
      <c r="J91" s="94">
        <f t="shared" si="14"/>
        <v>1917.8400000000001</v>
      </c>
      <c r="K91" s="94">
        <f t="shared" si="14"/>
        <v>1953.8400000000001</v>
      </c>
      <c r="L91" s="94">
        <f t="shared" si="14"/>
        <v>1928.14</v>
      </c>
      <c r="M91" s="94">
        <f t="shared" si="14"/>
        <v>1930.04</v>
      </c>
      <c r="N91" s="94">
        <f t="shared" si="14"/>
        <v>1943.1399999999999</v>
      </c>
      <c r="O91" s="94">
        <f t="shared" si="14"/>
        <v>2007.64</v>
      </c>
      <c r="P91" s="94">
        <f t="shared" si="14"/>
        <v>1991.1399999999999</v>
      </c>
      <c r="Q91" s="94">
        <f t="shared" si="14"/>
        <v>1990.9399999999998</v>
      </c>
      <c r="R91" s="94">
        <f t="shared" si="14"/>
        <v>1995.1399999999999</v>
      </c>
      <c r="S91" s="94">
        <f t="shared" si="14"/>
        <v>2004.34</v>
      </c>
      <c r="T91" s="94">
        <f t="shared" si="14"/>
        <v>1975.74</v>
      </c>
      <c r="U91" s="94">
        <f t="shared" si="14"/>
        <v>1963.54</v>
      </c>
      <c r="V91" s="94">
        <f t="shared" si="14"/>
        <v>1954.74</v>
      </c>
      <c r="W91" s="94">
        <f t="shared" si="14"/>
        <v>1949.24</v>
      </c>
      <c r="X91" s="94">
        <f t="shared" si="14"/>
        <v>1903.14</v>
      </c>
      <c r="Y91" s="94">
        <f t="shared" si="14"/>
        <v>1930.04</v>
      </c>
      <c r="Z91" s="94">
        <f t="shared" si="14"/>
        <v>1928.7399999999998</v>
      </c>
      <c r="AA91" s="94">
        <f t="shared" si="14"/>
        <v>1995.9400000000003</v>
      </c>
      <c r="AB91" s="94">
        <f t="shared" si="14"/>
        <v>2020.5400000000002</v>
      </c>
      <c r="AC91" s="94">
        <f t="shared" si="14"/>
        <v>2070.34</v>
      </c>
      <c r="AD91" s="94">
        <f t="shared" si="14"/>
        <v>2065.44</v>
      </c>
      <c r="AE91" s="94">
        <f t="shared" si="14"/>
        <v>1975.84</v>
      </c>
      <c r="AF91" s="94">
        <f t="shared" si="14"/>
        <v>1952.54</v>
      </c>
      <c r="AG91" s="87">
        <f>AG88+AG84+AG72+AG68+AG50+AG90</f>
        <v>1573.45</v>
      </c>
      <c r="AH91" s="47">
        <f t="shared" si="10"/>
        <v>2070.34</v>
      </c>
      <c r="AI91" s="48">
        <f t="shared" si="11"/>
        <v>1828.8400000000001</v>
      </c>
    </row>
    <row r="92" spans="1:40" ht="15.75" thickBot="1" x14ac:dyDescent="0.3">
      <c r="A92" s="73" t="s">
        <v>103</v>
      </c>
      <c r="B92" s="94">
        <f t="shared" ref="B92:AF92" si="15">B91-B99</f>
        <v>1899.7400000000002</v>
      </c>
      <c r="C92" s="94">
        <f t="shared" si="15"/>
        <v>1884.5400000000002</v>
      </c>
      <c r="D92" s="94">
        <f t="shared" si="15"/>
        <v>1871.74</v>
      </c>
      <c r="E92" s="94">
        <f t="shared" si="15"/>
        <v>1828.8400000000001</v>
      </c>
      <c r="F92" s="94">
        <f t="shared" si="15"/>
        <v>1856.7400000000002</v>
      </c>
      <c r="G92" s="94">
        <f t="shared" si="15"/>
        <v>1858.8400000000001</v>
      </c>
      <c r="H92" s="94">
        <f t="shared" si="15"/>
        <v>1865.44</v>
      </c>
      <c r="I92" s="94">
        <f t="shared" si="15"/>
        <v>1890.3400000000001</v>
      </c>
      <c r="J92" s="94">
        <f t="shared" si="15"/>
        <v>1917.8400000000001</v>
      </c>
      <c r="K92" s="94">
        <f t="shared" si="15"/>
        <v>1953.8400000000001</v>
      </c>
      <c r="L92" s="94">
        <f t="shared" si="15"/>
        <v>1928.14</v>
      </c>
      <c r="M92" s="94">
        <f t="shared" si="15"/>
        <v>1930.04</v>
      </c>
      <c r="N92" s="94">
        <f t="shared" si="15"/>
        <v>1943.1399999999999</v>
      </c>
      <c r="O92" s="94">
        <f t="shared" si="15"/>
        <v>2007.64</v>
      </c>
      <c r="P92" s="94">
        <f t="shared" si="15"/>
        <v>1991.1399999999999</v>
      </c>
      <c r="Q92" s="94">
        <f t="shared" si="15"/>
        <v>1990.9399999999998</v>
      </c>
      <c r="R92" s="94">
        <f t="shared" si="15"/>
        <v>1995.1399999999999</v>
      </c>
      <c r="S92" s="94">
        <f t="shared" si="15"/>
        <v>2004.34</v>
      </c>
      <c r="T92" s="94">
        <f t="shared" si="15"/>
        <v>1975.74</v>
      </c>
      <c r="U92" s="94">
        <f t="shared" si="15"/>
        <v>1963.54</v>
      </c>
      <c r="V92" s="94">
        <f t="shared" si="15"/>
        <v>1954.74</v>
      </c>
      <c r="W92" s="94">
        <f t="shared" si="15"/>
        <v>1949.24</v>
      </c>
      <c r="X92" s="94">
        <f t="shared" si="15"/>
        <v>1903.14</v>
      </c>
      <c r="Y92" s="94">
        <f t="shared" si="15"/>
        <v>1930.04</v>
      </c>
      <c r="Z92" s="94">
        <f t="shared" si="15"/>
        <v>1928.7399999999998</v>
      </c>
      <c r="AA92" s="94">
        <f t="shared" si="15"/>
        <v>1995.9400000000003</v>
      </c>
      <c r="AB92" s="94">
        <f t="shared" si="15"/>
        <v>2020.5400000000002</v>
      </c>
      <c r="AC92" s="94">
        <f t="shared" si="15"/>
        <v>2070.34</v>
      </c>
      <c r="AD92" s="94">
        <f t="shared" si="15"/>
        <v>2065.44</v>
      </c>
      <c r="AE92" s="94">
        <f t="shared" si="15"/>
        <v>1975.84</v>
      </c>
      <c r="AF92" s="94">
        <f t="shared" si="15"/>
        <v>1952.54</v>
      </c>
      <c r="AG92" s="87"/>
      <c r="AH92" s="47">
        <f t="shared" si="10"/>
        <v>2070.34</v>
      </c>
      <c r="AI92" s="48">
        <f t="shared" si="11"/>
        <v>1828.8400000000001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0"/>
        <v>0</v>
      </c>
      <c r="AI93" s="48">
        <f t="shared" si="11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0"/>
        <v>0</v>
      </c>
      <c r="AI94" s="48">
        <f t="shared" si="11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0"/>
        <v>0</v>
      </c>
      <c r="AI95" s="48">
        <f t="shared" si="11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0"/>
        <v>0</v>
      </c>
      <c r="AI96" s="48">
        <f t="shared" si="11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0"/>
        <v>0</v>
      </c>
      <c r="AI97" s="48">
        <f t="shared" si="11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0"/>
        <v>0</v>
      </c>
      <c r="AI98" s="48">
        <f t="shared" si="11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10"/>
        <v>0</v>
      </c>
      <c r="AI99" s="48">
        <f t="shared" si="11"/>
        <v>0</v>
      </c>
      <c r="AK99" s="50"/>
    </row>
    <row r="100" spans="1:37" ht="15.75" thickBot="1" x14ac:dyDescent="0.3">
      <c r="A100" s="73" t="s">
        <v>108</v>
      </c>
      <c r="B100" s="60">
        <f t="shared" ref="B100:AF100" si="16">B84-B99</f>
        <v>6.9</v>
      </c>
      <c r="C100" s="60">
        <f t="shared" si="16"/>
        <v>0</v>
      </c>
      <c r="D100" s="60">
        <f t="shared" si="16"/>
        <v>0</v>
      </c>
      <c r="E100" s="60">
        <f t="shared" si="16"/>
        <v>0</v>
      </c>
      <c r="F100" s="60">
        <f t="shared" si="16"/>
        <v>0</v>
      </c>
      <c r="G100" s="60">
        <f t="shared" si="16"/>
        <v>0</v>
      </c>
      <c r="H100" s="60">
        <f t="shared" si="16"/>
        <v>0</v>
      </c>
      <c r="I100" s="60">
        <f t="shared" si="16"/>
        <v>0</v>
      </c>
      <c r="J100" s="60">
        <f t="shared" si="16"/>
        <v>0</v>
      </c>
      <c r="K100" s="60">
        <f t="shared" si="16"/>
        <v>0</v>
      </c>
      <c r="L100" s="60">
        <f t="shared" si="16"/>
        <v>0</v>
      </c>
      <c r="M100" s="60">
        <f t="shared" si="16"/>
        <v>0</v>
      </c>
      <c r="N100" s="60">
        <f t="shared" si="16"/>
        <v>20</v>
      </c>
      <c r="O100" s="60">
        <f t="shared" si="16"/>
        <v>8.1999999999999993</v>
      </c>
      <c r="P100" s="60">
        <f t="shared" si="16"/>
        <v>14</v>
      </c>
      <c r="Q100" s="60">
        <f t="shared" si="16"/>
        <v>13.5</v>
      </c>
      <c r="R100" s="60">
        <f t="shared" si="16"/>
        <v>17</v>
      </c>
      <c r="S100" s="60">
        <f t="shared" si="16"/>
        <v>25</v>
      </c>
      <c r="T100" s="60">
        <f t="shared" si="16"/>
        <v>1.9</v>
      </c>
      <c r="U100" s="60">
        <f t="shared" si="16"/>
        <v>0</v>
      </c>
      <c r="V100" s="60">
        <f t="shared" si="16"/>
        <v>16.5</v>
      </c>
      <c r="W100" s="60">
        <f t="shared" si="16"/>
        <v>16.5</v>
      </c>
      <c r="X100" s="60">
        <f t="shared" si="16"/>
        <v>10.8</v>
      </c>
      <c r="Y100" s="60">
        <f t="shared" si="16"/>
        <v>15.5</v>
      </c>
      <c r="Z100" s="60">
        <f t="shared" si="16"/>
        <v>20.100000000000001</v>
      </c>
      <c r="AA100" s="60">
        <f t="shared" si="16"/>
        <v>25.2</v>
      </c>
      <c r="AB100" s="60">
        <f t="shared" si="16"/>
        <v>37.799999999999997</v>
      </c>
      <c r="AC100" s="60">
        <f t="shared" si="16"/>
        <v>26.3</v>
      </c>
      <c r="AD100" s="60">
        <f t="shared" si="16"/>
        <v>22</v>
      </c>
      <c r="AE100" s="60">
        <f t="shared" si="16"/>
        <v>9.3000000000000007</v>
      </c>
      <c r="AF100" s="60">
        <f t="shared" si="16"/>
        <v>17</v>
      </c>
      <c r="AG100" s="87"/>
      <c r="AH100" s="47">
        <f t="shared" si="10"/>
        <v>37.799999999999997</v>
      </c>
      <c r="AI100" s="48">
        <f t="shared" si="11"/>
        <v>0</v>
      </c>
    </row>
    <row r="101" spans="1:37" x14ac:dyDescent="0.25">
      <c r="A101" s="99" t="s">
        <v>109</v>
      </c>
      <c r="B101" s="100">
        <v>50.09</v>
      </c>
      <c r="C101" s="100">
        <v>50.082999999999998</v>
      </c>
      <c r="D101" s="100">
        <v>50.000999999999998</v>
      </c>
      <c r="E101" s="100">
        <v>49.975999999999999</v>
      </c>
      <c r="F101" s="100">
        <v>50.024000000000001</v>
      </c>
      <c r="G101" s="100">
        <v>49.951999999999998</v>
      </c>
      <c r="H101" s="100">
        <v>49.991</v>
      </c>
      <c r="I101" s="100">
        <v>49.99</v>
      </c>
      <c r="J101" s="100">
        <v>49.921999999999997</v>
      </c>
      <c r="K101" s="100">
        <v>49.926000000000002</v>
      </c>
      <c r="L101" s="100">
        <v>49.948</v>
      </c>
      <c r="M101" s="100">
        <v>50.018999999999998</v>
      </c>
      <c r="N101" s="100">
        <v>50.066000000000003</v>
      </c>
      <c r="O101" s="100">
        <v>50.07</v>
      </c>
      <c r="P101" s="100">
        <v>50.01</v>
      </c>
      <c r="Q101" s="100">
        <v>50.03</v>
      </c>
      <c r="R101" s="100">
        <v>50.06</v>
      </c>
      <c r="S101" s="100">
        <v>49.932000000000002</v>
      </c>
      <c r="T101" s="100">
        <v>50.026000000000003</v>
      </c>
      <c r="U101" s="100">
        <v>49.947000000000003</v>
      </c>
      <c r="V101" s="100">
        <v>50.024000000000001</v>
      </c>
      <c r="W101" s="100">
        <v>50.024000000000001</v>
      </c>
      <c r="X101" s="100">
        <v>49.987000000000002</v>
      </c>
      <c r="Y101" s="100">
        <v>49.878999999999998</v>
      </c>
      <c r="Z101" s="100">
        <v>50.045000000000002</v>
      </c>
      <c r="AA101" s="100">
        <v>49.978999999999999</v>
      </c>
      <c r="AB101" s="100">
        <v>50</v>
      </c>
      <c r="AC101" s="100">
        <v>50.097999999999999</v>
      </c>
      <c r="AD101" s="100">
        <v>50.031999999999996</v>
      </c>
      <c r="AE101" s="100">
        <v>50.087000000000003</v>
      </c>
      <c r="AF101" s="100">
        <v>50.024999999999999</v>
      </c>
      <c r="AG101" s="101"/>
      <c r="AH101" s="47">
        <f t="shared" si="10"/>
        <v>50.097999999999999</v>
      </c>
      <c r="AI101" s="48">
        <f t="shared" si="11"/>
        <v>49.878999999999998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0"/>
        <v>0</v>
      </c>
      <c r="AI102" s="48">
        <f t="shared" si="11"/>
        <v>0</v>
      </c>
    </row>
    <row r="103" spans="1:37" x14ac:dyDescent="0.25">
      <c r="A103" s="102" t="s">
        <v>111</v>
      </c>
      <c r="B103" s="64">
        <v>127.8</v>
      </c>
      <c r="C103" s="64">
        <v>131.1</v>
      </c>
      <c r="D103" s="64">
        <v>130</v>
      </c>
      <c r="E103" s="64">
        <v>128.6</v>
      </c>
      <c r="F103" s="64">
        <v>127.3</v>
      </c>
      <c r="G103" s="64">
        <v>128.5</v>
      </c>
      <c r="H103" s="64">
        <v>128.19999999999999</v>
      </c>
      <c r="I103" s="64">
        <v>128.6</v>
      </c>
      <c r="J103" s="64">
        <v>128.19999999999999</v>
      </c>
      <c r="K103" s="64">
        <v>126.8</v>
      </c>
      <c r="L103" s="64">
        <v>127</v>
      </c>
      <c r="M103" s="64">
        <v>125.8</v>
      </c>
      <c r="N103" s="64">
        <v>125.8</v>
      </c>
      <c r="O103" s="64">
        <v>124</v>
      </c>
      <c r="P103" s="64">
        <v>124.1</v>
      </c>
      <c r="Q103" s="64">
        <v>123</v>
      </c>
      <c r="R103" s="64">
        <v>124</v>
      </c>
      <c r="S103" s="64">
        <v>126.1</v>
      </c>
      <c r="T103" s="64">
        <v>127.3</v>
      </c>
      <c r="U103" s="64">
        <v>126.9</v>
      </c>
      <c r="V103" s="64">
        <v>127.7</v>
      </c>
      <c r="W103" s="64">
        <v>127.7</v>
      </c>
      <c r="X103" s="64">
        <v>127.5</v>
      </c>
      <c r="Y103" s="64">
        <v>127</v>
      </c>
      <c r="Z103" s="64">
        <v>126.9</v>
      </c>
      <c r="AA103" s="64">
        <v>125.3</v>
      </c>
      <c r="AB103" s="64">
        <v>127.2</v>
      </c>
      <c r="AC103" s="64">
        <v>125.9</v>
      </c>
      <c r="AD103" s="64">
        <v>126.7</v>
      </c>
      <c r="AE103" s="64">
        <v>126.7</v>
      </c>
      <c r="AF103" s="64">
        <v>128.19999999999999</v>
      </c>
      <c r="AG103" s="103"/>
      <c r="AH103" s="47">
        <f t="shared" si="10"/>
        <v>131.1</v>
      </c>
      <c r="AI103" s="48">
        <f t="shared" si="11"/>
        <v>123</v>
      </c>
    </row>
    <row r="104" spans="1:37" x14ac:dyDescent="0.25">
      <c r="A104" s="102" t="s">
        <v>112</v>
      </c>
      <c r="B104" s="64">
        <v>125.6</v>
      </c>
      <c r="C104" s="64">
        <v>128.6</v>
      </c>
      <c r="D104" s="64">
        <v>130.69999999999999</v>
      </c>
      <c r="E104" s="64">
        <v>130.80000000000001</v>
      </c>
      <c r="F104" s="64">
        <v>131.19999999999999</v>
      </c>
      <c r="G104" s="64">
        <v>129.5</v>
      </c>
      <c r="H104" s="64">
        <v>130.30000000000001</v>
      </c>
      <c r="I104" s="64">
        <v>129.80000000000001</v>
      </c>
      <c r="J104" s="64">
        <v>127.8</v>
      </c>
      <c r="K104" s="64">
        <v>125.5</v>
      </c>
      <c r="L104" s="64">
        <v>126.3</v>
      </c>
      <c r="M104" s="64">
        <v>127.5</v>
      </c>
      <c r="N104" s="64">
        <v>127.5</v>
      </c>
      <c r="O104" s="64">
        <v>128.69999999999999</v>
      </c>
      <c r="P104" s="64">
        <v>127.8</v>
      </c>
      <c r="Q104" s="64">
        <v>128.69999999999999</v>
      </c>
      <c r="R104" s="64">
        <v>128.69999999999999</v>
      </c>
      <c r="S104" s="64">
        <v>122.6</v>
      </c>
      <c r="T104" s="64">
        <v>127.5</v>
      </c>
      <c r="U104" s="64">
        <v>128.69999999999999</v>
      </c>
      <c r="V104" s="64">
        <v>130.19999999999999</v>
      </c>
      <c r="W104" s="64">
        <v>130.19999999999999</v>
      </c>
      <c r="X104" s="64">
        <v>129.30000000000001</v>
      </c>
      <c r="Y104" s="64">
        <v>129.5</v>
      </c>
      <c r="Z104" s="64">
        <v>126.4</v>
      </c>
      <c r="AA104" s="64">
        <v>125.3</v>
      </c>
      <c r="AB104" s="64">
        <v>126.6</v>
      </c>
      <c r="AC104" s="64">
        <v>125</v>
      </c>
      <c r="AD104" s="64">
        <v>126.6</v>
      </c>
      <c r="AE104" s="64">
        <v>123.4</v>
      </c>
      <c r="AF104" s="64">
        <v>124.9</v>
      </c>
      <c r="AG104" s="103"/>
      <c r="AH104" s="47">
        <f t="shared" si="10"/>
        <v>131.19999999999999</v>
      </c>
      <c r="AI104" s="48">
        <f t="shared" si="11"/>
        <v>122.6</v>
      </c>
    </row>
    <row r="105" spans="1:37" x14ac:dyDescent="0.25">
      <c r="A105" s="104" t="s">
        <v>113</v>
      </c>
      <c r="B105" s="64">
        <v>128.9</v>
      </c>
      <c r="C105" s="64">
        <v>131.6</v>
      </c>
      <c r="D105" s="64">
        <v>133.5</v>
      </c>
      <c r="E105" s="64">
        <v>133.80000000000001</v>
      </c>
      <c r="F105" s="64">
        <v>133.4</v>
      </c>
      <c r="G105" s="64">
        <v>133.19999999999999</v>
      </c>
      <c r="H105" s="64">
        <v>132.9</v>
      </c>
      <c r="I105" s="64">
        <v>132.6</v>
      </c>
      <c r="J105" s="64">
        <v>130.6</v>
      </c>
      <c r="K105" s="64">
        <v>129.30000000000001</v>
      </c>
      <c r="L105" s="64">
        <v>129.1</v>
      </c>
      <c r="M105" s="64">
        <v>129.4</v>
      </c>
      <c r="N105" s="64">
        <v>129.4</v>
      </c>
      <c r="O105" s="64">
        <v>130.5</v>
      </c>
      <c r="P105" s="64">
        <v>126.5</v>
      </c>
      <c r="Q105" s="64">
        <v>130.5</v>
      </c>
      <c r="R105" s="64">
        <v>130.5</v>
      </c>
      <c r="S105" s="64">
        <v>125.9</v>
      </c>
      <c r="T105" s="64">
        <v>128.6</v>
      </c>
      <c r="U105" s="64">
        <v>128.30000000000001</v>
      </c>
      <c r="V105" s="64">
        <v>130.69999999999999</v>
      </c>
      <c r="W105" s="64">
        <v>130.69999999999999</v>
      </c>
      <c r="X105" s="64">
        <v>130.4</v>
      </c>
      <c r="Y105" s="64">
        <v>130.30000000000001</v>
      </c>
      <c r="Z105" s="64">
        <v>128.30000000000001</v>
      </c>
      <c r="AA105" s="64">
        <v>125.8</v>
      </c>
      <c r="AB105" s="64">
        <v>127.8</v>
      </c>
      <c r="AC105" s="64">
        <v>127</v>
      </c>
      <c r="AD105" s="64">
        <v>128</v>
      </c>
      <c r="AE105" s="64">
        <v>126.6</v>
      </c>
      <c r="AF105" s="64">
        <v>127.5</v>
      </c>
      <c r="AG105" s="103"/>
      <c r="AH105" s="47">
        <f t="shared" si="10"/>
        <v>133.80000000000001</v>
      </c>
      <c r="AI105" s="48">
        <f t="shared" si="11"/>
        <v>125.8</v>
      </c>
    </row>
    <row r="106" spans="1:37" x14ac:dyDescent="0.25">
      <c r="A106" s="104" t="s">
        <v>114</v>
      </c>
      <c r="B106" s="105">
        <v>129.30000000000001</v>
      </c>
      <c r="C106" s="105">
        <v>131</v>
      </c>
      <c r="D106" s="105">
        <v>130.19999999999999</v>
      </c>
      <c r="E106" s="105">
        <v>132.1</v>
      </c>
      <c r="F106" s="105">
        <v>132.4</v>
      </c>
      <c r="G106" s="105">
        <v>132.4</v>
      </c>
      <c r="H106" s="105">
        <v>131.6</v>
      </c>
      <c r="I106" s="105">
        <v>131.1</v>
      </c>
      <c r="J106" s="105">
        <v>131.6</v>
      </c>
      <c r="K106" s="105">
        <v>131.4</v>
      </c>
      <c r="L106" s="105">
        <v>132.1</v>
      </c>
      <c r="M106" s="105">
        <v>131.9</v>
      </c>
      <c r="N106" s="105">
        <v>131.9</v>
      </c>
      <c r="O106" s="105">
        <v>130.69999999999999</v>
      </c>
      <c r="P106" s="105">
        <v>130.80000000000001</v>
      </c>
      <c r="Q106" s="105">
        <v>130.69999999999999</v>
      </c>
      <c r="R106" s="105">
        <v>130.69999999999999</v>
      </c>
      <c r="S106" s="105">
        <v>131.4</v>
      </c>
      <c r="T106" s="105">
        <v>131.69999999999999</v>
      </c>
      <c r="U106" s="105">
        <v>132.5</v>
      </c>
      <c r="V106" s="105">
        <v>136</v>
      </c>
      <c r="W106" s="105">
        <v>136</v>
      </c>
      <c r="X106" s="105">
        <v>134.1</v>
      </c>
      <c r="Y106" s="105">
        <v>135.69999999999999</v>
      </c>
      <c r="Z106" s="105">
        <v>133.69999999999999</v>
      </c>
      <c r="AA106" s="105">
        <v>130.5</v>
      </c>
      <c r="AB106" s="105">
        <v>133.1</v>
      </c>
      <c r="AC106" s="105">
        <v>131.9</v>
      </c>
      <c r="AD106" s="105">
        <v>134</v>
      </c>
      <c r="AE106" s="105">
        <v>133.30000000000001</v>
      </c>
      <c r="AF106" s="105">
        <v>129.9</v>
      </c>
      <c r="AG106" s="106"/>
      <c r="AH106" s="47">
        <f t="shared" si="10"/>
        <v>136</v>
      </c>
      <c r="AI106" s="48">
        <f t="shared" si="11"/>
        <v>129.30000000000001</v>
      </c>
    </row>
    <row r="107" spans="1:37" x14ac:dyDescent="0.25">
      <c r="A107" s="102" t="s">
        <v>115</v>
      </c>
      <c r="B107" s="64">
        <v>128.6</v>
      </c>
      <c r="C107" s="64">
        <v>129.9</v>
      </c>
      <c r="D107" s="64">
        <v>131.9</v>
      </c>
      <c r="E107" s="64">
        <v>132.69999999999999</v>
      </c>
      <c r="F107" s="64">
        <v>135.4</v>
      </c>
      <c r="G107" s="64">
        <v>137.30000000000001</v>
      </c>
      <c r="H107" s="64">
        <v>128.30000000000001</v>
      </c>
      <c r="I107" s="64">
        <v>129.5</v>
      </c>
      <c r="J107" s="64">
        <v>130.1</v>
      </c>
      <c r="K107" s="64">
        <v>131.19999999999999</v>
      </c>
      <c r="L107" s="64">
        <v>131.80000000000001</v>
      </c>
      <c r="M107" s="64">
        <v>129</v>
      </c>
      <c r="N107" s="64">
        <v>129</v>
      </c>
      <c r="O107" s="64">
        <v>128.1</v>
      </c>
      <c r="P107" s="64">
        <v>132.4</v>
      </c>
      <c r="Q107" s="64">
        <v>128.1</v>
      </c>
      <c r="R107" s="64">
        <v>128.1</v>
      </c>
      <c r="S107" s="64">
        <v>136.5</v>
      </c>
      <c r="T107" s="64">
        <v>126.6</v>
      </c>
      <c r="U107" s="64">
        <v>125.8</v>
      </c>
      <c r="V107" s="64">
        <v>127.3</v>
      </c>
      <c r="W107" s="64">
        <v>127.3</v>
      </c>
      <c r="X107" s="64">
        <v>128.1</v>
      </c>
      <c r="Y107" s="64">
        <v>129</v>
      </c>
      <c r="Z107" s="64">
        <v>129.19999999999999</v>
      </c>
      <c r="AA107" s="64">
        <v>128.1</v>
      </c>
      <c r="AB107" s="64">
        <v>130.5</v>
      </c>
      <c r="AC107" s="64">
        <v>133</v>
      </c>
      <c r="AD107" s="64">
        <v>126.3</v>
      </c>
      <c r="AE107" s="64">
        <v>131</v>
      </c>
      <c r="AF107" s="64">
        <v>127.5</v>
      </c>
      <c r="AG107" s="103"/>
      <c r="AH107" s="47">
        <f t="shared" si="10"/>
        <v>137.30000000000001</v>
      </c>
      <c r="AI107" s="48">
        <f t="shared" si="11"/>
        <v>125.8</v>
      </c>
    </row>
    <row r="108" spans="1:37" ht="15.75" thickBot="1" x14ac:dyDescent="0.3">
      <c r="A108" s="102" t="s">
        <v>116</v>
      </c>
      <c r="B108" s="91">
        <v>64.5</v>
      </c>
      <c r="C108" s="91">
        <v>65.8</v>
      </c>
      <c r="D108" s="91">
        <v>65.3</v>
      </c>
      <c r="E108" s="91">
        <v>64.599999999999994</v>
      </c>
      <c r="F108" s="91">
        <v>64.099999999999994</v>
      </c>
      <c r="G108" s="91">
        <v>64.400000000000006</v>
      </c>
      <c r="H108" s="91">
        <v>64.3</v>
      </c>
      <c r="I108" s="91">
        <v>64.5</v>
      </c>
      <c r="J108" s="91">
        <v>64.2</v>
      </c>
      <c r="K108" s="91">
        <v>63.4</v>
      </c>
      <c r="L108" s="91">
        <v>63.6</v>
      </c>
      <c r="M108" s="91">
        <v>62.9</v>
      </c>
      <c r="N108" s="91">
        <v>62.9</v>
      </c>
      <c r="O108" s="91">
        <v>61.9</v>
      </c>
      <c r="P108" s="91">
        <v>62.4</v>
      </c>
      <c r="Q108" s="91">
        <v>61.9</v>
      </c>
      <c r="R108" s="91">
        <v>61.9</v>
      </c>
      <c r="S108" s="91">
        <v>63.4</v>
      </c>
      <c r="T108" s="91">
        <v>63.7</v>
      </c>
      <c r="U108" s="91">
        <v>63.6</v>
      </c>
      <c r="V108" s="91">
        <v>63.9</v>
      </c>
      <c r="W108" s="91">
        <v>63.9</v>
      </c>
      <c r="X108" s="91">
        <v>64</v>
      </c>
      <c r="Y108" s="91">
        <v>63.7</v>
      </c>
      <c r="Z108" s="91">
        <v>63.7</v>
      </c>
      <c r="AA108" s="91">
        <v>62.9</v>
      </c>
      <c r="AB108" s="91">
        <v>64.400000000000006</v>
      </c>
      <c r="AC108" s="91">
        <v>63.7</v>
      </c>
      <c r="AD108" s="91">
        <v>64</v>
      </c>
      <c r="AE108" s="91">
        <v>64.099999999999994</v>
      </c>
      <c r="AF108" s="91">
        <v>64.7</v>
      </c>
      <c r="AG108" s="107"/>
      <c r="AH108" s="47">
        <f t="shared" si="10"/>
        <v>65.8</v>
      </c>
      <c r="AI108" s="48">
        <f t="shared" si="11"/>
        <v>61.9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10"/>
        <v>0</v>
      </c>
      <c r="AI109" s="48">
        <f t="shared" si="11"/>
        <v>0</v>
      </c>
    </row>
    <row r="110" spans="1:37" ht="15.75" thickBot="1" x14ac:dyDescent="0.3">
      <c r="A110" s="109" t="s">
        <v>118</v>
      </c>
      <c r="B110" s="110">
        <f t="shared" ref="B110:O110" si="17">SUM(B20,B26,B29:B30,B58,B60:B61,B63,B65,B111:B115,B138,B144,B150,B159,B161,B173,B180,B183:B184,B191,B193,B195,B199:B201,B203:B205,B210,B216:B217,B219:B221,B229,B234)</f>
        <v>20.100000000000016</v>
      </c>
      <c r="C110" s="110">
        <f t="shared" si="17"/>
        <v>2.139999999999977</v>
      </c>
      <c r="D110" s="110">
        <f t="shared" si="17"/>
        <v>6.1399999999999766</v>
      </c>
      <c r="E110" s="110">
        <f t="shared" si="17"/>
        <v>1.4399999999999831</v>
      </c>
      <c r="F110" s="110">
        <f t="shared" si="17"/>
        <v>10.53999999999999</v>
      </c>
      <c r="G110" s="110">
        <f t="shared" si="17"/>
        <v>20.039999999999978</v>
      </c>
      <c r="H110" s="110">
        <f t="shared" si="17"/>
        <v>43.539999999999985</v>
      </c>
      <c r="I110" s="110">
        <f t="shared" si="17"/>
        <v>61.339999999999975</v>
      </c>
      <c r="J110" s="110">
        <f t="shared" si="17"/>
        <v>102.64</v>
      </c>
      <c r="K110" s="110">
        <f t="shared" si="17"/>
        <v>139.14000000000001</v>
      </c>
      <c r="L110" s="110">
        <f t="shared" si="17"/>
        <v>155.94</v>
      </c>
      <c r="M110" s="110">
        <f t="shared" si="17"/>
        <v>141.73999999999998</v>
      </c>
      <c r="N110" s="110">
        <f t="shared" si="17"/>
        <v>144.14000000000001</v>
      </c>
      <c r="O110" s="110">
        <f t="shared" si="17"/>
        <v>172.54</v>
      </c>
      <c r="P110" s="110">
        <v>42</v>
      </c>
      <c r="Q110" s="110">
        <f t="shared" ref="Q110:AF110" si="18">SUM(Q20,Q26,Q29:Q30,Q58,Q60:Q61,Q63,Q65,Q111:Q115,Q138,Q144,Q150,Q159,Q161,Q173,Q180,Q183:Q184,Q191,Q193,Q195,Q199:Q201,Q203:Q205,Q210,Q216:Q217,Q219:Q221,Q229,Q234)</f>
        <v>173.62</v>
      </c>
      <c r="R110" s="110">
        <f t="shared" si="18"/>
        <v>172.39999999999998</v>
      </c>
      <c r="S110" s="110">
        <f t="shared" si="18"/>
        <v>204.60000000000002</v>
      </c>
      <c r="T110" s="110">
        <f t="shared" si="18"/>
        <v>166.2</v>
      </c>
      <c r="U110" s="110">
        <f t="shared" si="18"/>
        <v>153.70000000000002</v>
      </c>
      <c r="V110" s="110">
        <f t="shared" si="18"/>
        <v>160.10000000000002</v>
      </c>
      <c r="W110" s="110">
        <f t="shared" si="18"/>
        <v>154.60000000000002</v>
      </c>
      <c r="X110" s="110">
        <f t="shared" si="18"/>
        <v>148.4</v>
      </c>
      <c r="Y110" s="110">
        <f t="shared" si="18"/>
        <v>150.60000000000002</v>
      </c>
      <c r="Z110" s="110">
        <f t="shared" si="18"/>
        <v>198.7</v>
      </c>
      <c r="AA110" s="110">
        <f t="shared" si="18"/>
        <v>247.4</v>
      </c>
      <c r="AB110" s="110">
        <f t="shared" si="18"/>
        <v>224.89999999999998</v>
      </c>
      <c r="AC110" s="110">
        <f t="shared" si="18"/>
        <v>197.60000000000002</v>
      </c>
      <c r="AD110" s="110"/>
      <c r="AE110" s="110">
        <f t="shared" si="18"/>
        <v>89.200000000000017</v>
      </c>
      <c r="AF110" s="110">
        <f t="shared" si="18"/>
        <v>52.799999999999976</v>
      </c>
      <c r="AG110" s="111"/>
      <c r="AH110" s="47">
        <f t="shared" si="10"/>
        <v>247.4</v>
      </c>
      <c r="AI110" s="48">
        <f t="shared" si="11"/>
        <v>1.4399999999999831</v>
      </c>
    </row>
    <row r="111" spans="1:37" x14ac:dyDescent="0.25">
      <c r="A111" s="99" t="s">
        <v>119</v>
      </c>
      <c r="B111" s="112">
        <v>14.3</v>
      </c>
      <c r="C111" s="112">
        <v>10.1</v>
      </c>
      <c r="D111" s="112">
        <v>9.5</v>
      </c>
      <c r="E111" s="112">
        <v>17.2</v>
      </c>
      <c r="F111" s="112">
        <v>19.7</v>
      </c>
      <c r="G111" s="112">
        <v>26.1</v>
      </c>
      <c r="H111" s="112">
        <v>31.1</v>
      </c>
      <c r="I111" s="112">
        <v>23.8</v>
      </c>
      <c r="J111" s="112">
        <v>30.4</v>
      </c>
      <c r="K111" s="112">
        <v>34.9</v>
      </c>
      <c r="L111" s="112">
        <v>34.9</v>
      </c>
      <c r="M111" s="112">
        <v>29.2</v>
      </c>
      <c r="N111" s="112">
        <v>32.299999999999997</v>
      </c>
      <c r="O111" s="112">
        <v>51.7</v>
      </c>
      <c r="P111" s="112">
        <v>44.5</v>
      </c>
      <c r="Q111" s="112">
        <v>44.9</v>
      </c>
      <c r="R111" s="112">
        <v>44.5</v>
      </c>
      <c r="S111" s="112">
        <v>39.9</v>
      </c>
      <c r="T111" s="112">
        <v>45.5</v>
      </c>
      <c r="U111" s="112">
        <v>33.200000000000003</v>
      </c>
      <c r="V111" s="112">
        <v>46.7</v>
      </c>
      <c r="W111" s="112">
        <v>46.7</v>
      </c>
      <c r="X111" s="112">
        <v>52.6</v>
      </c>
      <c r="Y111" s="112">
        <v>52.3</v>
      </c>
      <c r="Z111" s="112">
        <v>45.6</v>
      </c>
      <c r="AA111" s="112">
        <v>64.2</v>
      </c>
      <c r="AB111" s="112">
        <v>57.1</v>
      </c>
      <c r="AC111" s="112">
        <v>60.9</v>
      </c>
      <c r="AD111" s="112">
        <v>58.6</v>
      </c>
      <c r="AE111" s="112">
        <v>45</v>
      </c>
      <c r="AF111" s="112">
        <v>32.9</v>
      </c>
      <c r="AG111" s="113">
        <v>75</v>
      </c>
      <c r="AH111" s="47">
        <f t="shared" si="10"/>
        <v>64.2</v>
      </c>
      <c r="AI111" s="48">
        <f t="shared" si="11"/>
        <v>9.5</v>
      </c>
    </row>
    <row r="112" spans="1:37" x14ac:dyDescent="0.25">
      <c r="A112" s="102" t="s">
        <v>120</v>
      </c>
      <c r="B112" s="114">
        <v>21.4</v>
      </c>
      <c r="C112" s="114">
        <v>20.6</v>
      </c>
      <c r="D112" s="114">
        <v>16.7</v>
      </c>
      <c r="E112" s="114">
        <v>30.1</v>
      </c>
      <c r="F112" s="114">
        <v>34.700000000000003</v>
      </c>
      <c r="G112" s="114">
        <v>42.3</v>
      </c>
      <c r="H112" s="114">
        <v>51.2</v>
      </c>
      <c r="I112" s="114">
        <v>38.200000000000003</v>
      </c>
      <c r="J112" s="114">
        <v>45.4</v>
      </c>
      <c r="K112" s="114">
        <v>50.5</v>
      </c>
      <c r="L112" s="114">
        <v>47.4</v>
      </c>
      <c r="M112" s="114">
        <v>39.299999999999997</v>
      </c>
      <c r="N112" s="114">
        <v>42.9</v>
      </c>
      <c r="O112" s="114">
        <v>74</v>
      </c>
      <c r="P112" s="114">
        <v>64.5</v>
      </c>
      <c r="Q112" s="114">
        <v>64.52</v>
      </c>
      <c r="R112" s="114">
        <v>64.8</v>
      </c>
      <c r="S112" s="114">
        <v>57</v>
      </c>
      <c r="T112" s="114">
        <v>63.8</v>
      </c>
      <c r="U112" s="114">
        <v>45.2</v>
      </c>
      <c r="V112" s="114">
        <v>65.2</v>
      </c>
      <c r="W112" s="114">
        <v>65.2</v>
      </c>
      <c r="X112" s="114">
        <v>74.400000000000006</v>
      </c>
      <c r="Y112" s="114">
        <v>72.400000000000006</v>
      </c>
      <c r="Z112" s="114">
        <v>60.2</v>
      </c>
      <c r="AA112" s="114">
        <v>92.7</v>
      </c>
      <c r="AB112" s="114">
        <v>81.900000000000006</v>
      </c>
      <c r="AC112" s="114">
        <v>89.3</v>
      </c>
      <c r="AD112" s="114">
        <v>87.6</v>
      </c>
      <c r="AE112" s="114">
        <v>66.7</v>
      </c>
      <c r="AF112" s="114">
        <v>54.7</v>
      </c>
      <c r="AG112" s="113">
        <v>240</v>
      </c>
      <c r="AH112" s="47">
        <f t="shared" si="10"/>
        <v>92.7</v>
      </c>
      <c r="AI112" s="48">
        <f t="shared" si="11"/>
        <v>16.7</v>
      </c>
    </row>
    <row r="113" spans="1:37" x14ac:dyDescent="0.25">
      <c r="A113" s="102" t="s">
        <v>121</v>
      </c>
      <c r="B113" s="114">
        <v>-157</v>
      </c>
      <c r="C113" s="114">
        <v>-160</v>
      </c>
      <c r="D113" s="114">
        <v>-152</v>
      </c>
      <c r="E113" s="114">
        <f>-61.4-64.9</f>
        <v>-126.30000000000001</v>
      </c>
      <c r="F113" s="114">
        <f>-65.5-69.5</f>
        <v>-135</v>
      </c>
      <c r="G113" s="114">
        <f>-66.4-68.2</f>
        <v>-134.60000000000002</v>
      </c>
      <c r="H113" s="114">
        <f>-67.6-71.6</f>
        <v>-139.19999999999999</v>
      </c>
      <c r="I113" s="114">
        <f>-68.8-72.2</f>
        <v>-141</v>
      </c>
      <c r="J113" s="114">
        <f>-57.9-62.6</f>
        <v>-120.5</v>
      </c>
      <c r="K113" s="114">
        <f>-59.5-64.4</f>
        <v>-123.9</v>
      </c>
      <c r="L113" s="114">
        <f>-37.1-40.2</f>
        <v>-77.300000000000011</v>
      </c>
      <c r="M113" s="114">
        <v>-84.6</v>
      </c>
      <c r="N113" s="114">
        <v>-92</v>
      </c>
      <c r="O113" s="114">
        <f>-58.3-64.1</f>
        <v>-122.39999999999999</v>
      </c>
      <c r="P113" s="114">
        <v>-119.8</v>
      </c>
      <c r="Q113" s="114">
        <v>-115.7</v>
      </c>
      <c r="R113" s="114">
        <v>-117.4</v>
      </c>
      <c r="S113" s="114">
        <v>-64</v>
      </c>
      <c r="T113" s="114">
        <v>-115</v>
      </c>
      <c r="U113" s="114">
        <v>-83</v>
      </c>
      <c r="V113" s="114">
        <v>-115</v>
      </c>
      <c r="W113" s="114">
        <v>-115</v>
      </c>
      <c r="X113" s="114">
        <v>-132</v>
      </c>
      <c r="Y113" s="114">
        <v>-139</v>
      </c>
      <c r="Z113" s="114">
        <v>-80</v>
      </c>
      <c r="AA113" s="114">
        <v>-107</v>
      </c>
      <c r="AB113" s="114">
        <v>-108</v>
      </c>
      <c r="AC113" s="114">
        <v>-140</v>
      </c>
      <c r="AD113" s="114">
        <v>-165</v>
      </c>
      <c r="AE113" s="114">
        <v>-178</v>
      </c>
      <c r="AF113" s="114">
        <v>-165.5</v>
      </c>
      <c r="AG113" s="113">
        <v>240</v>
      </c>
      <c r="AH113" s="47">
        <f t="shared" si="10"/>
        <v>-64</v>
      </c>
      <c r="AI113" s="48">
        <f t="shared" si="11"/>
        <v>-178</v>
      </c>
    </row>
    <row r="114" spans="1:37" x14ac:dyDescent="0.25">
      <c r="A114" s="102" t="s">
        <v>122</v>
      </c>
      <c r="B114" s="114">
        <v>0</v>
      </c>
      <c r="C114" s="114">
        <v>0</v>
      </c>
      <c r="D114" s="114">
        <v>0</v>
      </c>
      <c r="E114" s="114">
        <v>0</v>
      </c>
      <c r="F114" s="114">
        <v>0</v>
      </c>
      <c r="G114" s="114">
        <v>0</v>
      </c>
      <c r="H114" s="114">
        <v>0</v>
      </c>
      <c r="I114" s="114">
        <v>0</v>
      </c>
      <c r="J114" s="114">
        <v>0</v>
      </c>
      <c r="K114" s="114">
        <v>0</v>
      </c>
      <c r="L114" s="114">
        <v>0</v>
      </c>
      <c r="M114" s="114">
        <v>0</v>
      </c>
      <c r="N114" s="114">
        <v>0</v>
      </c>
      <c r="O114" s="114">
        <v>0</v>
      </c>
      <c r="P114" s="114">
        <v>0</v>
      </c>
      <c r="Q114" s="114">
        <v>0</v>
      </c>
      <c r="R114" s="114">
        <v>0</v>
      </c>
      <c r="S114" s="114">
        <v>0</v>
      </c>
      <c r="T114" s="114">
        <v>0</v>
      </c>
      <c r="U114" s="114">
        <v>0</v>
      </c>
      <c r="V114" s="114">
        <v>0</v>
      </c>
      <c r="W114" s="114">
        <v>0</v>
      </c>
      <c r="X114" s="114">
        <v>2.4</v>
      </c>
      <c r="Y114" s="114">
        <v>-1.6</v>
      </c>
      <c r="Z114" s="114">
        <v>7</v>
      </c>
      <c r="AA114" s="114">
        <v>8.1999999999999993</v>
      </c>
      <c r="AB114" s="114">
        <v>5.0999999999999996</v>
      </c>
      <c r="AC114" s="114">
        <v>-1.7</v>
      </c>
      <c r="AD114" s="114">
        <v>-6.3</v>
      </c>
      <c r="AE114" s="114">
        <v>-9.6999999999999993</v>
      </c>
      <c r="AF114" s="114">
        <v>-14.4</v>
      </c>
      <c r="AG114" s="113">
        <v>60</v>
      </c>
      <c r="AH114" s="47">
        <f t="shared" si="10"/>
        <v>8.1999999999999993</v>
      </c>
      <c r="AI114" s="48">
        <f t="shared" si="11"/>
        <v>-14.4</v>
      </c>
    </row>
    <row r="115" spans="1:37" x14ac:dyDescent="0.25">
      <c r="A115" s="115" t="s">
        <v>123</v>
      </c>
      <c r="B115" s="116">
        <v>-2.1</v>
      </c>
      <c r="C115" s="116">
        <v>-2.2000000000000002</v>
      </c>
      <c r="D115" s="116">
        <v>-2.2000000000000002</v>
      </c>
      <c r="E115" s="116">
        <v>-2.2999999999999998</v>
      </c>
      <c r="F115" s="116">
        <v>-2.1</v>
      </c>
      <c r="G115" s="116">
        <v>-2.2999999999999998</v>
      </c>
      <c r="H115" s="116">
        <v>11.9</v>
      </c>
      <c r="I115" s="116">
        <v>19</v>
      </c>
      <c r="J115" s="116">
        <v>18.8</v>
      </c>
      <c r="K115" s="116">
        <v>18.5</v>
      </c>
      <c r="L115" s="116">
        <v>8.5</v>
      </c>
      <c r="M115" s="116">
        <v>9.6999999999999993</v>
      </c>
      <c r="N115" s="116">
        <v>9.8000000000000007</v>
      </c>
      <c r="O115" s="116">
        <v>11.1</v>
      </c>
      <c r="P115" s="116">
        <v>11.21</v>
      </c>
      <c r="Q115" s="116">
        <v>11.5</v>
      </c>
      <c r="R115" s="116">
        <v>11.4</v>
      </c>
      <c r="S115" s="116">
        <v>7.5</v>
      </c>
      <c r="T115" s="116">
        <v>7.7</v>
      </c>
      <c r="U115" s="116">
        <v>4.4000000000000004</v>
      </c>
      <c r="V115" s="116">
        <v>19.3</v>
      </c>
      <c r="W115" s="116">
        <v>19.3</v>
      </c>
      <c r="X115" s="116">
        <v>19</v>
      </c>
      <c r="Y115" s="116">
        <v>19.100000000000001</v>
      </c>
      <c r="Z115" s="116">
        <v>18.5</v>
      </c>
      <c r="AA115" s="116">
        <v>17.899999999999999</v>
      </c>
      <c r="AB115" s="116">
        <v>17.399999999999999</v>
      </c>
      <c r="AC115" s="116">
        <v>17.7</v>
      </c>
      <c r="AD115" s="116">
        <v>17.899999999999999</v>
      </c>
      <c r="AE115" s="116">
        <v>18.8</v>
      </c>
      <c r="AF115" s="116">
        <v>7.3</v>
      </c>
      <c r="AG115" s="117">
        <v>120</v>
      </c>
      <c r="AH115" s="47">
        <f t="shared" si="10"/>
        <v>19.3</v>
      </c>
      <c r="AI115" s="48">
        <f t="shared" si="11"/>
        <v>-2.2999999999999998</v>
      </c>
    </row>
    <row r="116" spans="1:37" x14ac:dyDescent="0.25">
      <c r="A116" s="115" t="s">
        <v>124</v>
      </c>
      <c r="B116" s="116">
        <v>58.3</v>
      </c>
      <c r="C116" s="116">
        <v>44.3</v>
      </c>
      <c r="D116" s="116">
        <v>57.5</v>
      </c>
      <c r="E116" s="116">
        <v>70.5</v>
      </c>
      <c r="F116" s="116">
        <v>62.1</v>
      </c>
      <c r="G116" s="116">
        <v>58.5</v>
      </c>
      <c r="H116" s="116">
        <v>21.9</v>
      </c>
      <c r="I116" s="116">
        <v>39.6</v>
      </c>
      <c r="J116" s="116">
        <v>28.4</v>
      </c>
      <c r="K116" s="116">
        <v>38.299999999999997</v>
      </c>
      <c r="L116" s="116">
        <v>60.1</v>
      </c>
      <c r="M116" s="116">
        <v>72</v>
      </c>
      <c r="N116" s="116">
        <v>64.7</v>
      </c>
      <c r="O116" s="116">
        <v>76.900000000000006</v>
      </c>
      <c r="P116" s="116">
        <v>76.599999999999994</v>
      </c>
      <c r="Q116" s="116">
        <v>83.4</v>
      </c>
      <c r="R116" s="116">
        <v>60.3</v>
      </c>
      <c r="S116" s="116">
        <v>61.3</v>
      </c>
      <c r="T116" s="116">
        <v>54.7</v>
      </c>
      <c r="U116" s="116">
        <v>73</v>
      </c>
      <c r="V116" s="116">
        <v>44.4</v>
      </c>
      <c r="W116" s="116">
        <v>44.4</v>
      </c>
      <c r="X116" s="116">
        <v>40</v>
      </c>
      <c r="Y116" s="116">
        <v>43.2</v>
      </c>
      <c r="Z116" s="116">
        <v>80.7</v>
      </c>
      <c r="AA116" s="116">
        <v>67.8</v>
      </c>
      <c r="AB116" s="116">
        <v>64</v>
      </c>
      <c r="AC116" s="116">
        <v>64.900000000000006</v>
      </c>
      <c r="AD116" s="116">
        <v>53.4</v>
      </c>
      <c r="AE116" s="116">
        <v>61.7</v>
      </c>
      <c r="AF116" s="116">
        <v>48</v>
      </c>
      <c r="AG116" s="117"/>
      <c r="AH116" s="47">
        <f t="shared" si="10"/>
        <v>83.4</v>
      </c>
      <c r="AI116" s="48">
        <f t="shared" si="11"/>
        <v>21.9</v>
      </c>
    </row>
    <row r="117" spans="1:37" x14ac:dyDescent="0.25">
      <c r="A117" s="115" t="s">
        <v>125</v>
      </c>
      <c r="B117" s="116">
        <v>-0.9</v>
      </c>
      <c r="C117" s="116">
        <v>-3.8</v>
      </c>
      <c r="D117" s="116">
        <v>-4.2</v>
      </c>
      <c r="E117" s="116">
        <v>-1.1000000000000001</v>
      </c>
      <c r="F117" s="116">
        <v>-4.9000000000000004</v>
      </c>
      <c r="G117" s="116">
        <v>7.1</v>
      </c>
      <c r="H117" s="116">
        <v>14.1</v>
      </c>
      <c r="I117" s="116">
        <v>11.8</v>
      </c>
      <c r="J117" s="116">
        <v>5.7</v>
      </c>
      <c r="K117" s="116">
        <v>8.4</v>
      </c>
      <c r="L117" s="116">
        <v>16.2</v>
      </c>
      <c r="M117" s="116">
        <v>15.9</v>
      </c>
      <c r="N117" s="116">
        <v>26.5</v>
      </c>
      <c r="O117" s="116">
        <v>-2.8</v>
      </c>
      <c r="P117" s="116">
        <v>-1.2</v>
      </c>
      <c r="Q117" s="116">
        <v>2.8</v>
      </c>
      <c r="R117" s="116">
        <v>2.6</v>
      </c>
      <c r="S117" s="116">
        <v>-3.3</v>
      </c>
      <c r="T117" s="116">
        <v>4.4000000000000004</v>
      </c>
      <c r="U117" s="116">
        <v>4.3</v>
      </c>
      <c r="V117" s="116">
        <v>9.3000000000000007</v>
      </c>
      <c r="W117" s="116">
        <v>9.3000000000000007</v>
      </c>
      <c r="X117" s="116">
        <v>10.7</v>
      </c>
      <c r="Y117" s="116">
        <v>11.7</v>
      </c>
      <c r="Z117" s="116">
        <v>0</v>
      </c>
      <c r="AA117" s="116">
        <v>-2.1</v>
      </c>
      <c r="AB117" s="116">
        <v>-4.0999999999999996</v>
      </c>
      <c r="AC117" s="116">
        <v>-2.2000000000000002</v>
      </c>
      <c r="AD117" s="116">
        <v>-2.1</v>
      </c>
      <c r="AE117" s="116">
        <v>1.1000000000000001</v>
      </c>
      <c r="AF117" s="116">
        <v>-12.9</v>
      </c>
      <c r="AG117" s="118"/>
      <c r="AH117" s="47">
        <f t="shared" si="10"/>
        <v>26.5</v>
      </c>
      <c r="AI117" s="48">
        <f t="shared" si="11"/>
        <v>-12.9</v>
      </c>
    </row>
    <row r="118" spans="1:37" x14ac:dyDescent="0.25">
      <c r="A118" s="119" t="s">
        <v>126</v>
      </c>
      <c r="B118" s="105">
        <v>30.4</v>
      </c>
      <c r="C118" s="105">
        <v>31.7</v>
      </c>
      <c r="D118" s="105">
        <v>29.7</v>
      </c>
      <c r="E118" s="105">
        <v>35.9</v>
      </c>
      <c r="F118" s="105">
        <v>33.4</v>
      </c>
      <c r="G118" s="105">
        <v>41</v>
      </c>
      <c r="H118" s="105">
        <v>44.4</v>
      </c>
      <c r="I118" s="105">
        <v>44.2</v>
      </c>
      <c r="J118" s="105">
        <v>42.6</v>
      </c>
      <c r="K118" s="105">
        <v>41</v>
      </c>
      <c r="L118" s="105">
        <v>40.4</v>
      </c>
      <c r="M118" s="105">
        <v>41</v>
      </c>
      <c r="N118" s="105">
        <v>44.5</v>
      </c>
      <c r="O118" s="105">
        <v>43.5</v>
      </c>
      <c r="P118" s="105">
        <v>37</v>
      </c>
      <c r="Q118" s="105">
        <v>36</v>
      </c>
      <c r="R118" s="105">
        <v>35</v>
      </c>
      <c r="S118" s="105">
        <v>30.2</v>
      </c>
      <c r="T118" s="105">
        <v>25</v>
      </c>
      <c r="U118" s="105">
        <v>31.4</v>
      </c>
      <c r="V118" s="105">
        <v>32.700000000000003</v>
      </c>
      <c r="W118" s="105">
        <v>32.700000000000003</v>
      </c>
      <c r="X118" s="105">
        <v>34.4</v>
      </c>
      <c r="Y118" s="105">
        <v>32.700000000000003</v>
      </c>
      <c r="Z118" s="105">
        <v>26</v>
      </c>
      <c r="AA118" s="105">
        <v>18.100000000000001</v>
      </c>
      <c r="AB118" s="105">
        <v>16.8</v>
      </c>
      <c r="AC118" s="105">
        <v>17.899999999999999</v>
      </c>
      <c r="AD118" s="105">
        <v>19.399999999999999</v>
      </c>
      <c r="AE118" s="105">
        <v>28</v>
      </c>
      <c r="AF118" s="105">
        <v>28.7</v>
      </c>
      <c r="AG118" s="118"/>
      <c r="AH118" s="47">
        <f t="shared" si="10"/>
        <v>44.5</v>
      </c>
      <c r="AI118" s="48">
        <f t="shared" si="11"/>
        <v>16.8</v>
      </c>
    </row>
    <row r="119" spans="1:37" x14ac:dyDescent="0.25">
      <c r="A119" s="120" t="s">
        <v>127</v>
      </c>
      <c r="B119" s="105">
        <v>104.1</v>
      </c>
      <c r="C119" s="105">
        <v>93.9</v>
      </c>
      <c r="D119" s="105">
        <v>96</v>
      </c>
      <c r="E119" s="105">
        <v>87.5</v>
      </c>
      <c r="F119" s="105">
        <v>91.2</v>
      </c>
      <c r="G119" s="105">
        <v>96.1</v>
      </c>
      <c r="H119" s="105">
        <v>99.4</v>
      </c>
      <c r="I119" s="105">
        <v>96.6</v>
      </c>
      <c r="J119" s="105">
        <v>90</v>
      </c>
      <c r="K119" s="105">
        <v>90.2</v>
      </c>
      <c r="L119" s="105">
        <v>21.2</v>
      </c>
      <c r="M119" s="105">
        <v>24.4</v>
      </c>
      <c r="N119" s="105">
        <v>24.9</v>
      </c>
      <c r="O119" s="105">
        <v>24.6</v>
      </c>
      <c r="P119" s="105">
        <v>21</v>
      </c>
      <c r="Q119" s="105">
        <v>24</v>
      </c>
      <c r="R119" s="105">
        <v>23.1</v>
      </c>
      <c r="S119" s="105">
        <v>19.600000000000001</v>
      </c>
      <c r="T119" s="105">
        <v>20.2</v>
      </c>
      <c r="U119" s="105">
        <v>22</v>
      </c>
      <c r="V119" s="105">
        <v>56.5</v>
      </c>
      <c r="W119" s="105">
        <v>56.5</v>
      </c>
      <c r="X119" s="105">
        <v>62.3</v>
      </c>
      <c r="Y119" s="105">
        <v>66.2</v>
      </c>
      <c r="Z119" s="105">
        <v>32</v>
      </c>
      <c r="AA119" s="105">
        <v>48.4</v>
      </c>
      <c r="AB119" s="105">
        <v>44.6</v>
      </c>
      <c r="AC119" s="105">
        <v>65.3</v>
      </c>
      <c r="AD119" s="105">
        <v>83.3</v>
      </c>
      <c r="AE119" s="105">
        <v>93</v>
      </c>
      <c r="AF119" s="105">
        <v>85.8</v>
      </c>
      <c r="AG119" s="118"/>
      <c r="AH119" s="47">
        <f t="shared" si="10"/>
        <v>104.1</v>
      </c>
      <c r="AI119" s="48">
        <f t="shared" si="11"/>
        <v>19.600000000000001</v>
      </c>
    </row>
    <row r="120" spans="1:37" ht="15.75" thickBot="1" x14ac:dyDescent="0.3">
      <c r="A120" s="119" t="s">
        <v>128</v>
      </c>
      <c r="B120" s="105">
        <v>74.7</v>
      </c>
      <c r="C120" s="105">
        <v>66.400000000000006</v>
      </c>
      <c r="D120" s="105">
        <v>58.9</v>
      </c>
      <c r="E120" s="105">
        <v>54</v>
      </c>
      <c r="F120" s="105">
        <v>52.5</v>
      </c>
      <c r="G120" s="105">
        <v>49.2</v>
      </c>
      <c r="H120" s="105">
        <v>38.1</v>
      </c>
      <c r="I120" s="105">
        <v>34.9</v>
      </c>
      <c r="J120" s="105">
        <v>30.4</v>
      </c>
      <c r="K120" s="105">
        <v>41.4</v>
      </c>
      <c r="L120" s="105">
        <v>40</v>
      </c>
      <c r="M120" s="105">
        <v>46.9</v>
      </c>
      <c r="N120" s="105">
        <v>37.4</v>
      </c>
      <c r="O120" s="105">
        <v>33.4</v>
      </c>
      <c r="P120" s="105">
        <v>31.3</v>
      </c>
      <c r="Q120" s="105">
        <v>42.8</v>
      </c>
      <c r="R120" s="105">
        <v>44.8</v>
      </c>
      <c r="S120" s="105">
        <v>58.5</v>
      </c>
      <c r="T120" s="105">
        <v>56.3</v>
      </c>
      <c r="U120" s="105">
        <v>45.1</v>
      </c>
      <c r="V120" s="105">
        <v>28.5</v>
      </c>
      <c r="W120" s="105">
        <v>28.5</v>
      </c>
      <c r="X120" s="105">
        <v>40.200000000000003</v>
      </c>
      <c r="Y120" s="105">
        <v>38.200000000000003</v>
      </c>
      <c r="Z120" s="105">
        <v>50</v>
      </c>
      <c r="AA120" s="105">
        <v>62.4</v>
      </c>
      <c r="AB120" s="105">
        <v>54</v>
      </c>
      <c r="AC120" s="105">
        <v>63.3</v>
      </c>
      <c r="AD120" s="105">
        <v>63.3</v>
      </c>
      <c r="AE120" s="105">
        <v>54.4</v>
      </c>
      <c r="AF120" s="105">
        <v>56.3</v>
      </c>
      <c r="AG120" s="118"/>
      <c r="AH120" s="47">
        <f t="shared" si="10"/>
        <v>74.7</v>
      </c>
      <c r="AI120" s="48">
        <f t="shared" si="11"/>
        <v>28.5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19">SUM(B122:B226)</f>
        <v>0</v>
      </c>
      <c r="C227" s="136">
        <f t="shared" si="19"/>
        <v>0</v>
      </c>
      <c r="D227" s="136">
        <f t="shared" si="19"/>
        <v>0</v>
      </c>
      <c r="E227" s="136">
        <f t="shared" si="19"/>
        <v>0</v>
      </c>
      <c r="F227" s="136">
        <f t="shared" si="19"/>
        <v>0</v>
      </c>
      <c r="G227" s="136">
        <f t="shared" si="19"/>
        <v>0</v>
      </c>
      <c r="H227" s="136">
        <f t="shared" si="19"/>
        <v>0</v>
      </c>
      <c r="I227" s="136">
        <f t="shared" si="19"/>
        <v>0</v>
      </c>
      <c r="J227" s="136">
        <f t="shared" si="19"/>
        <v>0</v>
      </c>
      <c r="K227" s="136">
        <f t="shared" si="19"/>
        <v>0</v>
      </c>
      <c r="L227" s="136">
        <f t="shared" si="19"/>
        <v>0</v>
      </c>
      <c r="M227" s="136">
        <f t="shared" si="19"/>
        <v>0</v>
      </c>
      <c r="N227" s="136">
        <f t="shared" si="19"/>
        <v>0</v>
      </c>
      <c r="O227" s="136">
        <f t="shared" si="19"/>
        <v>0</v>
      </c>
      <c r="P227" s="136">
        <f t="shared" si="19"/>
        <v>0</v>
      </c>
      <c r="Q227" s="136">
        <f t="shared" si="19"/>
        <v>0</v>
      </c>
      <c r="R227" s="136">
        <f t="shared" si="19"/>
        <v>0</v>
      </c>
      <c r="S227" s="136">
        <f t="shared" si="19"/>
        <v>0</v>
      </c>
      <c r="T227" s="136">
        <f t="shared" si="19"/>
        <v>0</v>
      </c>
      <c r="U227" s="136">
        <f t="shared" si="19"/>
        <v>0</v>
      </c>
      <c r="V227" s="136">
        <f t="shared" si="19"/>
        <v>0</v>
      </c>
      <c r="W227" s="136">
        <f t="shared" si="19"/>
        <v>0</v>
      </c>
      <c r="X227" s="136">
        <f t="shared" si="19"/>
        <v>0</v>
      </c>
      <c r="Y227" s="136">
        <f t="shared" si="19"/>
        <v>0</v>
      </c>
      <c r="Z227" s="136">
        <f t="shared" si="19"/>
        <v>0</v>
      </c>
      <c r="AA227" s="136">
        <f t="shared" si="19"/>
        <v>0</v>
      </c>
      <c r="AB227" s="136">
        <f t="shared" si="19"/>
        <v>0</v>
      </c>
      <c r="AC227" s="136">
        <f t="shared" si="19"/>
        <v>0</v>
      </c>
      <c r="AD227" s="136">
        <f t="shared" si="19"/>
        <v>0</v>
      </c>
      <c r="AE227" s="136">
        <f t="shared" si="19"/>
        <v>0</v>
      </c>
      <c r="AF227" s="137">
        <f t="shared" si="19"/>
        <v>0</v>
      </c>
      <c r="AG227" s="138">
        <f t="shared" si="19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20">AF229</f>
        <v>0</v>
      </c>
      <c r="C229" s="140">
        <v>0.3</v>
      </c>
      <c r="D229" s="140">
        <f t="shared" ref="D229:P234" si="21">C229</f>
        <v>0.3</v>
      </c>
      <c r="E229" s="140">
        <f t="shared" si="21"/>
        <v>0.3</v>
      </c>
      <c r="F229" s="140">
        <f t="shared" si="21"/>
        <v>0.3</v>
      </c>
      <c r="G229" s="140">
        <f t="shared" si="21"/>
        <v>0.3</v>
      </c>
      <c r="H229" s="140">
        <f t="shared" si="21"/>
        <v>0.3</v>
      </c>
      <c r="I229" s="140">
        <f t="shared" si="21"/>
        <v>0.3</v>
      </c>
      <c r="J229" s="140">
        <f t="shared" si="21"/>
        <v>0.3</v>
      </c>
      <c r="K229" s="140">
        <f t="shared" si="21"/>
        <v>0.3</v>
      </c>
      <c r="L229" s="140">
        <f t="shared" si="21"/>
        <v>0.3</v>
      </c>
      <c r="M229" s="140">
        <f t="shared" si="21"/>
        <v>0.3</v>
      </c>
      <c r="N229" s="140">
        <f t="shared" si="21"/>
        <v>0.3</v>
      </c>
      <c r="O229" s="140">
        <f t="shared" si="21"/>
        <v>0.3</v>
      </c>
      <c r="P229" s="140">
        <f t="shared" si="21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20"/>
        <v>0</v>
      </c>
      <c r="C230" s="128">
        <v>0.4</v>
      </c>
      <c r="D230" s="128">
        <f t="shared" si="21"/>
        <v>0.4</v>
      </c>
      <c r="E230" s="128">
        <f t="shared" si="21"/>
        <v>0.4</v>
      </c>
      <c r="F230" s="128">
        <f t="shared" si="21"/>
        <v>0.4</v>
      </c>
      <c r="G230" s="128">
        <f t="shared" si="21"/>
        <v>0.4</v>
      </c>
      <c r="H230" s="128">
        <f t="shared" si="21"/>
        <v>0.4</v>
      </c>
      <c r="I230" s="128">
        <f t="shared" si="21"/>
        <v>0.4</v>
      </c>
      <c r="J230" s="128">
        <f t="shared" si="21"/>
        <v>0.4</v>
      </c>
      <c r="K230" s="128">
        <f t="shared" si="21"/>
        <v>0.4</v>
      </c>
      <c r="L230" s="128">
        <f t="shared" si="21"/>
        <v>0.4</v>
      </c>
      <c r="M230" s="128">
        <f t="shared" si="21"/>
        <v>0.4</v>
      </c>
      <c r="N230" s="128">
        <f t="shared" si="21"/>
        <v>0.4</v>
      </c>
      <c r="O230" s="128">
        <f t="shared" si="21"/>
        <v>0.4</v>
      </c>
      <c r="P230" s="128">
        <f t="shared" si="21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20"/>
        <v>0</v>
      </c>
      <c r="C231" s="128">
        <v>1.5</v>
      </c>
      <c r="D231" s="128">
        <f t="shared" si="21"/>
        <v>1.5</v>
      </c>
      <c r="E231" s="128">
        <f t="shared" si="21"/>
        <v>1.5</v>
      </c>
      <c r="F231" s="128">
        <f t="shared" si="21"/>
        <v>1.5</v>
      </c>
      <c r="G231" s="128">
        <f t="shared" si="21"/>
        <v>1.5</v>
      </c>
      <c r="H231" s="128">
        <f t="shared" si="21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21"/>
        <v>123.21900000000009</v>
      </c>
      <c r="K231" s="128">
        <f t="shared" ca="1" si="21"/>
        <v>123.21900000000009</v>
      </c>
      <c r="L231" s="128">
        <f t="shared" ca="1" si="21"/>
        <v>123.21900000000009</v>
      </c>
      <c r="M231" s="128">
        <f t="shared" ca="1" si="21"/>
        <v>119.19900000000008</v>
      </c>
      <c r="N231" s="128">
        <f t="shared" ca="1" si="21"/>
        <v>119.19900000000008</v>
      </c>
      <c r="O231" s="128">
        <f t="shared" ca="1" si="21"/>
        <v>119.19900000000008</v>
      </c>
      <c r="P231" s="128">
        <f t="shared" ca="1" si="21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20"/>
        <v>0</v>
      </c>
      <c r="C232" s="128">
        <v>0.3</v>
      </c>
      <c r="D232" s="128">
        <f t="shared" si="21"/>
        <v>0.3</v>
      </c>
      <c r="E232" s="128">
        <f t="shared" si="21"/>
        <v>0.3</v>
      </c>
      <c r="F232" s="128">
        <f t="shared" si="21"/>
        <v>0.3</v>
      </c>
      <c r="G232" s="128">
        <f t="shared" si="21"/>
        <v>0.3</v>
      </c>
      <c r="H232" s="128">
        <f t="shared" si="21"/>
        <v>0.3</v>
      </c>
      <c r="I232" s="128">
        <f t="shared" si="21"/>
        <v>0.3</v>
      </c>
      <c r="J232" s="128">
        <f t="shared" si="21"/>
        <v>0.3</v>
      </c>
      <c r="K232" s="128">
        <f t="shared" si="21"/>
        <v>0.3</v>
      </c>
      <c r="L232" s="128">
        <f t="shared" si="21"/>
        <v>0.3</v>
      </c>
      <c r="M232" s="128">
        <f t="shared" si="21"/>
        <v>0.3</v>
      </c>
      <c r="N232" s="128">
        <f t="shared" si="21"/>
        <v>0.3</v>
      </c>
      <c r="O232" s="128">
        <f t="shared" si="21"/>
        <v>0.3</v>
      </c>
      <c r="P232" s="128">
        <f t="shared" si="21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20"/>
        <v>0</v>
      </c>
      <c r="C233" s="128">
        <v>0.4</v>
      </c>
      <c r="D233" s="128">
        <f t="shared" si="21"/>
        <v>0.4</v>
      </c>
      <c r="E233" s="128">
        <f t="shared" si="21"/>
        <v>0.4</v>
      </c>
      <c r="F233" s="128">
        <f t="shared" si="21"/>
        <v>0.4</v>
      </c>
      <c r="G233" s="128">
        <f t="shared" si="21"/>
        <v>0.4</v>
      </c>
      <c r="H233" s="128">
        <f t="shared" si="21"/>
        <v>0.4</v>
      </c>
      <c r="I233" s="128">
        <f t="shared" si="21"/>
        <v>0.4</v>
      </c>
      <c r="J233" s="128">
        <f t="shared" si="21"/>
        <v>0.4</v>
      </c>
      <c r="K233" s="128">
        <f t="shared" si="21"/>
        <v>0.4</v>
      </c>
      <c r="L233" s="128">
        <f t="shared" si="21"/>
        <v>0.4</v>
      </c>
      <c r="M233" s="128">
        <f t="shared" si="21"/>
        <v>0.4</v>
      </c>
      <c r="N233" s="128">
        <f t="shared" si="21"/>
        <v>0.4</v>
      </c>
      <c r="O233" s="128">
        <f t="shared" si="21"/>
        <v>0.4</v>
      </c>
      <c r="P233" s="128">
        <f t="shared" si="21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20"/>
        <v>0</v>
      </c>
      <c r="C234" s="132">
        <v>0.64</v>
      </c>
      <c r="D234" s="132">
        <f t="shared" si="21"/>
        <v>0.64</v>
      </c>
      <c r="E234" s="132">
        <f t="shared" si="21"/>
        <v>0.64</v>
      </c>
      <c r="F234" s="132">
        <f t="shared" si="21"/>
        <v>0.64</v>
      </c>
      <c r="G234" s="132">
        <f t="shared" si="21"/>
        <v>0.64</v>
      </c>
      <c r="H234" s="132">
        <f t="shared" si="21"/>
        <v>0.64</v>
      </c>
      <c r="I234" s="132">
        <f t="shared" si="21"/>
        <v>0.64</v>
      </c>
      <c r="J234" s="132">
        <f t="shared" si="21"/>
        <v>0.64</v>
      </c>
      <c r="K234" s="132">
        <f t="shared" si="21"/>
        <v>0.64</v>
      </c>
      <c r="L234" s="132">
        <f t="shared" si="21"/>
        <v>0.64</v>
      </c>
      <c r="M234" s="132">
        <f t="shared" si="21"/>
        <v>0.64</v>
      </c>
      <c r="N234" s="132">
        <f t="shared" si="21"/>
        <v>0.64</v>
      </c>
      <c r="O234" s="132">
        <f t="shared" si="21"/>
        <v>0.64</v>
      </c>
      <c r="P234" s="132">
        <f t="shared" si="21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22">SUM(B229:B234)</f>
        <v>0</v>
      </c>
      <c r="C235" s="136">
        <f t="shared" si="22"/>
        <v>3.54</v>
      </c>
      <c r="D235" s="136">
        <f t="shared" si="22"/>
        <v>3.54</v>
      </c>
      <c r="E235" s="136">
        <f t="shared" si="22"/>
        <v>3.54</v>
      </c>
      <c r="F235" s="136">
        <f t="shared" si="22"/>
        <v>3.54</v>
      </c>
      <c r="G235" s="136">
        <f t="shared" si="22"/>
        <v>3.54</v>
      </c>
      <c r="H235" s="136">
        <f t="shared" si="22"/>
        <v>3.54</v>
      </c>
      <c r="I235" s="136">
        <f t="shared" ca="1" si="22"/>
        <v>121.23900000000009</v>
      </c>
      <c r="J235" s="136">
        <f t="shared" ca="1" si="22"/>
        <v>121.23900000000009</v>
      </c>
      <c r="K235" s="136">
        <f t="shared" ca="1" si="22"/>
        <v>121.23900000000009</v>
      </c>
      <c r="L235" s="136">
        <f t="shared" ca="1" si="22"/>
        <v>125.2590000000001</v>
      </c>
      <c r="M235" s="136">
        <f t="shared" ca="1" si="22"/>
        <v>121.23900000000009</v>
      </c>
      <c r="N235" s="136">
        <f t="shared" ca="1" si="22"/>
        <v>121.23900000000009</v>
      </c>
      <c r="O235" s="136">
        <f t="shared" ca="1" si="22"/>
        <v>121.23900000000009</v>
      </c>
      <c r="P235" s="136">
        <f t="shared" ca="1" si="22"/>
        <v>121.23900000000009</v>
      </c>
      <c r="Q235" s="136">
        <f t="shared" si="22"/>
        <v>0</v>
      </c>
      <c r="R235" s="136">
        <f t="shared" si="22"/>
        <v>0</v>
      </c>
      <c r="S235" s="136">
        <f t="shared" si="22"/>
        <v>0</v>
      </c>
      <c r="T235" s="136">
        <f t="shared" si="22"/>
        <v>0</v>
      </c>
      <c r="U235" s="136">
        <f t="shared" si="22"/>
        <v>0</v>
      </c>
      <c r="V235" s="136">
        <f t="shared" si="22"/>
        <v>0</v>
      </c>
      <c r="W235" s="136">
        <f t="shared" si="22"/>
        <v>0</v>
      </c>
      <c r="X235" s="136">
        <f t="shared" si="22"/>
        <v>0</v>
      </c>
      <c r="Y235" s="136">
        <f t="shared" si="22"/>
        <v>0</v>
      </c>
      <c r="Z235" s="136">
        <f t="shared" si="22"/>
        <v>0</v>
      </c>
      <c r="AA235" s="136">
        <f t="shared" si="22"/>
        <v>0</v>
      </c>
      <c r="AB235" s="136">
        <f t="shared" si="22"/>
        <v>0</v>
      </c>
      <c r="AC235" s="136">
        <f t="shared" si="22"/>
        <v>0</v>
      </c>
      <c r="AD235" s="136">
        <f t="shared" si="22"/>
        <v>0</v>
      </c>
      <c r="AE235" s="136">
        <f t="shared" si="22"/>
        <v>0</v>
      </c>
      <c r="AF235" s="136">
        <f t="shared" si="22"/>
        <v>0</v>
      </c>
      <c r="AG235" s="145">
        <f t="shared" si="2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1953.8400000000001</v>
      </c>
      <c r="C244" s="161">
        <f>INDEX(G9:N9,1,MATCH(MAX(G91:N91),G91:N91,0))</f>
        <v>0.29166666666666669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10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2080/04/10)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2080/04/10)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23">B91</f>
        <v>1899.7400000000002</v>
      </c>
      <c r="U249" s="170">
        <f t="shared" si="23"/>
        <v>1884.5400000000002</v>
      </c>
      <c r="V249" s="170">
        <f t="shared" si="23"/>
        <v>1871.74</v>
      </c>
      <c r="W249" s="170">
        <f t="shared" si="23"/>
        <v>1828.8400000000001</v>
      </c>
      <c r="X249" s="170">
        <f t="shared" si="23"/>
        <v>1856.7400000000002</v>
      </c>
      <c r="Y249" s="170">
        <f t="shared" si="23"/>
        <v>1858.8400000000001</v>
      </c>
      <c r="Z249" s="170">
        <f t="shared" si="23"/>
        <v>1865.44</v>
      </c>
      <c r="AA249" s="170">
        <f t="shared" si="23"/>
        <v>1890.3400000000001</v>
      </c>
      <c r="AB249" s="170">
        <f t="shared" si="23"/>
        <v>1917.8400000000001</v>
      </c>
      <c r="AC249" s="170">
        <f t="shared" si="23"/>
        <v>1953.8400000000001</v>
      </c>
      <c r="AD249" s="170">
        <f t="shared" si="23"/>
        <v>1928.14</v>
      </c>
      <c r="AE249" s="170">
        <f t="shared" si="23"/>
        <v>1930.04</v>
      </c>
      <c r="AF249" s="170">
        <f t="shared" si="23"/>
        <v>1943.1399999999999</v>
      </c>
      <c r="AG249" s="170">
        <f t="shared" si="23"/>
        <v>2007.64</v>
      </c>
      <c r="AH249" s="170">
        <f t="shared" si="23"/>
        <v>1991.1399999999999</v>
      </c>
      <c r="AI249" s="170">
        <f t="shared" si="23"/>
        <v>1990.9399999999998</v>
      </c>
      <c r="AJ249" s="170">
        <f t="shared" si="23"/>
        <v>1995.1399999999999</v>
      </c>
      <c r="AK249" s="170">
        <f t="shared" si="23"/>
        <v>2004.34</v>
      </c>
      <c r="AL249" s="170">
        <f t="shared" si="23"/>
        <v>1975.74</v>
      </c>
      <c r="AM249" s="170">
        <f t="shared" si="23"/>
        <v>1963.54</v>
      </c>
      <c r="AN249" s="170">
        <f t="shared" si="23"/>
        <v>1954.74</v>
      </c>
      <c r="AO249" s="170">
        <f t="shared" si="23"/>
        <v>1949.24</v>
      </c>
      <c r="AP249" s="170">
        <f t="shared" si="23"/>
        <v>1903.14</v>
      </c>
      <c r="AQ249" s="170">
        <f t="shared" si="23"/>
        <v>1930.04</v>
      </c>
      <c r="AR249" s="170">
        <f t="shared" si="23"/>
        <v>1928.7399999999998</v>
      </c>
      <c r="AS249" s="170">
        <f t="shared" si="23"/>
        <v>1995.9400000000003</v>
      </c>
      <c r="AT249" s="170">
        <f t="shared" si="23"/>
        <v>2020.5400000000002</v>
      </c>
      <c r="AU249" s="170">
        <f t="shared" si="23"/>
        <v>2070.34</v>
      </c>
      <c r="AV249" s="170">
        <f t="shared" si="23"/>
        <v>2065.44</v>
      </c>
      <c r="AW249" s="170">
        <f t="shared" si="23"/>
        <v>1975.84</v>
      </c>
      <c r="AX249" s="170">
        <f t="shared" si="23"/>
        <v>1952.54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24">C234</f>
        <v>0.64</v>
      </c>
      <c r="C270" s="173">
        <f t="shared" si="24"/>
        <v>0.64</v>
      </c>
      <c r="D270" s="173">
        <f t="shared" si="24"/>
        <v>0.64</v>
      </c>
      <c r="E270" s="173">
        <f t="shared" si="24"/>
        <v>0.64</v>
      </c>
      <c r="F270" s="173">
        <f t="shared" si="24"/>
        <v>0.64</v>
      </c>
      <c r="G270" s="173">
        <f t="shared" si="24"/>
        <v>0.64</v>
      </c>
      <c r="H270" s="173">
        <f t="shared" si="24"/>
        <v>0.64</v>
      </c>
      <c r="I270" s="173">
        <f t="shared" si="24"/>
        <v>0.64</v>
      </c>
      <c r="J270" s="173">
        <f t="shared" si="24"/>
        <v>0.64</v>
      </c>
      <c r="K270" s="173">
        <f t="shared" si="24"/>
        <v>0.64</v>
      </c>
      <c r="L270" s="173">
        <f t="shared" si="24"/>
        <v>0.64</v>
      </c>
      <c r="M270" s="173">
        <f t="shared" si="24"/>
        <v>0.64</v>
      </c>
      <c r="N270" s="173">
        <f t="shared" si="24"/>
        <v>0.64</v>
      </c>
      <c r="O270" s="173">
        <f t="shared" si="24"/>
        <v>0.64</v>
      </c>
      <c r="P270" s="173">
        <f t="shared" si="24"/>
        <v>0</v>
      </c>
      <c r="Q270" s="173">
        <f t="shared" si="24"/>
        <v>0</v>
      </c>
      <c r="R270" s="173">
        <f t="shared" si="24"/>
        <v>0</v>
      </c>
      <c r="S270" s="173">
        <f t="shared" si="24"/>
        <v>0</v>
      </c>
      <c r="T270" s="173">
        <f t="shared" si="24"/>
        <v>0</v>
      </c>
      <c r="U270" s="173">
        <f t="shared" si="24"/>
        <v>0</v>
      </c>
      <c r="V270" s="173">
        <f t="shared" si="24"/>
        <v>0</v>
      </c>
      <c r="W270" s="173">
        <f t="shared" si="24"/>
        <v>0</v>
      </c>
      <c r="X270" s="173">
        <f t="shared" si="24"/>
        <v>0</v>
      </c>
      <c r="Y270" s="173">
        <f t="shared" si="24"/>
        <v>0</v>
      </c>
      <c r="Z270" s="173">
        <f t="shared" si="24"/>
        <v>0</v>
      </c>
      <c r="AA270" s="173">
        <f t="shared" si="24"/>
        <v>0</v>
      </c>
      <c r="AB270" s="173">
        <f t="shared" si="24"/>
        <v>0</v>
      </c>
      <c r="AC270" s="173">
        <f t="shared" si="24"/>
        <v>0</v>
      </c>
      <c r="AD270" s="173">
        <f t="shared" si="24"/>
        <v>0</v>
      </c>
      <c r="AE270" s="173">
        <f t="shared" si="24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5">IF(B238&lt;100,"",B238-520)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6">IF(B239&lt;100,"",B239-620)</f>
        <v/>
      </c>
      <c r="C272" s="174" t="str">
        <f t="shared" si="26"/>
        <v/>
      </c>
      <c r="D272" s="174" t="str">
        <f t="shared" si="26"/>
        <v/>
      </c>
      <c r="E272" s="174" t="str">
        <f t="shared" si="26"/>
        <v/>
      </c>
      <c r="F272" s="174" t="str">
        <f t="shared" si="26"/>
        <v/>
      </c>
      <c r="G272" s="174" t="str">
        <f t="shared" si="26"/>
        <v/>
      </c>
      <c r="H272" s="174" t="str">
        <f t="shared" si="26"/>
        <v/>
      </c>
      <c r="I272" s="174" t="str">
        <f t="shared" si="26"/>
        <v/>
      </c>
      <c r="J272" s="174" t="str">
        <f t="shared" si="26"/>
        <v/>
      </c>
      <c r="K272" s="174" t="str">
        <f t="shared" si="26"/>
        <v/>
      </c>
      <c r="L272" s="174" t="str">
        <f t="shared" si="26"/>
        <v/>
      </c>
      <c r="M272" s="174" t="str">
        <f t="shared" si="26"/>
        <v/>
      </c>
      <c r="N272" s="174" t="str">
        <f t="shared" si="26"/>
        <v/>
      </c>
      <c r="O272" s="174" t="str">
        <f t="shared" si="26"/>
        <v/>
      </c>
      <c r="P272" s="174" t="str">
        <f t="shared" si="26"/>
        <v/>
      </c>
      <c r="Q272" s="174" t="str">
        <f t="shared" si="26"/>
        <v/>
      </c>
      <c r="R272" s="174" t="str">
        <f t="shared" si="26"/>
        <v/>
      </c>
      <c r="S272" s="174" t="str">
        <f t="shared" si="26"/>
        <v/>
      </c>
      <c r="T272" s="174" t="str">
        <f t="shared" si="26"/>
        <v/>
      </c>
      <c r="U272" s="174" t="str">
        <f t="shared" si="26"/>
        <v/>
      </c>
      <c r="V272" s="174" t="str">
        <f t="shared" si="26"/>
        <v/>
      </c>
      <c r="W272" s="174" t="str">
        <f t="shared" si="26"/>
        <v/>
      </c>
      <c r="X272" s="174" t="str">
        <f t="shared" si="26"/>
        <v/>
      </c>
      <c r="Y272" s="174" t="str">
        <f t="shared" si="26"/>
        <v/>
      </c>
      <c r="Z272" s="174" t="str">
        <f t="shared" si="26"/>
        <v/>
      </c>
      <c r="AA272" s="174" t="str">
        <f t="shared" si="26"/>
        <v/>
      </c>
      <c r="AB272" s="174" t="str">
        <f t="shared" si="26"/>
        <v/>
      </c>
      <c r="AC272" s="174" t="str">
        <f t="shared" si="26"/>
        <v/>
      </c>
      <c r="AD272" s="174" t="str">
        <f t="shared" si="26"/>
        <v/>
      </c>
      <c r="AE272" s="174" t="str">
        <f t="shared" si="26"/>
        <v/>
      </c>
      <c r="AF272" s="174" t="str">
        <f t="shared" si="26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7">IF(B240&lt;100,"",B240-330)</f>
        <v/>
      </c>
      <c r="C273" s="174" t="str">
        <f t="shared" si="27"/>
        <v/>
      </c>
      <c r="D273" s="174" t="str">
        <f t="shared" si="27"/>
        <v/>
      </c>
      <c r="E273" s="174" t="str">
        <f t="shared" si="27"/>
        <v/>
      </c>
      <c r="F273" s="174" t="str">
        <f t="shared" si="27"/>
        <v/>
      </c>
      <c r="G273" s="174" t="str">
        <f t="shared" si="27"/>
        <v/>
      </c>
      <c r="H273" s="174" t="str">
        <f t="shared" si="27"/>
        <v/>
      </c>
      <c r="I273" s="174" t="str">
        <f t="shared" si="27"/>
        <v/>
      </c>
      <c r="J273" s="174" t="str">
        <f t="shared" si="27"/>
        <v/>
      </c>
      <c r="K273" s="174" t="str">
        <f t="shared" si="27"/>
        <v/>
      </c>
      <c r="L273" s="174" t="str">
        <f t="shared" si="27"/>
        <v/>
      </c>
      <c r="M273" s="174" t="str">
        <f t="shared" si="27"/>
        <v/>
      </c>
      <c r="N273" s="174" t="str">
        <f t="shared" si="27"/>
        <v/>
      </c>
      <c r="O273" s="174" t="str">
        <f t="shared" si="27"/>
        <v/>
      </c>
      <c r="P273" s="174" t="str">
        <f t="shared" si="27"/>
        <v/>
      </c>
      <c r="Q273" s="174" t="str">
        <f t="shared" si="27"/>
        <v/>
      </c>
      <c r="R273" s="174" t="str">
        <f t="shared" si="27"/>
        <v/>
      </c>
      <c r="S273" s="174" t="str">
        <f t="shared" si="27"/>
        <v/>
      </c>
      <c r="T273" s="174" t="str">
        <f t="shared" si="27"/>
        <v/>
      </c>
      <c r="U273" s="174" t="str">
        <f t="shared" si="27"/>
        <v/>
      </c>
      <c r="V273" s="174" t="str">
        <f t="shared" si="27"/>
        <v/>
      </c>
      <c r="W273" s="174" t="str">
        <f t="shared" si="27"/>
        <v/>
      </c>
      <c r="X273" s="174" t="str">
        <f t="shared" si="27"/>
        <v/>
      </c>
      <c r="Y273" s="174" t="str">
        <f t="shared" si="27"/>
        <v/>
      </c>
      <c r="Z273" s="174" t="str">
        <f t="shared" si="27"/>
        <v/>
      </c>
      <c r="AA273" s="174" t="str">
        <f t="shared" si="27"/>
        <v/>
      </c>
      <c r="AB273" s="174" t="str">
        <f t="shared" si="27"/>
        <v/>
      </c>
      <c r="AC273" s="174" t="str">
        <f t="shared" si="27"/>
        <v/>
      </c>
      <c r="AD273" s="174" t="str">
        <f t="shared" si="27"/>
        <v/>
      </c>
      <c r="AE273" s="174" t="str">
        <f t="shared" si="27"/>
        <v/>
      </c>
      <c r="AF273" s="174" t="str">
        <f t="shared" si="27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8">IF(B241&lt;100,"",B241-1500)</f>
        <v/>
      </c>
      <c r="C274" s="174" t="str">
        <f t="shared" si="28"/>
        <v/>
      </c>
      <c r="D274" s="174" t="str">
        <f t="shared" si="28"/>
        <v/>
      </c>
      <c r="E274" s="174" t="str">
        <f t="shared" si="28"/>
        <v/>
      </c>
      <c r="F274" s="174" t="str">
        <f t="shared" si="28"/>
        <v/>
      </c>
      <c r="G274" s="174" t="str">
        <f t="shared" si="28"/>
        <v/>
      </c>
      <c r="H274" s="174" t="str">
        <f t="shared" si="28"/>
        <v/>
      </c>
      <c r="I274" s="174" t="str">
        <f t="shared" si="28"/>
        <v/>
      </c>
      <c r="J274" s="174" t="str">
        <f t="shared" si="28"/>
        <v/>
      </c>
      <c r="K274" s="174" t="str">
        <f t="shared" si="28"/>
        <v/>
      </c>
      <c r="L274" s="174" t="str">
        <f t="shared" si="28"/>
        <v/>
      </c>
      <c r="M274" s="174" t="str">
        <f t="shared" si="28"/>
        <v/>
      </c>
      <c r="N274" s="174" t="str">
        <f t="shared" si="28"/>
        <v/>
      </c>
      <c r="O274" s="174" t="str">
        <f t="shared" si="28"/>
        <v/>
      </c>
      <c r="P274" s="174" t="str">
        <f t="shared" si="28"/>
        <v/>
      </c>
      <c r="Q274" s="174" t="str">
        <f t="shared" si="28"/>
        <v/>
      </c>
      <c r="R274" s="174" t="str">
        <f t="shared" si="28"/>
        <v/>
      </c>
      <c r="S274" s="174" t="str">
        <f t="shared" si="28"/>
        <v/>
      </c>
      <c r="T274" s="174" t="str">
        <f t="shared" si="28"/>
        <v/>
      </c>
      <c r="U274" s="174" t="str">
        <f t="shared" si="28"/>
        <v/>
      </c>
      <c r="V274" s="174" t="str">
        <f t="shared" si="28"/>
        <v/>
      </c>
      <c r="W274" s="174" t="str">
        <f t="shared" si="28"/>
        <v/>
      </c>
      <c r="X274" s="174" t="str">
        <f t="shared" si="28"/>
        <v/>
      </c>
      <c r="Y274" s="174" t="str">
        <f t="shared" si="28"/>
        <v/>
      </c>
      <c r="Z274" s="174" t="str">
        <f t="shared" si="28"/>
        <v/>
      </c>
      <c r="AA274" s="174" t="str">
        <f t="shared" si="28"/>
        <v/>
      </c>
      <c r="AB274" s="174" t="str">
        <f t="shared" si="28"/>
        <v/>
      </c>
      <c r="AC274" s="174" t="str">
        <f t="shared" si="28"/>
        <v/>
      </c>
      <c r="AD274" s="174" t="str">
        <f t="shared" si="28"/>
        <v/>
      </c>
      <c r="AE274" s="174" t="str">
        <f t="shared" si="28"/>
        <v/>
      </c>
      <c r="AF274" s="174" t="str">
        <f t="shared" si="28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2002" priority="79">
      <formula>$AH11=0</formula>
    </cfRule>
  </conditionalFormatting>
  <conditionalFormatting sqref="B8 M8 S8 AB8">
    <cfRule type="expression" dxfId="2001" priority="130">
      <formula>AND(C$9&gt;=14/24,C$9&lt;20/24)</formula>
    </cfRule>
    <cfRule type="expression" dxfId="2000" priority="131">
      <formula>AND(C$9&gt;=8/24,C$9&lt;14/24)</formula>
    </cfRule>
    <cfRule type="expression" dxfId="1999" priority="132">
      <formula>C$9&lt;8/24</formula>
    </cfRule>
  </conditionalFormatting>
  <conditionalFormatting sqref="B55:D59 E59">
    <cfRule type="expression" dxfId="1998" priority="76">
      <formula>AND(B$9&gt;=14/24,B$9&lt;20/24)</formula>
    </cfRule>
    <cfRule type="expression" dxfId="1997" priority="75">
      <formula>B$9&gt;=20/24</formula>
    </cfRule>
    <cfRule type="expression" dxfId="1996" priority="78">
      <formula>B$9&lt;8/24</formula>
    </cfRule>
    <cfRule type="expression" dxfId="1995" priority="77">
      <formula>AND(B$9&gt;=8/24,B$9&lt;14/24)</formula>
    </cfRule>
  </conditionalFormatting>
  <conditionalFormatting sqref="B60:AD60">
    <cfRule type="expression" dxfId="1994" priority="68">
      <formula>AND(B$9&gt;=8/24,B$9&lt;14/24)</formula>
    </cfRule>
    <cfRule type="expression" dxfId="1993" priority="69">
      <formula>B$9&lt;8/24</formula>
    </cfRule>
    <cfRule type="expression" dxfId="1992" priority="67">
      <formula>AND(B$9&gt;=14/24,B$9&lt;20/24)</formula>
    </cfRule>
    <cfRule type="expression" dxfId="1991" priority="66">
      <formula>B$9&gt;=20/24</formula>
    </cfRule>
  </conditionalFormatting>
  <conditionalFormatting sqref="B9:AF45 B54:C54">
    <cfRule type="expression" dxfId="1990" priority="56">
      <formula>B$9&lt;8/24</formula>
    </cfRule>
    <cfRule type="expression" dxfId="1989" priority="54">
      <formula>AND(B$9&gt;=14/24,B$9&lt;20/24)</formula>
    </cfRule>
    <cfRule type="expression" dxfId="1988" priority="55">
      <formula>AND(B$9&gt;=8/24,B$9&lt;14/24)</formula>
    </cfRule>
    <cfRule type="expression" dxfId="1987" priority="53">
      <formula>B$9&gt;=20/24</formula>
    </cfRule>
  </conditionalFormatting>
  <conditionalFormatting sqref="B46:AF46">
    <cfRule type="expression" dxfId="1986" priority="2">
      <formula>AND(B$9&gt;=14/24,B$9&lt;20/24)</formula>
    </cfRule>
    <cfRule type="expression" dxfId="1985" priority="3">
      <formula>AND(B$9&gt;=8/24,B$9&lt;14/24)</formula>
    </cfRule>
    <cfRule type="expression" dxfId="1984" priority="4">
      <formula>B$9&lt;8/24</formula>
    </cfRule>
    <cfRule type="expression" dxfId="1983" priority="1">
      <formula>B$9&gt;=20/24</formula>
    </cfRule>
  </conditionalFormatting>
  <conditionalFormatting sqref="B47:AF47">
    <cfRule type="expression" dxfId="1982" priority="15">
      <formula>B47&gt;$AG47</formula>
    </cfRule>
  </conditionalFormatting>
  <conditionalFormatting sqref="B47:AF49">
    <cfRule type="expression" dxfId="1981" priority="14">
      <formula>B$9&lt;8/24</formula>
    </cfRule>
    <cfRule type="expression" dxfId="1980" priority="13">
      <formula>AND(B$9&gt;=8/24,B$9&lt;14/24)</formula>
    </cfRule>
    <cfRule type="expression" dxfId="1979" priority="12">
      <formula>AND(B$9&gt;=14/24,B$9&lt;20/24)</formula>
    </cfRule>
    <cfRule type="expression" dxfId="1978" priority="11">
      <formula>B$9&gt;=20/24</formula>
    </cfRule>
  </conditionalFormatting>
  <conditionalFormatting sqref="B48:AF53">
    <cfRule type="expression" dxfId="1977" priority="10">
      <formula>B48&gt;$AG48</formula>
    </cfRule>
  </conditionalFormatting>
  <conditionalFormatting sqref="B51:AF53">
    <cfRule type="expression" dxfId="1976" priority="63">
      <formula>AND(B$9&gt;=14/24,B$9&lt;20/24)</formula>
    </cfRule>
    <cfRule type="expression" dxfId="1975" priority="64">
      <formula>AND(B$9&gt;=8/24,B$9&lt;14/24)</formula>
    </cfRule>
    <cfRule type="expression" dxfId="1974" priority="65">
      <formula>B$9&lt;8/24</formula>
    </cfRule>
    <cfRule type="expression" dxfId="1973" priority="62">
      <formula>B$9&gt;=20/24</formula>
    </cfRule>
  </conditionalFormatting>
  <conditionalFormatting sqref="B61:AF66">
    <cfRule type="expression" dxfId="1972" priority="49">
      <formula>B$9&gt;=20/24</formula>
    </cfRule>
    <cfRule type="expression" dxfId="1971" priority="50">
      <formula>AND(B$9&gt;=14/24,B$9&lt;20/24)</formula>
    </cfRule>
    <cfRule type="expression" dxfId="1970" priority="51">
      <formula>AND(B$9&gt;=8/24,B$9&lt;14/24)</formula>
    </cfRule>
    <cfRule type="expression" dxfId="1969" priority="52">
      <formula>B$9&lt;8/24</formula>
    </cfRule>
  </conditionalFormatting>
  <conditionalFormatting sqref="B73:AF91">
    <cfRule type="expression" dxfId="1968" priority="16">
      <formula>B$9&gt;=20/24</formula>
    </cfRule>
    <cfRule type="expression" dxfId="1967" priority="18">
      <formula>AND(B$9&gt;=8/24,B$9&lt;14/24)</formula>
    </cfRule>
    <cfRule type="expression" dxfId="1966" priority="19">
      <formula>B$9&lt;8/24</formula>
    </cfRule>
    <cfRule type="expression" dxfId="1965" priority="17">
      <formula>AND(B$9&gt;=14/24,B$9&lt;20/24)</formula>
    </cfRule>
  </conditionalFormatting>
  <conditionalFormatting sqref="B111:AF120">
    <cfRule type="expression" dxfId="1964" priority="31">
      <formula>AND(B$9&gt;=8/24,B$9&lt;14/24)</formula>
    </cfRule>
    <cfRule type="expression" dxfId="1963" priority="29">
      <formula>B$9&gt;=20/24</formula>
    </cfRule>
    <cfRule type="expression" dxfId="1962" priority="32">
      <formula>B$9&lt;8/24</formula>
    </cfRule>
    <cfRule type="expression" dxfId="1961" priority="30">
      <formula>AND(B$9&gt;=14/24,B$9&lt;20/24)</formula>
    </cfRule>
  </conditionalFormatting>
  <conditionalFormatting sqref="B227:AF227 D229:AF230 B229:B235 D231:H231 J231:AF231 D232:AF235 U248:AF248">
    <cfRule type="expression" dxfId="1960" priority="123">
      <formula>B$9&gt;=20/24</formula>
    </cfRule>
    <cfRule type="expression" dxfId="1959" priority="125">
      <formula>AND(B$9&gt;=8/24,B$9&lt;14/24)</formula>
    </cfRule>
    <cfRule type="expression" dxfId="1958" priority="124">
      <formula>AND(B$9&gt;=14/24,B$9&lt;20/24)</formula>
    </cfRule>
    <cfRule type="expression" dxfId="1957" priority="126">
      <formula>B$9&lt;8/24</formula>
    </cfRule>
  </conditionalFormatting>
  <conditionalFormatting sqref="B67:AG68 B72:AG72">
    <cfRule type="expression" dxfId="1956" priority="57">
      <formula>B67&gt;$AG67</formula>
    </cfRule>
  </conditionalFormatting>
  <conditionalFormatting sqref="B72:AG72 B93:AF109">
    <cfRule type="expression" dxfId="1955" priority="58">
      <formula>B$9&gt;=20/24</formula>
    </cfRule>
    <cfRule type="expression" dxfId="1954" priority="61">
      <formula>B$9&lt;8/24</formula>
    </cfRule>
    <cfRule type="expression" dxfId="1953" priority="60">
      <formula>AND(B$9&gt;=8/24,B$9&lt;14/24)</formula>
    </cfRule>
    <cfRule type="expression" dxfId="1952" priority="59">
      <formula>AND(B$9&gt;=14/24,B$9&lt;20/24)</formula>
    </cfRule>
  </conditionalFormatting>
  <conditionalFormatting sqref="D55:AF66">
    <cfRule type="expression" dxfId="1951" priority="20">
      <formula>D55&gt;$AG55</formula>
    </cfRule>
  </conditionalFormatting>
  <conditionalFormatting sqref="D54:AG54 B69:AF71">
    <cfRule type="expression" dxfId="1950" priority="74">
      <formula>B$9&lt;8/24</formula>
    </cfRule>
    <cfRule type="expression" dxfId="1949" priority="70">
      <formula>B54&gt;$AG54</formula>
    </cfRule>
    <cfRule type="expression" dxfId="1948" priority="71">
      <formula>B$9&gt;=20/24</formula>
    </cfRule>
    <cfRule type="expression" dxfId="1947" priority="72">
      <formula>AND(B$9&gt;=14/24,B$9&lt;20/24)</formula>
    </cfRule>
    <cfRule type="expression" dxfId="1946" priority="73">
      <formula>AND(B$9&gt;=8/24,B$9&lt;14/24)</formula>
    </cfRule>
  </conditionalFormatting>
  <conditionalFormatting sqref="E55:L57">
    <cfRule type="expression" dxfId="1945" priority="106">
      <formula>AND(E$9&gt;=8/24,E$9&lt;14/24)</formula>
    </cfRule>
    <cfRule type="expression" dxfId="1944" priority="107">
      <formula>E$9&lt;8/24</formula>
    </cfRule>
    <cfRule type="expression" dxfId="1943" priority="104">
      <formula>E$9&gt;=20/24</formula>
    </cfRule>
    <cfRule type="expression" dxfId="1942" priority="105">
      <formula>AND(E$9&gt;=14/24,E$9&lt;20/24)</formula>
    </cfRule>
  </conditionalFormatting>
  <conditionalFormatting sqref="M55:AB59 AC58:AD58">
    <cfRule type="expression" dxfId="1941" priority="109">
      <formula>AND(M$9&gt;=14/24,M$9&lt;20/24)</formula>
    </cfRule>
    <cfRule type="expression" dxfId="1940" priority="110">
      <formula>AND(M$9&gt;=8/24,M$9&lt;14/24)</formula>
    </cfRule>
    <cfRule type="expression" dxfId="1939" priority="111">
      <formula>M$9&lt;8/24</formula>
    </cfRule>
    <cfRule type="expression" dxfId="1938" priority="108">
      <formula>M$9&gt;=20/24</formula>
    </cfRule>
  </conditionalFormatting>
  <conditionalFormatting sqref="O3:P3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O14:AF14">
    <cfRule type="expression" dxfId="1937" priority="496">
      <formula>O14&gt;$AG15</formula>
    </cfRule>
  </conditionalFormatting>
  <conditionalFormatting sqref="P15:AF46 B16:O46 B11:AF13 B14:N15 O15 O16:R16 B54:C66">
    <cfRule type="expression" dxfId="1936" priority="48">
      <formula>B11&gt;$AG11</formula>
    </cfRule>
  </conditionalFormatting>
  <conditionalFormatting sqref="S8 AB8 B8 M8">
    <cfRule type="expression" dxfId="1935" priority="129">
      <formula>C$9&gt;=20/24</formula>
    </cfRule>
  </conditionalFormatting>
  <conditionalFormatting sqref="S8">
    <cfRule type="expression" dxfId="1934" priority="118">
      <formula>AND(U$9&gt;=8/24,U$9&lt;14/24)</formula>
    </cfRule>
    <cfRule type="expression" dxfId="1933" priority="119">
      <formula>U$9&lt;8/24</formula>
    </cfRule>
    <cfRule type="expression" dxfId="1932" priority="117">
      <formula>AND(U$9&gt;=14/24,U$9&lt;20/24)</formula>
    </cfRule>
    <cfRule type="expression" dxfId="1931" priority="116">
      <formula>U$9&gt;=20/24</formula>
    </cfRule>
  </conditionalFormatting>
  <conditionalFormatting sqref="S55:AF60">
    <cfRule type="expression" dxfId="1930" priority="25">
      <formula>S$9&gt;=20/24</formula>
    </cfRule>
    <cfRule type="expression" dxfId="1929" priority="26">
      <formula>AND(S$9&gt;=14/24,S$9&lt;20/24)</formula>
    </cfRule>
    <cfRule type="expression" dxfId="1928" priority="28">
      <formula>S$9&lt;8/24</formula>
    </cfRule>
    <cfRule type="expression" dxfId="1927" priority="27">
      <formula>AND(S$9&gt;=8/24,S$9&lt;14/24)</formula>
    </cfRule>
  </conditionalFormatting>
  <conditionalFormatting sqref="T248">
    <cfRule type="expression" dxfId="1926" priority="144">
      <formula>AX$9&lt;8/24</formula>
    </cfRule>
    <cfRule type="expression" dxfId="1925" priority="141">
      <formula>AX$9&gt;=20/24</formula>
    </cfRule>
    <cfRule type="expression" dxfId="1924" priority="142">
      <formula>AND(AX$9&gt;=14/24,AX$9&lt;20/24)</formula>
    </cfRule>
    <cfRule type="expression" dxfId="1923" priority="143">
      <formula>AND(AX$9&gt;=8/24,AX$9&lt;14/24)</formula>
    </cfRule>
  </conditionalFormatting>
  <conditionalFormatting sqref="V3 AB3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922" priority="112">
      <formula>AD$9&gt;=20/24</formula>
    </cfRule>
    <cfRule type="expression" dxfId="1921" priority="113">
      <formula>AND(AD$9&gt;=14/24,AD$9&lt;20/24)</formula>
    </cfRule>
    <cfRule type="expression" dxfId="1920" priority="114">
      <formula>AND(AD$9&gt;=8/24,AD$9&lt;14/24)</formula>
    </cfRule>
    <cfRule type="expression" dxfId="1919" priority="115">
      <formula>AD$9&lt;8/24</formula>
    </cfRule>
  </conditionalFormatting>
  <conditionalFormatting sqref="AE61:AF66">
    <cfRule type="expression" dxfId="1918" priority="21">
      <formula>AE$9&gt;=20/24</formula>
    </cfRule>
    <cfRule type="expression" dxfId="1917" priority="24">
      <formula>AE$9&lt;8/24</formula>
    </cfRule>
    <cfRule type="expression" dxfId="1916" priority="23">
      <formula>AND(AE$9&gt;=8/24,AE$9&lt;14/24)</formula>
    </cfRule>
    <cfRule type="expression" dxfId="1915" priority="22">
      <formula>AND(AE$9&gt;=14/24,AE$9&lt;20/24)</formula>
    </cfRule>
  </conditionalFormatting>
  <conditionalFormatting sqref="AG50">
    <cfRule type="expression" dxfId="1914" priority="99">
      <formula>AG50&gt;$AG50</formula>
    </cfRule>
  </conditionalFormatting>
  <conditionalFormatting sqref="AG89">
    <cfRule type="expression" dxfId="1913" priority="100">
      <formula>AG$9&gt;=20/24</formula>
    </cfRule>
    <cfRule type="expression" dxfId="1912" priority="101">
      <formula>AND(AG$9&gt;=14/24,AG$9&lt;20/24)</formula>
    </cfRule>
    <cfRule type="expression" dxfId="1911" priority="102">
      <formula>AND(AG$9&gt;=8/24,AG$9&lt;14/24)</formula>
    </cfRule>
    <cfRule type="expression" dxfId="1910" priority="103">
      <formula>AG$9&lt;8/24</formula>
    </cfRule>
  </conditionalFormatting>
  <conditionalFormatting sqref="AG248">
    <cfRule type="expression" dxfId="1909" priority="133">
      <formula>B$9&gt;=20/24</formula>
    </cfRule>
    <cfRule type="expression" dxfId="1908" priority="134">
      <formula>AND(B$9&gt;=14/24,B$9&lt;20/24)</formula>
    </cfRule>
    <cfRule type="expression" dxfId="1907" priority="135">
      <formula>AND(B$9&gt;=8/24,B$9&lt;14/24)</formula>
    </cfRule>
    <cfRule type="expression" dxfId="1906" priority="136">
      <formula>B$9&lt;8/24</formula>
    </cfRule>
  </conditionalFormatting>
  <conditionalFormatting sqref="AH248:AX248">
    <cfRule type="expression" dxfId="1905" priority="137">
      <formula>AG$9&gt;=20/24</formula>
    </cfRule>
    <cfRule type="expression" dxfId="1904" priority="138">
      <formula>AND(AG$9&gt;=14/24,AG$9&lt;20/24)</formula>
    </cfRule>
    <cfRule type="expression" dxfId="1903" priority="139">
      <formula>AND(AG$9&gt;=8/24,AG$9&lt;14/24)</formula>
    </cfRule>
    <cfRule type="expression" dxfId="1902" priority="140">
      <formula>AG$9&lt;8/24</formula>
    </cfRule>
  </conditionalFormatting>
  <conditionalFormatting sqref="AL4:AL6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97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96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9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901" priority="146">
      <formula>AJ$9&gt;=20/24</formula>
    </cfRule>
    <cfRule type="expression" dxfId="1900" priority="147">
      <formula>AND(AJ$9&gt;=14/24,AJ$9&lt;20/24)</formula>
    </cfRule>
    <cfRule type="expression" dxfId="1899" priority="148">
      <formula>AND(AJ$9&gt;=8/24,AJ$9&lt;14/24)</formula>
    </cfRule>
    <cfRule type="expression" dxfId="1898" priority="149">
      <formula>AJ$9&lt;8/24</formula>
    </cfRule>
  </conditionalFormatting>
  <conditionalFormatting sqref="AL80:AN80 AL86:AN86">
    <cfRule type="expression" dxfId="1897" priority="88">
      <formula>AND(AL$9&gt;=14/24,AL$9&lt;20/24)</formula>
    </cfRule>
    <cfRule type="expression" dxfId="1896" priority="89">
      <formula>AND(AL$9&gt;=8/24,AL$9&lt;14/24)</formula>
    </cfRule>
    <cfRule type="expression" dxfId="1895" priority="90">
      <formula>AL$9&lt;8/24</formula>
    </cfRule>
    <cfRule type="expression" dxfId="1894" priority="87">
      <formula>AL$9&gt;=20/24</formula>
    </cfRule>
  </conditionalFormatting>
  <conditionalFormatting sqref="AN81:AN84">
    <cfRule type="expression" dxfId="1893" priority="84">
      <formula>AND(AN$9&gt;=14/24,AN$9&lt;20/24)</formula>
    </cfRule>
    <cfRule type="expression" dxfId="1892" priority="85">
      <formula>AND(AN$9&gt;=8/24,AN$9&lt;14/24)</formula>
    </cfRule>
    <cfRule type="expression" dxfId="1891" priority="86">
      <formula>AN$9&lt;8/24</formula>
    </cfRule>
    <cfRule type="expression" dxfId="1890" priority="83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9BA4-F6E4-4DEB-B970-7A420BE8B067}">
  <dimension ref="A1:CJ281"/>
  <sheetViews>
    <sheetView workbookViewId="0">
      <pane xSplit="1" ySplit="10" topLeftCell="B46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H11" sqref="AH11:AI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2080/04/11</v>
      </c>
      <c r="C4" s="203"/>
      <c r="D4" s="203"/>
      <c r="E4" s="204" t="str">
        <f ca="1">"2079/"&amp;"12/"&amp;INT(MID(CELL("filename",G6),FIND("]",CELL("filename",G6))+1,200))</f>
        <v>2079/12/11</v>
      </c>
      <c r="F4" s="204"/>
      <c r="G4" s="204"/>
      <c r="H4" s="204" t="str">
        <f ca="1">TEXT(E4,"dddd")</f>
        <v>Monday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24.9</v>
      </c>
      <c r="C5" s="30">
        <f t="shared" si="0"/>
        <v>16.7</v>
      </c>
      <c r="D5" s="30">
        <f t="shared" si="0"/>
        <v>34.1</v>
      </c>
      <c r="E5" s="30">
        <f t="shared" si="0"/>
        <v>10.7</v>
      </c>
      <c r="F5" s="30">
        <f t="shared" si="0"/>
        <v>7.5</v>
      </c>
      <c r="G5" s="30">
        <f t="shared" si="0"/>
        <v>0</v>
      </c>
      <c r="H5" s="30">
        <f t="shared" si="0"/>
        <v>0</v>
      </c>
      <c r="I5" s="30">
        <f t="shared" si="0"/>
        <v>2</v>
      </c>
      <c r="J5" s="30">
        <f t="shared" si="0"/>
        <v>0</v>
      </c>
      <c r="K5" s="30">
        <f t="shared" si="0"/>
        <v>0</v>
      </c>
      <c r="L5" s="30">
        <f t="shared" si="0"/>
        <v>7.4</v>
      </c>
      <c r="M5" s="30">
        <f t="shared" si="0"/>
        <v>0</v>
      </c>
      <c r="N5" s="30">
        <f t="shared" si="0"/>
        <v>34</v>
      </c>
      <c r="O5" s="30">
        <f t="shared" si="0"/>
        <v>0</v>
      </c>
      <c r="P5" s="30">
        <f t="shared" si="0"/>
        <v>0</v>
      </c>
      <c r="Q5" s="30">
        <f t="shared" si="0"/>
        <v>29.1</v>
      </c>
      <c r="R5" s="30">
        <f t="shared" si="0"/>
        <v>22.1</v>
      </c>
      <c r="S5" s="30">
        <f t="shared" si="0"/>
        <v>4.5999999999999996</v>
      </c>
      <c r="T5" s="30">
        <f t="shared" si="0"/>
        <v>2.9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9.3000000000000007</v>
      </c>
      <c r="Y5" s="30">
        <f t="shared" si="0"/>
        <v>0</v>
      </c>
      <c r="Z5" s="30">
        <f t="shared" si="0"/>
        <v>4.8</v>
      </c>
      <c r="AA5" s="30">
        <f t="shared" si="0"/>
        <v>22.4</v>
      </c>
      <c r="AB5" s="30">
        <f t="shared" si="0"/>
        <v>9.4</v>
      </c>
      <c r="AC5" s="30">
        <f t="shared" si="0"/>
        <v>21</v>
      </c>
      <c r="AD5" s="30">
        <f t="shared" si="0"/>
        <v>7.4</v>
      </c>
      <c r="AE5" s="30">
        <f t="shared" si="0"/>
        <v>18.2</v>
      </c>
      <c r="AF5" s="30">
        <f>B84</f>
        <v>15.6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1944MW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1953.74</v>
      </c>
      <c r="C7" s="35">
        <f t="shared" si="1"/>
        <v>1968.44</v>
      </c>
      <c r="D7" s="35">
        <f t="shared" si="1"/>
        <v>1941.44</v>
      </c>
      <c r="E7" s="35">
        <f t="shared" si="1"/>
        <v>1959.54</v>
      </c>
      <c r="F7" s="35">
        <f t="shared" si="1"/>
        <v>1906.0400000000002</v>
      </c>
      <c r="G7" s="35">
        <f t="shared" si="1"/>
        <v>1878.44</v>
      </c>
      <c r="H7" s="35">
        <f t="shared" si="1"/>
        <v>1871.44</v>
      </c>
      <c r="I7" s="35">
        <f t="shared" si="1"/>
        <v>1887.94</v>
      </c>
      <c r="J7" s="35">
        <f t="shared" si="1"/>
        <v>1915.44</v>
      </c>
      <c r="K7" s="35">
        <f t="shared" si="1"/>
        <v>1944.14</v>
      </c>
      <c r="L7" s="35">
        <f t="shared" si="1"/>
        <v>1936.14</v>
      </c>
      <c r="M7" s="35">
        <f t="shared" si="1"/>
        <v>1924.0400000000002</v>
      </c>
      <c r="N7" s="35">
        <f>N91</f>
        <v>3.54</v>
      </c>
      <c r="O7" s="35">
        <f t="shared" si="1"/>
        <v>1946.0400000000002</v>
      </c>
      <c r="P7" s="35">
        <f t="shared" si="1"/>
        <v>1943.5400000000002</v>
      </c>
      <c r="Q7" s="35">
        <f t="shared" si="1"/>
        <v>1951.0400000000002</v>
      </c>
      <c r="R7" s="35">
        <f t="shared" si="1"/>
        <v>1948.8400000000001</v>
      </c>
      <c r="S7" s="35">
        <f t="shared" si="1"/>
        <v>1943.24</v>
      </c>
      <c r="T7" s="35">
        <f t="shared" si="1"/>
        <v>1925.74</v>
      </c>
      <c r="U7" s="35">
        <f t="shared" si="1"/>
        <v>1977.7400000000005</v>
      </c>
      <c r="V7" s="35">
        <f t="shared" si="1"/>
        <v>1921.7400000000002</v>
      </c>
      <c r="W7" s="35">
        <f t="shared" si="1"/>
        <v>1953.4400000000003</v>
      </c>
      <c r="X7" s="35">
        <f t="shared" si="1"/>
        <v>1972.94</v>
      </c>
      <c r="Y7" s="35">
        <f t="shared" si="1"/>
        <v>1981.3400000000001</v>
      </c>
      <c r="Z7" s="35">
        <f t="shared" si="1"/>
        <v>2005.7400000000002</v>
      </c>
      <c r="AA7" s="35">
        <f t="shared" si="1"/>
        <v>2016.5400000000002</v>
      </c>
      <c r="AB7" s="35">
        <f t="shared" si="1"/>
        <v>2047.8400000000001</v>
      </c>
      <c r="AC7" s="35">
        <f t="shared" si="1"/>
        <v>2034.8400000000001</v>
      </c>
      <c r="AD7" s="35">
        <f t="shared" si="1"/>
        <v>2070.34</v>
      </c>
      <c r="AE7" s="35">
        <f t="shared" si="1"/>
        <v>1999.94</v>
      </c>
      <c r="AF7" s="35">
        <f t="shared" si="1"/>
        <v>2011.74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</v>
      </c>
      <c r="C11" s="45">
        <v>90</v>
      </c>
      <c r="D11" s="45">
        <v>90</v>
      </c>
      <c r="E11" s="45">
        <v>90</v>
      </c>
      <c r="F11" s="45">
        <v>90</v>
      </c>
      <c r="G11" s="45">
        <v>86</v>
      </c>
      <c r="H11" s="45">
        <v>86</v>
      </c>
      <c r="I11" s="45">
        <v>86</v>
      </c>
      <c r="J11" s="45">
        <v>86</v>
      </c>
      <c r="K11" s="45">
        <v>86</v>
      </c>
      <c r="L11" s="45">
        <v>86</v>
      </c>
      <c r="M11" s="45">
        <v>86.6</v>
      </c>
      <c r="N11" s="45"/>
      <c r="O11" s="45">
        <v>86.2</v>
      </c>
      <c r="P11" s="45">
        <v>86.2</v>
      </c>
      <c r="Q11" s="45">
        <v>90.1</v>
      </c>
      <c r="R11" s="45">
        <v>60.1</v>
      </c>
      <c r="S11" s="45">
        <v>60.1</v>
      </c>
      <c r="T11" s="45">
        <v>60.1</v>
      </c>
      <c r="U11" s="45">
        <v>90.1</v>
      </c>
      <c r="V11" s="45">
        <v>90.1</v>
      </c>
      <c r="W11" s="45">
        <v>90.1</v>
      </c>
      <c r="X11" s="45">
        <v>90.1</v>
      </c>
      <c r="Y11" s="45">
        <v>90.1</v>
      </c>
      <c r="Z11" s="45">
        <v>90.1</v>
      </c>
      <c r="AA11" s="45">
        <v>90.1</v>
      </c>
      <c r="AB11" s="45">
        <v>90</v>
      </c>
      <c r="AC11" s="45">
        <v>90</v>
      </c>
      <c r="AD11" s="45">
        <v>90</v>
      </c>
      <c r="AE11" s="45">
        <v>90</v>
      </c>
      <c r="AF11" s="45">
        <v>91</v>
      </c>
      <c r="AG11" s="46">
        <v>86</v>
      </c>
      <c r="AH11" s="47">
        <f t="shared" ref="AH11:AH76" si="2">MAX(B11:AF11)</f>
        <v>91</v>
      </c>
      <c r="AI11" s="48">
        <f t="shared" ref="AI11:AI76" si="3">MIN(B11:AF11)</f>
        <v>60.1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20</v>
      </c>
      <c r="C12" s="45">
        <v>15</v>
      </c>
      <c r="D12" s="45">
        <v>15</v>
      </c>
      <c r="E12" s="45">
        <v>15</v>
      </c>
      <c r="F12" s="45">
        <v>12</v>
      </c>
      <c r="G12" s="45">
        <v>12</v>
      </c>
      <c r="H12" s="45">
        <v>12</v>
      </c>
      <c r="I12" s="45">
        <v>12</v>
      </c>
      <c r="J12" s="45">
        <v>21.5</v>
      </c>
      <c r="K12" s="45">
        <v>16</v>
      </c>
      <c r="L12" s="45">
        <v>26</v>
      </c>
      <c r="M12" s="45">
        <v>26</v>
      </c>
      <c r="N12" s="45"/>
      <c r="O12" s="45">
        <v>11</v>
      </c>
      <c r="P12" s="45">
        <v>26</v>
      </c>
      <c r="Q12" s="45">
        <v>26</v>
      </c>
      <c r="R12" s="45">
        <v>26</v>
      </c>
      <c r="S12" s="45">
        <v>26</v>
      </c>
      <c r="T12" s="45">
        <v>26</v>
      </c>
      <c r="U12" s="45">
        <v>18</v>
      </c>
      <c r="V12" s="45">
        <v>18</v>
      </c>
      <c r="W12" s="45">
        <v>18</v>
      </c>
      <c r="X12" s="45">
        <v>18</v>
      </c>
      <c r="Y12" s="45">
        <v>18</v>
      </c>
      <c r="Z12" s="45">
        <v>26</v>
      </c>
      <c r="AA12" s="45">
        <v>26</v>
      </c>
      <c r="AB12" s="45">
        <v>26</v>
      </c>
      <c r="AC12" s="45">
        <v>26</v>
      </c>
      <c r="AD12" s="45">
        <v>26</v>
      </c>
      <c r="AE12" s="45">
        <f>54*30/100</f>
        <v>16.2</v>
      </c>
      <c r="AF12" s="45">
        <f>54*30/100</f>
        <v>16.2</v>
      </c>
      <c r="AG12" s="49">
        <v>54</v>
      </c>
      <c r="AH12" s="47">
        <f t="shared" si="2"/>
        <v>26</v>
      </c>
      <c r="AI12" s="48">
        <f t="shared" si="3"/>
        <v>11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54.9</v>
      </c>
      <c r="C13" s="45">
        <v>54.9</v>
      </c>
      <c r="D13" s="45">
        <v>54.9</v>
      </c>
      <c r="E13" s="45">
        <v>54.9</v>
      </c>
      <c r="F13" s="45">
        <v>54.9</v>
      </c>
      <c r="G13" s="45">
        <v>54.9</v>
      </c>
      <c r="H13" s="45">
        <v>54.9</v>
      </c>
      <c r="I13" s="45">
        <v>54.9</v>
      </c>
      <c r="J13" s="45">
        <v>54.9</v>
      </c>
      <c r="K13" s="45">
        <v>54.9</v>
      </c>
      <c r="L13" s="45">
        <v>54.9</v>
      </c>
      <c r="M13" s="45">
        <v>54.9</v>
      </c>
      <c r="N13" s="45"/>
      <c r="O13" s="45">
        <v>55</v>
      </c>
      <c r="P13" s="45">
        <v>55</v>
      </c>
      <c r="Q13" s="45">
        <v>55</v>
      </c>
      <c r="R13" s="45">
        <v>54.9</v>
      </c>
      <c r="S13" s="45">
        <v>54.9</v>
      </c>
      <c r="T13" s="45">
        <v>54.9</v>
      </c>
      <c r="U13" s="45">
        <v>54.9</v>
      </c>
      <c r="V13" s="45">
        <v>54.9</v>
      </c>
      <c r="W13" s="45">
        <v>54.9</v>
      </c>
      <c r="X13" s="45">
        <v>54.9</v>
      </c>
      <c r="Y13" s="45">
        <v>54.9</v>
      </c>
      <c r="Z13" s="45">
        <v>54.9</v>
      </c>
      <c r="AA13" s="45">
        <v>54.9</v>
      </c>
      <c r="AB13" s="45">
        <v>55</v>
      </c>
      <c r="AC13" s="45">
        <v>55</v>
      </c>
      <c r="AD13" s="45">
        <v>55</v>
      </c>
      <c r="AE13" s="45">
        <v>55</v>
      </c>
      <c r="AF13" s="45">
        <v>55</v>
      </c>
      <c r="AG13" s="46">
        <v>52.4</v>
      </c>
      <c r="AH13" s="47">
        <f t="shared" si="2"/>
        <v>55</v>
      </c>
      <c r="AI13" s="48">
        <f t="shared" si="3"/>
        <v>54.9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50.4</v>
      </c>
      <c r="C14" s="45">
        <v>50.4</v>
      </c>
      <c r="D14" s="45">
        <v>50.4</v>
      </c>
      <c r="E14" s="45">
        <v>50.4</v>
      </c>
      <c r="F14" s="45">
        <v>50.4</v>
      </c>
      <c r="G14" s="58">
        <v>50.4</v>
      </c>
      <c r="H14" s="58">
        <v>50.4</v>
      </c>
      <c r="I14" s="58">
        <v>50.4</v>
      </c>
      <c r="J14" s="58">
        <v>50.4</v>
      </c>
      <c r="K14" s="58">
        <v>50.4</v>
      </c>
      <c r="L14" s="58">
        <v>50.4</v>
      </c>
      <c r="M14" s="58">
        <v>50.4</v>
      </c>
      <c r="N14" s="58"/>
      <c r="O14" s="58">
        <v>50.4</v>
      </c>
      <c r="P14" s="58">
        <v>50.4</v>
      </c>
      <c r="Q14" s="58">
        <v>50.6</v>
      </c>
      <c r="R14" s="58">
        <v>50.5</v>
      </c>
      <c r="S14" s="58">
        <v>50.5</v>
      </c>
      <c r="T14" s="58">
        <v>50.5</v>
      </c>
      <c r="U14" s="58">
        <v>50.5</v>
      </c>
      <c r="V14" s="58">
        <v>50.5</v>
      </c>
      <c r="W14" s="58">
        <v>50.5</v>
      </c>
      <c r="X14" s="58">
        <v>50.5</v>
      </c>
      <c r="Y14" s="58">
        <v>50.5</v>
      </c>
      <c r="Z14" s="58">
        <v>50.5</v>
      </c>
      <c r="AA14" s="58">
        <v>50.5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49">
        <v>50</v>
      </c>
      <c r="AH14" s="47">
        <f t="shared" si="2"/>
        <v>50.6</v>
      </c>
      <c r="AI14" s="48">
        <f t="shared" si="3"/>
        <v>50.4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46.1</v>
      </c>
      <c r="C15" s="45">
        <v>46.1</v>
      </c>
      <c r="D15" s="45">
        <v>46.1</v>
      </c>
      <c r="E15" s="45">
        <v>46.1</v>
      </c>
      <c r="F15" s="45">
        <v>36</v>
      </c>
      <c r="G15" s="45">
        <v>36</v>
      </c>
      <c r="H15" s="45">
        <v>36</v>
      </c>
      <c r="I15" s="45">
        <v>36</v>
      </c>
      <c r="J15" s="45">
        <v>36</v>
      </c>
      <c r="K15" s="45">
        <v>36</v>
      </c>
      <c r="L15" s="45">
        <v>36</v>
      </c>
      <c r="M15" s="45">
        <v>46.1</v>
      </c>
      <c r="N15" s="45"/>
      <c r="O15" s="45">
        <v>45.8</v>
      </c>
      <c r="P15" s="45">
        <v>45.8</v>
      </c>
      <c r="Q15" s="45">
        <v>45.9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46.1</v>
      </c>
      <c r="AI15" s="48">
        <f t="shared" si="3"/>
        <v>36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/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</v>
      </c>
      <c r="C17" s="45">
        <v>28</v>
      </c>
      <c r="D17" s="45">
        <v>28</v>
      </c>
      <c r="E17" s="45">
        <v>28</v>
      </c>
      <c r="F17" s="45">
        <v>28</v>
      </c>
      <c r="G17" s="45">
        <v>28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/>
      <c r="O17" s="45">
        <v>28</v>
      </c>
      <c r="P17" s="45">
        <v>28</v>
      </c>
      <c r="Q17" s="45">
        <v>31.5</v>
      </c>
      <c r="R17" s="45">
        <v>31.5</v>
      </c>
      <c r="S17" s="45">
        <v>31.5</v>
      </c>
      <c r="T17" s="45">
        <v>31.5</v>
      </c>
      <c r="U17" s="45">
        <v>31.5</v>
      </c>
      <c r="V17" s="45">
        <v>31.5</v>
      </c>
      <c r="W17" s="45">
        <v>31.5</v>
      </c>
      <c r="X17" s="45">
        <v>31.5</v>
      </c>
      <c r="Y17" s="45">
        <v>31.5</v>
      </c>
      <c r="Z17" s="45">
        <v>31.5</v>
      </c>
      <c r="AA17" s="45">
        <v>31.5</v>
      </c>
      <c r="AB17" s="45">
        <v>31.5</v>
      </c>
      <c r="AC17" s="45">
        <v>31.5</v>
      </c>
      <c r="AD17" s="45">
        <v>31.5</v>
      </c>
      <c r="AE17" s="45">
        <v>31.5</v>
      </c>
      <c r="AF17" s="45">
        <v>31.5</v>
      </c>
      <c r="AG17" s="49">
        <v>42</v>
      </c>
      <c r="AH17" s="47">
        <f t="shared" si="2"/>
        <v>31.5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/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/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36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8</v>
      </c>
      <c r="D20" s="45">
        <v>8</v>
      </c>
      <c r="E20" s="45">
        <v>8</v>
      </c>
      <c r="F20" s="45">
        <v>5</v>
      </c>
      <c r="G20" s="45">
        <v>5</v>
      </c>
      <c r="H20" s="45">
        <v>5</v>
      </c>
      <c r="I20" s="45">
        <v>5</v>
      </c>
      <c r="J20" s="45">
        <v>12</v>
      </c>
      <c r="K20" s="45">
        <v>10</v>
      </c>
      <c r="L20" s="45">
        <v>15</v>
      </c>
      <c r="M20" s="45">
        <v>11.2</v>
      </c>
      <c r="N20" s="45"/>
      <c r="O20" s="45">
        <v>6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10.8</v>
      </c>
      <c r="V20" s="45">
        <v>10.8</v>
      </c>
      <c r="W20" s="45">
        <v>10.8</v>
      </c>
      <c r="X20" s="45">
        <v>10.8</v>
      </c>
      <c r="Y20" s="45">
        <v>10.8</v>
      </c>
      <c r="Z20" s="45">
        <v>14.8</v>
      </c>
      <c r="AA20" s="45">
        <v>14.8</v>
      </c>
      <c r="AB20" s="45">
        <v>15.7</v>
      </c>
      <c r="AC20" s="45">
        <v>15.7</v>
      </c>
      <c r="AD20" s="45">
        <v>30</v>
      </c>
      <c r="AE20" s="45">
        <v>10</v>
      </c>
      <c r="AF20" s="45">
        <v>10</v>
      </c>
      <c r="AG20" s="51">
        <v>30</v>
      </c>
      <c r="AH20" s="47">
        <f t="shared" si="2"/>
        <v>30</v>
      </c>
      <c r="AI20" s="48">
        <f t="shared" si="3"/>
        <v>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20.8</v>
      </c>
      <c r="C21" s="45">
        <v>20.8</v>
      </c>
      <c r="D21" s="45">
        <v>20.8</v>
      </c>
      <c r="E21" s="45">
        <v>20.8</v>
      </c>
      <c r="F21" s="45">
        <v>20.8</v>
      </c>
      <c r="G21" s="45">
        <v>20.8</v>
      </c>
      <c r="H21" s="45">
        <v>20.8</v>
      </c>
      <c r="I21" s="45">
        <v>20.8</v>
      </c>
      <c r="J21" s="45">
        <v>20.8</v>
      </c>
      <c r="K21" s="45">
        <v>20.8</v>
      </c>
      <c r="L21" s="45">
        <v>20.8</v>
      </c>
      <c r="M21" s="45">
        <v>20.8</v>
      </c>
      <c r="N21" s="45"/>
      <c r="O21" s="45">
        <v>20.8</v>
      </c>
      <c r="P21" s="45">
        <v>20.8</v>
      </c>
      <c r="Q21" s="45">
        <v>20.8</v>
      </c>
      <c r="R21" s="45">
        <v>20.8</v>
      </c>
      <c r="S21" s="45">
        <v>20.8</v>
      </c>
      <c r="T21" s="45">
        <v>20.8</v>
      </c>
      <c r="U21" s="45">
        <v>20.8</v>
      </c>
      <c r="V21" s="45">
        <v>20.8</v>
      </c>
      <c r="W21" s="45">
        <v>20.8</v>
      </c>
      <c r="X21" s="45">
        <v>20.8</v>
      </c>
      <c r="Y21" s="45">
        <v>20.8</v>
      </c>
      <c r="Z21" s="45">
        <v>20.8</v>
      </c>
      <c r="AA21" s="45">
        <v>20.8</v>
      </c>
      <c r="AB21" s="45">
        <v>20.8</v>
      </c>
      <c r="AC21" s="45">
        <v>20.8</v>
      </c>
      <c r="AD21" s="45">
        <v>20.8</v>
      </c>
      <c r="AE21" s="45">
        <v>20.8</v>
      </c>
      <c r="AF21" s="45">
        <v>20.8</v>
      </c>
      <c r="AG21" s="49">
        <v>24.2</v>
      </c>
      <c r="AH21" s="47">
        <f t="shared" si="2"/>
        <v>20.8</v>
      </c>
      <c r="AI21" s="48">
        <f t="shared" si="3"/>
        <v>20.8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20.5</v>
      </c>
      <c r="C22" s="45">
        <v>20.5</v>
      </c>
      <c r="D22" s="45">
        <v>20.5</v>
      </c>
      <c r="E22" s="45">
        <v>20.5</v>
      </c>
      <c r="F22" s="45">
        <v>20.5</v>
      </c>
      <c r="G22" s="45">
        <v>20.5</v>
      </c>
      <c r="H22" s="45">
        <v>20.5</v>
      </c>
      <c r="I22" s="45">
        <v>20.5</v>
      </c>
      <c r="J22" s="45">
        <v>20.5</v>
      </c>
      <c r="K22" s="45">
        <v>20.5</v>
      </c>
      <c r="L22" s="45">
        <v>20.5</v>
      </c>
      <c r="M22" s="45">
        <v>21</v>
      </c>
      <c r="N22" s="45"/>
      <c r="O22" s="45">
        <v>21</v>
      </c>
      <c r="P22" s="45">
        <v>21</v>
      </c>
      <c r="Q22" s="45">
        <v>21</v>
      </c>
      <c r="R22" s="45">
        <v>21</v>
      </c>
      <c r="S22" s="45">
        <v>21</v>
      </c>
      <c r="T22" s="45">
        <v>21</v>
      </c>
      <c r="U22" s="45">
        <v>21</v>
      </c>
      <c r="V22" s="45">
        <v>21</v>
      </c>
      <c r="W22" s="45">
        <v>21</v>
      </c>
      <c r="X22" s="45">
        <v>21</v>
      </c>
      <c r="Y22" s="45">
        <v>21</v>
      </c>
      <c r="Z22" s="45">
        <v>21</v>
      </c>
      <c r="AA22" s="45">
        <v>21</v>
      </c>
      <c r="AB22" s="45">
        <v>21</v>
      </c>
      <c r="AC22" s="45">
        <v>21</v>
      </c>
      <c r="AD22" s="45">
        <v>21</v>
      </c>
      <c r="AE22" s="45">
        <v>21</v>
      </c>
      <c r="AF22" s="45">
        <v>21</v>
      </c>
      <c r="AG22" s="49">
        <v>28</v>
      </c>
      <c r="AH22" s="47">
        <f t="shared" si="2"/>
        <v>21</v>
      </c>
      <c r="AI22" s="48">
        <f t="shared" si="3"/>
        <v>20.5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9</v>
      </c>
      <c r="C23" s="45">
        <v>7</v>
      </c>
      <c r="D23" s="45">
        <v>7</v>
      </c>
      <c r="E23" s="45">
        <v>7</v>
      </c>
      <c r="F23" s="45">
        <v>5</v>
      </c>
      <c r="G23" s="45">
        <v>5</v>
      </c>
      <c r="H23" s="45">
        <v>5</v>
      </c>
      <c r="I23" s="45">
        <v>5</v>
      </c>
      <c r="J23" s="45">
        <v>9</v>
      </c>
      <c r="K23" s="45">
        <v>5</v>
      </c>
      <c r="L23" s="45">
        <v>9</v>
      </c>
      <c r="M23" s="45">
        <v>9</v>
      </c>
      <c r="N23" s="45"/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8</v>
      </c>
      <c r="AF23" s="45">
        <v>8</v>
      </c>
      <c r="AG23" s="51">
        <v>30</v>
      </c>
      <c r="AH23" s="47">
        <f t="shared" si="2"/>
        <v>9</v>
      </c>
      <c r="AI23" s="48">
        <f t="shared" si="3"/>
        <v>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26</v>
      </c>
      <c r="C24" s="45">
        <v>26</v>
      </c>
      <c r="D24" s="45">
        <v>26</v>
      </c>
      <c r="E24" s="45">
        <v>26</v>
      </c>
      <c r="F24" s="45">
        <v>26</v>
      </c>
      <c r="G24" s="45">
        <v>26</v>
      </c>
      <c r="H24" s="45">
        <v>26</v>
      </c>
      <c r="I24" s="45">
        <v>26</v>
      </c>
      <c r="J24" s="45">
        <v>26</v>
      </c>
      <c r="K24" s="45">
        <v>26</v>
      </c>
      <c r="L24" s="45">
        <v>26</v>
      </c>
      <c r="M24" s="45">
        <v>26</v>
      </c>
      <c r="N24" s="45"/>
      <c r="O24" s="45">
        <v>26.1</v>
      </c>
      <c r="P24" s="45">
        <v>26.1</v>
      </c>
      <c r="Q24" s="45">
        <v>26.1</v>
      </c>
      <c r="R24" s="45">
        <v>26.1</v>
      </c>
      <c r="S24" s="45">
        <v>26.1</v>
      </c>
      <c r="T24" s="45">
        <v>26.1</v>
      </c>
      <c r="U24" s="45">
        <v>26.1</v>
      </c>
      <c r="V24" s="45">
        <v>26.1</v>
      </c>
      <c r="W24" s="45">
        <v>26.1</v>
      </c>
      <c r="X24" s="45">
        <v>26.1</v>
      </c>
      <c r="Y24" s="45">
        <v>26.1</v>
      </c>
      <c r="Z24" s="45">
        <v>26.1</v>
      </c>
      <c r="AA24" s="45">
        <v>26.1</v>
      </c>
      <c r="AB24" s="45">
        <v>26.2</v>
      </c>
      <c r="AC24" s="45">
        <v>26.2</v>
      </c>
      <c r="AD24" s="45">
        <v>26.2</v>
      </c>
      <c r="AE24" s="45">
        <v>26.2</v>
      </c>
      <c r="AF24" s="45">
        <v>26.2</v>
      </c>
      <c r="AG24" s="49">
        <v>25</v>
      </c>
      <c r="AH24" s="47">
        <f t="shared" si="2"/>
        <v>26.2</v>
      </c>
      <c r="AI24" s="48">
        <f t="shared" si="3"/>
        <v>26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/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/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12</v>
      </c>
      <c r="C27" s="45">
        <v>7</v>
      </c>
      <c r="D27" s="45">
        <v>7</v>
      </c>
      <c r="E27" s="45">
        <v>7</v>
      </c>
      <c r="F27" s="45">
        <v>5</v>
      </c>
      <c r="G27" s="45">
        <v>5</v>
      </c>
      <c r="H27" s="45">
        <v>5</v>
      </c>
      <c r="I27" s="45">
        <v>5</v>
      </c>
      <c r="J27" s="45">
        <v>10</v>
      </c>
      <c r="K27" s="45">
        <v>5</v>
      </c>
      <c r="L27" s="45">
        <v>6</v>
      </c>
      <c r="M27" s="45">
        <v>6</v>
      </c>
      <c r="N27" s="45"/>
      <c r="O27" s="45">
        <v>5</v>
      </c>
      <c r="P27" s="45">
        <v>12.5</v>
      </c>
      <c r="Q27" s="45">
        <v>12.5</v>
      </c>
      <c r="R27" s="45">
        <v>12.5</v>
      </c>
      <c r="S27" s="45">
        <v>12.5</v>
      </c>
      <c r="T27" s="45">
        <v>12.5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12.5</v>
      </c>
      <c r="AA27" s="45">
        <v>12.5</v>
      </c>
      <c r="AB27" s="45">
        <v>17</v>
      </c>
      <c r="AC27" s="45">
        <v>17</v>
      </c>
      <c r="AD27" s="45">
        <v>25</v>
      </c>
      <c r="AE27" s="45">
        <v>7</v>
      </c>
      <c r="AF27" s="45">
        <v>7</v>
      </c>
      <c r="AG27" s="49">
        <v>25</v>
      </c>
      <c r="AH27" s="47">
        <f t="shared" si="2"/>
        <v>25</v>
      </c>
      <c r="AI27" s="48">
        <f t="shared" si="3"/>
        <v>5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25.1</v>
      </c>
      <c r="C28" s="45">
        <v>25.1</v>
      </c>
      <c r="D28" s="45">
        <v>25.1</v>
      </c>
      <c r="E28" s="45">
        <v>25.1</v>
      </c>
      <c r="F28" s="45">
        <v>25.1</v>
      </c>
      <c r="G28" s="45">
        <v>25.1</v>
      </c>
      <c r="H28" s="45">
        <v>25.1</v>
      </c>
      <c r="I28" s="45">
        <v>25.1</v>
      </c>
      <c r="J28" s="45">
        <v>25.1</v>
      </c>
      <c r="K28" s="45">
        <v>25.1</v>
      </c>
      <c r="L28" s="45">
        <v>25.1</v>
      </c>
      <c r="M28" s="45">
        <v>25.1</v>
      </c>
      <c r="N28" s="45"/>
      <c r="O28" s="45">
        <v>25.1</v>
      </c>
      <c r="P28" s="45">
        <v>25.1</v>
      </c>
      <c r="Q28" s="45">
        <v>25.1</v>
      </c>
      <c r="R28" s="45">
        <v>25.2</v>
      </c>
      <c r="S28" s="45">
        <v>25.2</v>
      </c>
      <c r="T28" s="45">
        <v>25.2</v>
      </c>
      <c r="U28" s="45">
        <v>25.2</v>
      </c>
      <c r="V28" s="45">
        <v>25.2</v>
      </c>
      <c r="W28" s="45">
        <v>25.2</v>
      </c>
      <c r="X28" s="45">
        <v>25.2</v>
      </c>
      <c r="Y28" s="45">
        <v>25.2</v>
      </c>
      <c r="Z28" s="45">
        <v>25.2</v>
      </c>
      <c r="AA28" s="45">
        <v>25.2</v>
      </c>
      <c r="AB28" s="45">
        <v>25.2</v>
      </c>
      <c r="AC28" s="45">
        <v>25.2</v>
      </c>
      <c r="AD28" s="45">
        <v>25.2</v>
      </c>
      <c r="AE28" s="45">
        <v>25.2</v>
      </c>
      <c r="AF28" s="45">
        <v>25.2</v>
      </c>
      <c r="AG28" s="49">
        <v>23.5</v>
      </c>
      <c r="AH28" s="47">
        <f t="shared" si="2"/>
        <v>25.2</v>
      </c>
      <c r="AI28" s="48">
        <f t="shared" si="3"/>
        <v>25.1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/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/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/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/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26.5</v>
      </c>
      <c r="AC32" s="45">
        <v>26.5</v>
      </c>
      <c r="AD32" s="45">
        <v>26.5</v>
      </c>
      <c r="AE32" s="45">
        <v>26.5</v>
      </c>
      <c r="AF32" s="45">
        <v>26.5</v>
      </c>
      <c r="AG32" s="49">
        <v>22</v>
      </c>
      <c r="AH32" s="47">
        <f t="shared" si="2"/>
        <v>26.5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/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10</v>
      </c>
      <c r="AF33" s="45">
        <v>10</v>
      </c>
      <c r="AG33" s="49">
        <v>20</v>
      </c>
      <c r="AH33" s="47">
        <f t="shared" si="2"/>
        <v>10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5</v>
      </c>
      <c r="E34" s="45">
        <v>5</v>
      </c>
      <c r="F34" s="45">
        <v>0</v>
      </c>
      <c r="G34" s="45">
        <v>0</v>
      </c>
      <c r="H34" s="45">
        <v>0</v>
      </c>
      <c r="I34" s="45">
        <v>16.5</v>
      </c>
      <c r="J34" s="45">
        <v>16.5</v>
      </c>
      <c r="K34" s="45">
        <v>16.5</v>
      </c>
      <c r="L34" s="45">
        <v>16.5</v>
      </c>
      <c r="M34" s="45">
        <v>5</v>
      </c>
      <c r="N34" s="45"/>
      <c r="O34" s="45">
        <v>5</v>
      </c>
      <c r="P34" s="45">
        <v>5</v>
      </c>
      <c r="Q34" s="45">
        <v>5</v>
      </c>
      <c r="R34" s="45">
        <v>5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5</v>
      </c>
      <c r="Y34" s="45">
        <v>5</v>
      </c>
      <c r="Z34" s="45">
        <v>8</v>
      </c>
      <c r="AA34" s="45">
        <v>8</v>
      </c>
      <c r="AB34" s="45">
        <v>8</v>
      </c>
      <c r="AC34" s="45">
        <v>8</v>
      </c>
      <c r="AD34" s="45">
        <v>4</v>
      </c>
      <c r="AE34" s="45">
        <v>4</v>
      </c>
      <c r="AF34" s="45">
        <v>4</v>
      </c>
      <c r="AG34" s="49">
        <v>18</v>
      </c>
      <c r="AH34" s="47">
        <f t="shared" si="2"/>
        <v>16.5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14</v>
      </c>
      <c r="C35" s="45">
        <v>14</v>
      </c>
      <c r="D35" s="45">
        <v>14</v>
      </c>
      <c r="E35" s="45">
        <v>14</v>
      </c>
      <c r="F35" s="45">
        <v>14</v>
      </c>
      <c r="G35" s="45">
        <v>14</v>
      </c>
      <c r="H35" s="45">
        <v>14</v>
      </c>
      <c r="I35" s="45">
        <v>14</v>
      </c>
      <c r="J35" s="45">
        <v>14</v>
      </c>
      <c r="K35" s="45">
        <v>14</v>
      </c>
      <c r="L35" s="45">
        <v>14</v>
      </c>
      <c r="M35" s="45">
        <v>14</v>
      </c>
      <c r="N35" s="45"/>
      <c r="O35" s="45">
        <v>14</v>
      </c>
      <c r="P35" s="45">
        <v>14</v>
      </c>
      <c r="Q35" s="45">
        <v>14</v>
      </c>
      <c r="R35" s="45">
        <v>14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>
        <v>14</v>
      </c>
      <c r="Z35" s="45">
        <v>14</v>
      </c>
      <c r="AA35" s="45">
        <v>14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14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/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/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/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6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4</v>
      </c>
      <c r="L39" s="45">
        <v>6</v>
      </c>
      <c r="M39" s="45">
        <v>6</v>
      </c>
      <c r="N39" s="45"/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4</v>
      </c>
      <c r="V39" s="45">
        <v>4</v>
      </c>
      <c r="W39" s="45">
        <v>4</v>
      </c>
      <c r="X39" s="45">
        <v>4</v>
      </c>
      <c r="Y39" s="45">
        <v>4</v>
      </c>
      <c r="Z39" s="45">
        <v>6</v>
      </c>
      <c r="AA39" s="45">
        <v>6</v>
      </c>
      <c r="AB39" s="45">
        <v>8</v>
      </c>
      <c r="AC39" s="45">
        <v>8</v>
      </c>
      <c r="AD39" s="45">
        <v>12</v>
      </c>
      <c r="AE39" s="45">
        <v>4</v>
      </c>
      <c r="AF39" s="45">
        <v>4</v>
      </c>
      <c r="AG39" s="49">
        <v>12</v>
      </c>
      <c r="AH39" s="47">
        <f t="shared" si="2"/>
        <v>12</v>
      </c>
      <c r="AI39" s="48">
        <f t="shared" si="3"/>
        <v>3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0</v>
      </c>
      <c r="N40" s="45"/>
      <c r="O40" s="45">
        <v>0</v>
      </c>
      <c r="P40" s="45">
        <v>0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6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5</v>
      </c>
      <c r="L41" s="45">
        <v>5</v>
      </c>
      <c r="M41" s="45">
        <v>5</v>
      </c>
      <c r="N41" s="45"/>
      <c r="O41" s="45">
        <v>5</v>
      </c>
      <c r="P41" s="45">
        <v>5</v>
      </c>
      <c r="Q41" s="45">
        <v>5</v>
      </c>
      <c r="R41" s="45">
        <v>5</v>
      </c>
      <c r="S41" s="45">
        <v>12</v>
      </c>
      <c r="T41" s="45">
        <v>12</v>
      </c>
      <c r="U41" s="45">
        <v>6</v>
      </c>
      <c r="V41" s="45">
        <v>6</v>
      </c>
      <c r="W41" s="45">
        <v>6</v>
      </c>
      <c r="X41" s="45">
        <v>6</v>
      </c>
      <c r="Y41" s="45">
        <v>6</v>
      </c>
      <c r="Z41" s="45">
        <v>6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/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</v>
      </c>
      <c r="C43" s="45">
        <v>11</v>
      </c>
      <c r="D43" s="45">
        <v>11</v>
      </c>
      <c r="E43" s="45">
        <v>11</v>
      </c>
      <c r="F43" s="45">
        <v>11</v>
      </c>
      <c r="G43" s="45">
        <v>11</v>
      </c>
      <c r="H43" s="45">
        <v>11</v>
      </c>
      <c r="I43" s="45">
        <v>11</v>
      </c>
      <c r="J43" s="45">
        <v>11</v>
      </c>
      <c r="K43" s="45">
        <v>11</v>
      </c>
      <c r="L43" s="45">
        <v>11</v>
      </c>
      <c r="M43" s="45">
        <v>11</v>
      </c>
      <c r="N43" s="45"/>
      <c r="O43" s="45">
        <v>11</v>
      </c>
      <c r="P43" s="45">
        <v>11</v>
      </c>
      <c r="Q43" s="45">
        <v>11</v>
      </c>
      <c r="R43" s="45">
        <v>11</v>
      </c>
      <c r="S43" s="45">
        <v>11</v>
      </c>
      <c r="T43" s="45">
        <v>11</v>
      </c>
      <c r="U43" s="45">
        <v>11</v>
      </c>
      <c r="V43" s="45">
        <v>11</v>
      </c>
      <c r="W43" s="45">
        <v>11</v>
      </c>
      <c r="X43" s="45">
        <v>11</v>
      </c>
      <c r="Y43" s="45">
        <v>11</v>
      </c>
      <c r="Z43" s="45">
        <v>11</v>
      </c>
      <c r="AA43" s="45">
        <v>11</v>
      </c>
      <c r="AB43" s="45">
        <v>11</v>
      </c>
      <c r="AC43" s="45">
        <v>11</v>
      </c>
      <c r="AD43" s="45">
        <v>11</v>
      </c>
      <c r="AE43" s="45">
        <v>11</v>
      </c>
      <c r="AF43" s="45">
        <v>11</v>
      </c>
      <c r="AG43" s="51">
        <v>11.88</v>
      </c>
      <c r="AH43" s="47">
        <f t="shared" si="2"/>
        <v>11</v>
      </c>
      <c r="AI43" s="48">
        <f t="shared" si="3"/>
        <v>11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/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9.5</v>
      </c>
      <c r="C45" s="45">
        <v>9.5</v>
      </c>
      <c r="D45" s="45">
        <v>9.5</v>
      </c>
      <c r="E45" s="45">
        <v>9.5</v>
      </c>
      <c r="F45" s="45">
        <v>9.5</v>
      </c>
      <c r="G45" s="45">
        <v>9.5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/>
      <c r="O45" s="45">
        <v>0</v>
      </c>
      <c r="P45" s="45">
        <v>0</v>
      </c>
      <c r="Q45" s="45">
        <v>0</v>
      </c>
      <c r="R45" s="45">
        <v>0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9.5</v>
      </c>
      <c r="AI45" s="48">
        <f t="shared" si="3"/>
        <v>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/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/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/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8">
        <f>24.2+82.5</f>
        <v>106.7</v>
      </c>
      <c r="C49" s="58">
        <f>24.2+82.5</f>
        <v>106.7</v>
      </c>
      <c r="D49" s="56">
        <f>23.8+81.7</f>
        <v>105.5</v>
      </c>
      <c r="E49" s="56">
        <f>23.8+81.7</f>
        <v>105.5</v>
      </c>
      <c r="F49" s="56">
        <v>107</v>
      </c>
      <c r="G49" s="56">
        <v>107</v>
      </c>
      <c r="H49" s="56">
        <v>107</v>
      </c>
      <c r="I49" s="56">
        <v>107</v>
      </c>
      <c r="J49" s="56">
        <v>107</v>
      </c>
      <c r="K49" s="56">
        <v>107</v>
      </c>
      <c r="L49" s="56">
        <v>107</v>
      </c>
      <c r="M49" s="56">
        <v>107</v>
      </c>
      <c r="N49" s="58"/>
      <c r="O49" s="56">
        <f t="shared" ref="O49:AA49" si="4">23.9+82.2</f>
        <v>106.1</v>
      </c>
      <c r="P49" s="56">
        <f t="shared" si="4"/>
        <v>106.1</v>
      </c>
      <c r="Q49" s="56">
        <f t="shared" si="4"/>
        <v>106.1</v>
      </c>
      <c r="R49" s="56">
        <f t="shared" si="4"/>
        <v>106.1</v>
      </c>
      <c r="S49" s="56">
        <f t="shared" si="4"/>
        <v>106.1</v>
      </c>
      <c r="T49" s="56">
        <f t="shared" si="4"/>
        <v>106.1</v>
      </c>
      <c r="U49" s="56">
        <f t="shared" si="4"/>
        <v>106.1</v>
      </c>
      <c r="V49" s="56">
        <f t="shared" si="4"/>
        <v>106.1</v>
      </c>
      <c r="W49" s="56">
        <f t="shared" si="4"/>
        <v>106.1</v>
      </c>
      <c r="X49" s="56">
        <f t="shared" si="4"/>
        <v>106.1</v>
      </c>
      <c r="Y49" s="56">
        <f t="shared" si="4"/>
        <v>106.1</v>
      </c>
      <c r="Z49" s="56">
        <f t="shared" si="4"/>
        <v>106.1</v>
      </c>
      <c r="AA49" s="56">
        <f t="shared" si="4"/>
        <v>106.1</v>
      </c>
      <c r="AB49" s="56">
        <v>106</v>
      </c>
      <c r="AC49" s="56">
        <v>106</v>
      </c>
      <c r="AD49" s="56">
        <v>106</v>
      </c>
      <c r="AE49" s="56">
        <v>106</v>
      </c>
      <c r="AF49" s="56">
        <v>106</v>
      </c>
      <c r="AG49" s="54">
        <v>240</v>
      </c>
      <c r="AH49" s="47">
        <f t="shared" si="2"/>
        <v>107</v>
      </c>
      <c r="AI49" s="48">
        <f t="shared" si="3"/>
        <v>105.5</v>
      </c>
      <c r="AK49" s="50"/>
    </row>
    <row r="50" spans="1:41" ht="15.75" thickBot="1" x14ac:dyDescent="0.3">
      <c r="A50" s="59" t="s">
        <v>58</v>
      </c>
      <c r="B50" s="60">
        <f t="shared" ref="B50:AF50" si="5">SUM(B11:B48)</f>
        <v>1030</v>
      </c>
      <c r="C50" s="60">
        <f t="shared" si="5"/>
        <v>1002.0000000000001</v>
      </c>
      <c r="D50" s="60">
        <f t="shared" si="5"/>
        <v>1000.0000000000001</v>
      </c>
      <c r="E50" s="60">
        <f t="shared" si="5"/>
        <v>1000.0000000000001</v>
      </c>
      <c r="F50" s="60">
        <f t="shared" si="5"/>
        <v>969.90000000000009</v>
      </c>
      <c r="G50" s="60">
        <f t="shared" si="5"/>
        <v>965.90000000000009</v>
      </c>
      <c r="H50" s="60">
        <f t="shared" si="5"/>
        <v>928.40000000000009</v>
      </c>
      <c r="I50" s="60">
        <f t="shared" si="5"/>
        <v>944.90000000000009</v>
      </c>
      <c r="J50" s="60">
        <f t="shared" si="5"/>
        <v>970.40000000000009</v>
      </c>
      <c r="K50" s="60">
        <f t="shared" si="5"/>
        <v>959.90000000000009</v>
      </c>
      <c r="L50" s="60">
        <f t="shared" si="5"/>
        <v>981.90000000000009</v>
      </c>
      <c r="M50" s="60">
        <f t="shared" ref="M50:O50" si="6">SUM(M11:M48)</f>
        <v>965.80000000000007</v>
      </c>
      <c r="N50" s="60">
        <f t="shared" si="5"/>
        <v>0</v>
      </c>
      <c r="O50" s="60">
        <f t="shared" si="6"/>
        <v>977.1</v>
      </c>
      <c r="P50" s="60">
        <f t="shared" ref="P50:Q50" si="7">SUM(P11:P48)</f>
        <v>1008.6</v>
      </c>
      <c r="Q50" s="60">
        <f t="shared" si="7"/>
        <v>1028.3000000000002</v>
      </c>
      <c r="R50" s="60">
        <f t="shared" ref="R50" si="8">SUM(R11:R48)</f>
        <v>998.30000000000018</v>
      </c>
      <c r="S50" s="60">
        <f t="shared" si="5"/>
        <v>1014.3000000000002</v>
      </c>
      <c r="T50" s="60">
        <f t="shared" si="5"/>
        <v>1014.3000000000002</v>
      </c>
      <c r="U50" s="60">
        <f t="shared" si="5"/>
        <v>1019.6000000000001</v>
      </c>
      <c r="V50" s="60">
        <f t="shared" si="5"/>
        <v>1019.6000000000001</v>
      </c>
      <c r="W50" s="60">
        <f t="shared" si="5"/>
        <v>1019.6000000000001</v>
      </c>
      <c r="X50" s="60">
        <f t="shared" si="5"/>
        <v>1019.6000000000001</v>
      </c>
      <c r="Y50" s="60">
        <f t="shared" si="5"/>
        <v>1019.6000000000001</v>
      </c>
      <c r="Z50" s="60">
        <f t="shared" si="5"/>
        <v>1046.1000000000001</v>
      </c>
      <c r="AA50" s="60">
        <f t="shared" si="5"/>
        <v>1052.1000000000001</v>
      </c>
      <c r="AB50" s="60">
        <f t="shared" si="5"/>
        <v>1065</v>
      </c>
      <c r="AC50" s="60">
        <f t="shared" ref="AC50:AD50" si="9">SUM(AC11:AC48)</f>
        <v>1065</v>
      </c>
      <c r="AD50" s="60">
        <f t="shared" si="9"/>
        <v>1087.3000000000002</v>
      </c>
      <c r="AE50" s="60">
        <f t="shared" si="5"/>
        <v>1030.5</v>
      </c>
      <c r="AF50" s="60">
        <f t="shared" si="5"/>
        <v>1031.5</v>
      </c>
      <c r="AG50" s="61">
        <f>SUM(AG13:AG48)</f>
        <v>922.14</v>
      </c>
      <c r="AH50" s="47">
        <f t="shared" si="2"/>
        <v>1087.3000000000002</v>
      </c>
      <c r="AI50" s="48">
        <f t="shared" si="3"/>
        <v>0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175"/>
      <c r="O51" s="175">
        <v>456</v>
      </c>
      <c r="P51" s="175">
        <v>456</v>
      </c>
      <c r="Q51" s="175">
        <v>456</v>
      </c>
      <c r="R51" s="175">
        <v>456</v>
      </c>
      <c r="S51" s="175">
        <v>456</v>
      </c>
      <c r="T51" s="17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/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22.4</v>
      </c>
      <c r="C53" s="66">
        <v>22.4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22.4</v>
      </c>
      <c r="N53" s="66"/>
      <c r="O53" s="66">
        <v>11.2</v>
      </c>
      <c r="P53" s="66">
        <v>11.2</v>
      </c>
      <c r="Q53" s="66">
        <v>22.3</v>
      </c>
      <c r="R53" s="66">
        <v>22.1</v>
      </c>
      <c r="S53" s="66">
        <v>22.1</v>
      </c>
      <c r="T53" s="66">
        <v>22.1</v>
      </c>
      <c r="U53" s="66">
        <v>22.1</v>
      </c>
      <c r="V53" s="66">
        <v>22.1</v>
      </c>
      <c r="W53" s="66">
        <v>22.1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11.2</v>
      </c>
      <c r="AK53" s="50"/>
    </row>
    <row r="54" spans="1:41" ht="15.75" thickBot="1" x14ac:dyDescent="0.3">
      <c r="A54" s="68" t="s">
        <v>62</v>
      </c>
      <c r="B54" s="60">
        <f t="shared" ref="B54:AG54" si="10">SUM(B51:B53)</f>
        <v>533.4</v>
      </c>
      <c r="C54" s="60">
        <f t="shared" si="10"/>
        <v>533.4</v>
      </c>
      <c r="D54" s="60">
        <f t="shared" si="10"/>
        <v>533.5</v>
      </c>
      <c r="E54" s="60">
        <f t="shared" si="10"/>
        <v>533.5</v>
      </c>
      <c r="F54" s="60">
        <f t="shared" si="10"/>
        <v>533.5</v>
      </c>
      <c r="G54" s="60">
        <f t="shared" si="10"/>
        <v>533.5</v>
      </c>
      <c r="H54" s="60">
        <f t="shared" si="10"/>
        <v>533.5</v>
      </c>
      <c r="I54" s="60">
        <f t="shared" si="10"/>
        <v>533.5</v>
      </c>
      <c r="J54" s="60">
        <f t="shared" si="10"/>
        <v>533.5</v>
      </c>
      <c r="K54" s="60">
        <f t="shared" si="10"/>
        <v>533.5</v>
      </c>
      <c r="L54" s="60">
        <f t="shared" si="10"/>
        <v>533.5</v>
      </c>
      <c r="M54" s="60">
        <f t="shared" ref="M54" si="11">SUM(M51:M53)</f>
        <v>533.4</v>
      </c>
      <c r="N54" s="60">
        <f t="shared" si="10"/>
        <v>0</v>
      </c>
      <c r="O54" s="60">
        <f t="shared" si="10"/>
        <v>522.20000000000005</v>
      </c>
      <c r="P54" s="60">
        <f t="shared" ref="P54:Q54" si="12">SUM(P51:P53)</f>
        <v>522.20000000000005</v>
      </c>
      <c r="Q54" s="60">
        <f t="shared" si="12"/>
        <v>533.29999999999995</v>
      </c>
      <c r="R54" s="60">
        <f t="shared" ref="R54" si="13">SUM(R51:R53)</f>
        <v>533.1</v>
      </c>
      <c r="S54" s="60">
        <f t="shared" si="10"/>
        <v>533.1</v>
      </c>
      <c r="T54" s="60">
        <f t="shared" si="10"/>
        <v>533.1</v>
      </c>
      <c r="U54" s="60">
        <f t="shared" si="10"/>
        <v>533.1</v>
      </c>
      <c r="V54" s="60">
        <f t="shared" si="10"/>
        <v>533.1</v>
      </c>
      <c r="W54" s="60">
        <f t="shared" si="10"/>
        <v>533.1</v>
      </c>
      <c r="X54" s="60">
        <f t="shared" si="10"/>
        <v>533.5</v>
      </c>
      <c r="Y54" s="60">
        <f t="shared" si="10"/>
        <v>533.5</v>
      </c>
      <c r="Z54" s="60">
        <f t="shared" si="10"/>
        <v>533.5</v>
      </c>
      <c r="AA54" s="60">
        <f t="shared" si="10"/>
        <v>533.5</v>
      </c>
      <c r="AB54" s="60">
        <f t="shared" si="10"/>
        <v>533.5</v>
      </c>
      <c r="AC54" s="60">
        <f t="shared" si="10"/>
        <v>533.5</v>
      </c>
      <c r="AD54" s="60">
        <f t="shared" si="10"/>
        <v>533.5</v>
      </c>
      <c r="AE54" s="60">
        <f t="shared" si="10"/>
        <v>533.5</v>
      </c>
      <c r="AF54" s="60">
        <f t="shared" si="10"/>
        <v>533.5</v>
      </c>
      <c r="AG54" s="61">
        <f t="shared" si="10"/>
        <v>538.1</v>
      </c>
      <c r="AH54" s="47">
        <f t="shared" si="2"/>
        <v>533.5</v>
      </c>
      <c r="AI54" s="48">
        <f t="shared" si="3"/>
        <v>0</v>
      </c>
      <c r="AK54" s="50"/>
    </row>
    <row r="55" spans="1:41" x14ac:dyDescent="0.25">
      <c r="A55" s="44" t="s">
        <v>63</v>
      </c>
      <c r="B55" s="45">
        <v>121.4</v>
      </c>
      <c r="C55" s="45">
        <v>136.19999999999999</v>
      </c>
      <c r="D55" s="45">
        <v>135.69999999999999</v>
      </c>
      <c r="E55" s="45">
        <v>127.3</v>
      </c>
      <c r="F55" s="45">
        <v>127.3</v>
      </c>
      <c r="G55" s="45">
        <v>127.3</v>
      </c>
      <c r="H55" s="45">
        <v>137.5</v>
      </c>
      <c r="I55" s="45">
        <v>137.5</v>
      </c>
      <c r="J55" s="45">
        <v>137.5</v>
      </c>
      <c r="K55" s="45">
        <v>137.5</v>
      </c>
      <c r="L55" s="45">
        <v>137.5</v>
      </c>
      <c r="M55" s="45">
        <v>138</v>
      </c>
      <c r="N55" s="45"/>
      <c r="O55" s="45">
        <v>133.5</v>
      </c>
      <c r="P55" s="45">
        <v>133.5</v>
      </c>
      <c r="Q55" s="45">
        <v>135.19999999999999</v>
      </c>
      <c r="R55" s="45">
        <v>135.69999999999999</v>
      </c>
      <c r="S55" s="45">
        <v>136</v>
      </c>
      <c r="T55" s="45">
        <v>136</v>
      </c>
      <c r="U55" s="45">
        <v>136</v>
      </c>
      <c r="V55" s="45">
        <v>136</v>
      </c>
      <c r="W55" s="45">
        <v>136</v>
      </c>
      <c r="X55" s="45">
        <v>137.80000000000001</v>
      </c>
      <c r="Y55" s="45">
        <v>137.80000000000001</v>
      </c>
      <c r="Z55" s="45">
        <v>137.80000000000001</v>
      </c>
      <c r="AA55" s="45">
        <v>137.80000000000001</v>
      </c>
      <c r="AB55" s="45">
        <v>138.19999999999999</v>
      </c>
      <c r="AC55" s="45">
        <v>138.19999999999999</v>
      </c>
      <c r="AD55" s="45">
        <v>138</v>
      </c>
      <c r="AE55" s="45">
        <v>138</v>
      </c>
      <c r="AF55" s="45">
        <v>138</v>
      </c>
      <c r="AG55" s="51">
        <v>144</v>
      </c>
      <c r="AH55" s="47">
        <f t="shared" si="2"/>
        <v>138.19999999999999</v>
      </c>
      <c r="AI55" s="48">
        <f t="shared" si="3"/>
        <v>121.4</v>
      </c>
      <c r="AK55" s="50"/>
    </row>
    <row r="56" spans="1:41" x14ac:dyDescent="0.25">
      <c r="A56" s="53" t="s">
        <v>64</v>
      </c>
      <c r="B56" s="45">
        <v>65.8</v>
      </c>
      <c r="C56" s="64">
        <v>69.7</v>
      </c>
      <c r="D56" s="64">
        <v>60</v>
      </c>
      <c r="E56" s="64">
        <v>58.7</v>
      </c>
      <c r="F56" s="64">
        <v>58.7</v>
      </c>
      <c r="G56" s="64">
        <v>58.7</v>
      </c>
      <c r="H56" s="64">
        <v>70.7</v>
      </c>
      <c r="I56" s="64">
        <v>70.7</v>
      </c>
      <c r="J56" s="64">
        <v>70.7</v>
      </c>
      <c r="K56" s="64">
        <v>70.7</v>
      </c>
      <c r="L56" s="64">
        <v>70.7</v>
      </c>
      <c r="M56" s="64">
        <v>70.2</v>
      </c>
      <c r="N56" s="64"/>
      <c r="O56" s="64">
        <v>70.099999999999994</v>
      </c>
      <c r="P56" s="64">
        <v>70.099999999999994</v>
      </c>
      <c r="Q56" s="64">
        <v>70.099999999999994</v>
      </c>
      <c r="R56" s="64">
        <v>70</v>
      </c>
      <c r="S56" s="45">
        <v>69.900000000000006</v>
      </c>
      <c r="T56" s="45">
        <v>69.900000000000006</v>
      </c>
      <c r="U56" s="45">
        <v>69.8</v>
      </c>
      <c r="V56" s="45">
        <v>69.8</v>
      </c>
      <c r="W56" s="45">
        <v>69.8</v>
      </c>
      <c r="X56" s="45">
        <v>70.599999999999994</v>
      </c>
      <c r="Y56" s="45">
        <v>70.599999999999994</v>
      </c>
      <c r="Z56" s="45">
        <v>70.599999999999994</v>
      </c>
      <c r="AA56" s="45">
        <v>70.599999999999994</v>
      </c>
      <c r="AB56" s="45">
        <v>70.599999999999994</v>
      </c>
      <c r="AC56" s="45">
        <v>70.599999999999994</v>
      </c>
      <c r="AD56" s="64">
        <v>71.099999999999994</v>
      </c>
      <c r="AE56" s="64">
        <v>71.099999999999994</v>
      </c>
      <c r="AF56" s="64">
        <v>71.099999999999994</v>
      </c>
      <c r="AG56" s="54">
        <v>70</v>
      </c>
      <c r="AH56" s="47">
        <f t="shared" si="2"/>
        <v>71.099999999999994</v>
      </c>
      <c r="AI56" s="48">
        <f t="shared" si="3"/>
        <v>58.7</v>
      </c>
      <c r="AK56" s="50"/>
    </row>
    <row r="57" spans="1:41" x14ac:dyDescent="0.25">
      <c r="A57" s="53" t="s">
        <v>65</v>
      </c>
      <c r="B57" s="45">
        <v>55</v>
      </c>
      <c r="C57" s="64">
        <v>60.8</v>
      </c>
      <c r="D57" s="64">
        <v>55</v>
      </c>
      <c r="E57" s="64">
        <v>65</v>
      </c>
      <c r="F57" s="64">
        <v>65</v>
      </c>
      <c r="G57" s="64">
        <v>50</v>
      </c>
      <c r="H57" s="64">
        <v>63.8</v>
      </c>
      <c r="I57" s="64">
        <v>63.8</v>
      </c>
      <c r="J57" s="64">
        <v>63.8</v>
      </c>
      <c r="K57" s="64">
        <v>65</v>
      </c>
      <c r="L57" s="64">
        <v>65</v>
      </c>
      <c r="M57" s="64">
        <v>64</v>
      </c>
      <c r="N57" s="64"/>
      <c r="O57" s="64">
        <v>63.9</v>
      </c>
      <c r="P57" s="64">
        <v>63.9</v>
      </c>
      <c r="Q57" s="64">
        <v>63.9</v>
      </c>
      <c r="R57" s="64">
        <v>64.400000000000006</v>
      </c>
      <c r="S57" s="45">
        <v>54.1</v>
      </c>
      <c r="T57" s="45">
        <v>54.1</v>
      </c>
      <c r="U57" s="45">
        <v>64.5</v>
      </c>
      <c r="V57" s="45">
        <v>52.4</v>
      </c>
      <c r="W57" s="45">
        <v>64.5</v>
      </c>
      <c r="X57" s="45">
        <v>60.7</v>
      </c>
      <c r="Y57" s="45">
        <v>60.7</v>
      </c>
      <c r="Z57" s="45">
        <v>64.400000000000006</v>
      </c>
      <c r="AA57" s="45">
        <v>64.400000000000006</v>
      </c>
      <c r="AB57" s="45">
        <v>64.8</v>
      </c>
      <c r="AC57" s="45">
        <v>64.8</v>
      </c>
      <c r="AD57" s="64">
        <v>65.599999999999994</v>
      </c>
      <c r="AE57" s="64">
        <v>65.599999999999994</v>
      </c>
      <c r="AF57" s="64">
        <v>65.599999999999994</v>
      </c>
      <c r="AG57" s="54">
        <v>69</v>
      </c>
      <c r="AH57" s="47">
        <f t="shared" si="2"/>
        <v>65.599999999999994</v>
      </c>
      <c r="AI57" s="48">
        <f t="shared" si="3"/>
        <v>50</v>
      </c>
      <c r="AK57" s="50"/>
    </row>
    <row r="58" spans="1:41" x14ac:dyDescent="0.25">
      <c r="A58" s="53" t="s">
        <v>66</v>
      </c>
      <c r="B58" s="45">
        <v>42.1</v>
      </c>
      <c r="C58" s="64">
        <v>50.9</v>
      </c>
      <c r="D58" s="64">
        <v>50</v>
      </c>
      <c r="E58" s="64">
        <v>50.4</v>
      </c>
      <c r="F58" s="64">
        <v>50.4</v>
      </c>
      <c r="G58" s="64">
        <v>45</v>
      </c>
      <c r="H58" s="56">
        <v>60.9</v>
      </c>
      <c r="I58" s="56">
        <v>60.9</v>
      </c>
      <c r="J58" s="56">
        <v>60.9</v>
      </c>
      <c r="K58" s="56">
        <v>60.9</v>
      </c>
      <c r="L58" s="56">
        <v>60.9</v>
      </c>
      <c r="M58" s="56">
        <v>60</v>
      </c>
      <c r="N58" s="64"/>
      <c r="O58" s="56">
        <v>60</v>
      </c>
      <c r="P58" s="56">
        <v>60</v>
      </c>
      <c r="Q58" s="56">
        <v>60</v>
      </c>
      <c r="R58" s="56">
        <v>58</v>
      </c>
      <c r="S58" s="45">
        <v>50</v>
      </c>
      <c r="T58" s="45">
        <v>50</v>
      </c>
      <c r="U58" s="45">
        <v>60</v>
      </c>
      <c r="V58" s="45">
        <v>20</v>
      </c>
      <c r="W58" s="45">
        <v>40</v>
      </c>
      <c r="X58" s="45">
        <v>60</v>
      </c>
      <c r="Y58" s="45">
        <v>60</v>
      </c>
      <c r="Z58" s="45">
        <v>60</v>
      </c>
      <c r="AA58" s="45">
        <v>60</v>
      </c>
      <c r="AB58" s="45">
        <v>60</v>
      </c>
      <c r="AC58" s="45">
        <v>60</v>
      </c>
      <c r="AD58" s="64">
        <v>60.7</v>
      </c>
      <c r="AE58" s="64">
        <v>60.7</v>
      </c>
      <c r="AF58" s="64">
        <v>60.7</v>
      </c>
      <c r="AG58" s="54">
        <v>60</v>
      </c>
      <c r="AH58" s="47">
        <f t="shared" si="2"/>
        <v>60.9</v>
      </c>
      <c r="AI58" s="48">
        <f t="shared" si="3"/>
        <v>20</v>
      </c>
      <c r="AK58" s="50"/>
    </row>
    <row r="59" spans="1:41" x14ac:dyDescent="0.25">
      <c r="A59" s="53" t="s">
        <v>67</v>
      </c>
      <c r="B59" s="45">
        <v>30</v>
      </c>
      <c r="C59" s="45">
        <v>30</v>
      </c>
      <c r="D59" s="45">
        <v>30</v>
      </c>
      <c r="E59" s="45">
        <v>30</v>
      </c>
      <c r="F59" s="45">
        <v>30</v>
      </c>
      <c r="G59" s="45">
        <v>30</v>
      </c>
      <c r="H59" s="45">
        <v>30</v>
      </c>
      <c r="I59" s="45">
        <v>30</v>
      </c>
      <c r="J59" s="45">
        <v>30</v>
      </c>
      <c r="K59" s="45">
        <v>30</v>
      </c>
      <c r="L59" s="45">
        <v>30</v>
      </c>
      <c r="M59" s="45">
        <v>30</v>
      </c>
      <c r="N59" s="64"/>
      <c r="O59" s="45">
        <v>30</v>
      </c>
      <c r="P59" s="45">
        <v>30</v>
      </c>
      <c r="Q59" s="45">
        <v>0</v>
      </c>
      <c r="R59" s="45">
        <v>0</v>
      </c>
      <c r="S59" s="45">
        <v>0</v>
      </c>
      <c r="T59" s="45">
        <v>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64">
        <v>30</v>
      </c>
      <c r="AE59" s="64">
        <v>30</v>
      </c>
      <c r="AF59" s="64">
        <v>30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9</v>
      </c>
      <c r="N60" s="64"/>
      <c r="O60" s="45">
        <v>9</v>
      </c>
      <c r="P60" s="45">
        <v>9</v>
      </c>
      <c r="Q60" s="45">
        <v>9</v>
      </c>
      <c r="R60" s="45">
        <v>9</v>
      </c>
      <c r="S60" s="45">
        <v>12.5</v>
      </c>
      <c r="T60" s="45">
        <v>12.5</v>
      </c>
      <c r="U60" s="45">
        <v>5.6</v>
      </c>
      <c r="V60" s="45">
        <v>1</v>
      </c>
      <c r="W60" s="45">
        <v>0.6</v>
      </c>
      <c r="X60" s="45">
        <v>0.9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64">
        <v>0</v>
      </c>
      <c r="AE60" s="64">
        <v>0</v>
      </c>
      <c r="AF60" s="64">
        <v>0</v>
      </c>
      <c r="AG60" s="54">
        <v>25</v>
      </c>
      <c r="AH60" s="47">
        <f t="shared" si="2"/>
        <v>12.5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/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3.2</v>
      </c>
      <c r="C62" s="64">
        <v>3.2</v>
      </c>
      <c r="D62" s="64">
        <v>3.2</v>
      </c>
      <c r="E62" s="64">
        <v>3.2</v>
      </c>
      <c r="F62" s="64">
        <v>3.2</v>
      </c>
      <c r="G62" s="64">
        <v>3.2</v>
      </c>
      <c r="H62" s="64">
        <v>3.2</v>
      </c>
      <c r="I62" s="64">
        <v>3.2</v>
      </c>
      <c r="J62" s="64">
        <v>3.2</v>
      </c>
      <c r="K62" s="64">
        <v>3.2</v>
      </c>
      <c r="L62" s="64">
        <v>3.2</v>
      </c>
      <c r="M62" s="64">
        <v>3.2</v>
      </c>
      <c r="N62" s="64"/>
      <c r="O62" s="64">
        <v>3.2</v>
      </c>
      <c r="P62" s="64">
        <v>3.2</v>
      </c>
      <c r="Q62" s="64">
        <v>3.2</v>
      </c>
      <c r="R62" s="64">
        <v>3.2</v>
      </c>
      <c r="S62" s="64">
        <v>3.2</v>
      </c>
      <c r="T62" s="64">
        <v>3.2</v>
      </c>
      <c r="U62" s="64">
        <v>3.2</v>
      </c>
      <c r="V62" s="64">
        <v>3.2</v>
      </c>
      <c r="W62" s="64">
        <v>3.2</v>
      </c>
      <c r="X62" s="64">
        <v>3.2</v>
      </c>
      <c r="Y62" s="64">
        <v>3.2</v>
      </c>
      <c r="Z62" s="64">
        <v>3.2</v>
      </c>
      <c r="AA62" s="64">
        <v>3.2</v>
      </c>
      <c r="AB62" s="64">
        <v>3.2</v>
      </c>
      <c r="AC62" s="64">
        <v>3.2</v>
      </c>
      <c r="AD62" s="64">
        <v>3.2</v>
      </c>
      <c r="AE62" s="64">
        <v>3.2</v>
      </c>
      <c r="AF62" s="64">
        <v>3.2</v>
      </c>
      <c r="AG62" s="54">
        <v>15</v>
      </c>
      <c r="AH62" s="47">
        <f t="shared" si="2"/>
        <v>3.2</v>
      </c>
      <c r="AI62" s="48">
        <f t="shared" si="3"/>
        <v>3.2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9.6999999999999993</v>
      </c>
      <c r="C63" s="64">
        <v>9.6999999999999993</v>
      </c>
      <c r="D63" s="64">
        <v>9.6999999999999993</v>
      </c>
      <c r="E63" s="64">
        <v>9.6999999999999993</v>
      </c>
      <c r="F63" s="64">
        <v>9.6999999999999993</v>
      </c>
      <c r="G63" s="64">
        <v>9.6999999999999993</v>
      </c>
      <c r="H63" s="64">
        <v>9.6999999999999993</v>
      </c>
      <c r="I63" s="64">
        <v>9.6999999999999993</v>
      </c>
      <c r="J63" s="64">
        <v>9.6999999999999993</v>
      </c>
      <c r="K63" s="64">
        <v>9.6999999999999993</v>
      </c>
      <c r="L63" s="64">
        <v>9.6999999999999993</v>
      </c>
      <c r="M63" s="64">
        <v>9.3000000000000007</v>
      </c>
      <c r="N63" s="64"/>
      <c r="O63" s="64">
        <v>9.3000000000000007</v>
      </c>
      <c r="P63" s="64">
        <v>9.3000000000000007</v>
      </c>
      <c r="Q63" s="64">
        <v>9.3000000000000007</v>
      </c>
      <c r="R63" s="64">
        <v>9.3000000000000007</v>
      </c>
      <c r="S63" s="64">
        <v>9.3000000000000007</v>
      </c>
      <c r="T63" s="64">
        <v>9.3000000000000007</v>
      </c>
      <c r="U63" s="64">
        <v>9.3000000000000007</v>
      </c>
      <c r="V63" s="64">
        <v>9.3000000000000007</v>
      </c>
      <c r="W63" s="64">
        <v>9.3000000000000007</v>
      </c>
      <c r="X63" s="64">
        <v>9.3000000000000007</v>
      </c>
      <c r="Y63" s="64">
        <v>9.3000000000000007</v>
      </c>
      <c r="Z63" s="64">
        <v>12.8</v>
      </c>
      <c r="AA63" s="64">
        <v>12.8</v>
      </c>
      <c r="AB63" s="64">
        <v>12.8</v>
      </c>
      <c r="AC63" s="64">
        <v>12.8</v>
      </c>
      <c r="AD63" s="64">
        <v>12.6</v>
      </c>
      <c r="AE63" s="64">
        <v>12.6</v>
      </c>
      <c r="AF63" s="64">
        <v>12.6</v>
      </c>
      <c r="AG63" s="54">
        <v>14.1</v>
      </c>
      <c r="AH63" s="47">
        <f t="shared" si="2"/>
        <v>12.8</v>
      </c>
      <c r="AI63" s="48">
        <f t="shared" si="3"/>
        <v>9.3000000000000007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13.8</v>
      </c>
      <c r="C64" s="64">
        <v>13.9</v>
      </c>
      <c r="D64" s="64">
        <v>13.9</v>
      </c>
      <c r="E64" s="64">
        <v>13.9</v>
      </c>
      <c r="F64" s="64">
        <v>13.9</v>
      </c>
      <c r="G64" s="64">
        <v>13.9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/>
      <c r="O64" s="64">
        <v>0</v>
      </c>
      <c r="P64" s="64">
        <v>0</v>
      </c>
      <c r="Q64" s="64">
        <v>5</v>
      </c>
      <c r="R64" s="64">
        <v>5</v>
      </c>
      <c r="S64" s="64">
        <v>5</v>
      </c>
      <c r="T64" s="64">
        <v>5</v>
      </c>
      <c r="U64" s="64">
        <v>10</v>
      </c>
      <c r="V64" s="64">
        <v>13.6</v>
      </c>
      <c r="W64" s="64">
        <v>13.6</v>
      </c>
      <c r="X64" s="64">
        <v>13.6</v>
      </c>
      <c r="Y64" s="64">
        <v>13.6</v>
      </c>
      <c r="Z64" s="64">
        <v>13.6</v>
      </c>
      <c r="AA64" s="64">
        <v>13.6</v>
      </c>
      <c r="AB64" s="64">
        <v>13.6</v>
      </c>
      <c r="AC64" s="64">
        <v>13.6</v>
      </c>
      <c r="AD64" s="64">
        <v>13.6</v>
      </c>
      <c r="AE64" s="64">
        <v>13.6</v>
      </c>
      <c r="AF64" s="64">
        <v>13.6</v>
      </c>
      <c r="AG64" s="54">
        <v>14</v>
      </c>
      <c r="AH64" s="47">
        <f t="shared" si="2"/>
        <v>13.9</v>
      </c>
      <c r="AI64" s="48">
        <f t="shared" si="3"/>
        <v>0</v>
      </c>
      <c r="AK64" s="50"/>
    </row>
    <row r="65" spans="1:40" x14ac:dyDescent="0.25">
      <c r="A65" s="53" t="s">
        <v>73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>
        <v>9</v>
      </c>
      <c r="L65" s="64">
        <v>9</v>
      </c>
      <c r="M65" s="64">
        <v>9</v>
      </c>
      <c r="N65" s="64"/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>
        <v>9</v>
      </c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9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/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4">SUM(B55:B67)</f>
        <v>374.74</v>
      </c>
      <c r="C68" s="60">
        <f t="shared" si="14"/>
        <v>408.13999999999993</v>
      </c>
      <c r="D68" s="60">
        <f t="shared" si="14"/>
        <v>391.23999999999995</v>
      </c>
      <c r="E68" s="60">
        <f t="shared" si="14"/>
        <v>391.93999999999994</v>
      </c>
      <c r="F68" s="60">
        <f t="shared" si="14"/>
        <v>391.93999999999994</v>
      </c>
      <c r="G68" s="60">
        <f t="shared" si="14"/>
        <v>371.53999999999996</v>
      </c>
      <c r="H68" s="60">
        <f t="shared" si="14"/>
        <v>409.53999999999996</v>
      </c>
      <c r="I68" s="60">
        <f t="shared" si="14"/>
        <v>409.53999999999996</v>
      </c>
      <c r="J68" s="60">
        <f t="shared" si="14"/>
        <v>409.53999999999996</v>
      </c>
      <c r="K68" s="60">
        <f t="shared" si="14"/>
        <v>410.73999999999995</v>
      </c>
      <c r="L68" s="60">
        <f t="shared" si="14"/>
        <v>410.73999999999995</v>
      </c>
      <c r="M68" s="60">
        <f t="shared" ref="M68" si="15">SUM(M55:M67)</f>
        <v>417.44</v>
      </c>
      <c r="N68" s="60">
        <f t="shared" si="14"/>
        <v>3.54</v>
      </c>
      <c r="O68" s="60">
        <f t="shared" si="14"/>
        <v>412.74</v>
      </c>
      <c r="P68" s="60">
        <f t="shared" ref="P68:Q68" si="16">SUM(P55:P67)</f>
        <v>412.74</v>
      </c>
      <c r="Q68" s="60">
        <f t="shared" si="16"/>
        <v>389.44</v>
      </c>
      <c r="R68" s="60">
        <f t="shared" ref="R68" si="17">SUM(R55:R67)</f>
        <v>388.34000000000003</v>
      </c>
      <c r="S68" s="60">
        <f t="shared" si="14"/>
        <v>373.74</v>
      </c>
      <c r="T68" s="60">
        <f t="shared" si="14"/>
        <v>373.74</v>
      </c>
      <c r="U68" s="60">
        <f t="shared" si="14"/>
        <v>422.14000000000004</v>
      </c>
      <c r="V68" s="60">
        <f t="shared" si="14"/>
        <v>369.04</v>
      </c>
      <c r="W68" s="60">
        <f t="shared" si="14"/>
        <v>400.74000000000007</v>
      </c>
      <c r="X68" s="60">
        <f t="shared" si="14"/>
        <v>419.84000000000003</v>
      </c>
      <c r="Y68" s="60">
        <f t="shared" si="14"/>
        <v>418.94000000000005</v>
      </c>
      <c r="Z68" s="60">
        <f t="shared" si="14"/>
        <v>426.14000000000004</v>
      </c>
      <c r="AA68" s="60">
        <f t="shared" si="14"/>
        <v>426.14000000000004</v>
      </c>
      <c r="AB68" s="60">
        <f t="shared" si="14"/>
        <v>426.94</v>
      </c>
      <c r="AC68" s="60">
        <f t="shared" si="14"/>
        <v>426.94</v>
      </c>
      <c r="AD68" s="60">
        <f t="shared" si="14"/>
        <v>428.54</v>
      </c>
      <c r="AE68" s="60">
        <f t="shared" si="14"/>
        <v>428.54</v>
      </c>
      <c r="AF68" s="60">
        <f t="shared" si="14"/>
        <v>428.54</v>
      </c>
      <c r="AG68" s="61">
        <f t="shared" si="14"/>
        <v>489.91</v>
      </c>
      <c r="AH68" s="47">
        <f t="shared" si="2"/>
        <v>428.54</v>
      </c>
      <c r="AI68" s="48">
        <f t="shared" si="3"/>
        <v>3.54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/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64"/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66"/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>M69+M70+M71</f>
        <v>0</v>
      </c>
      <c r="N72" s="60">
        <f t="shared" ref="N72:AF72" si="18">N69+N70+N71</f>
        <v>0</v>
      </c>
      <c r="O72" s="60">
        <f t="shared" si="18"/>
        <v>0</v>
      </c>
      <c r="P72" s="60">
        <f t="shared" si="18"/>
        <v>0</v>
      </c>
      <c r="Q72" s="60">
        <f t="shared" ref="Q72:R72" si="19">Q69+Q70+Q71</f>
        <v>0</v>
      </c>
      <c r="R72" s="60">
        <f t="shared" si="19"/>
        <v>0</v>
      </c>
      <c r="S72" s="60">
        <f t="shared" si="18"/>
        <v>0</v>
      </c>
      <c r="T72" s="60">
        <f t="shared" si="18"/>
        <v>0</v>
      </c>
      <c r="U72" s="60">
        <f t="shared" si="18"/>
        <v>0</v>
      </c>
      <c r="V72" s="60">
        <f t="shared" si="18"/>
        <v>0</v>
      </c>
      <c r="W72" s="60">
        <f t="shared" si="18"/>
        <v>0</v>
      </c>
      <c r="X72" s="60">
        <f t="shared" si="18"/>
        <v>0</v>
      </c>
      <c r="Y72" s="60">
        <f t="shared" si="18"/>
        <v>0</v>
      </c>
      <c r="Z72" s="60">
        <f t="shared" si="18"/>
        <v>0</v>
      </c>
      <c r="AA72" s="60">
        <f t="shared" si="18"/>
        <v>0</v>
      </c>
      <c r="AB72" s="60">
        <f t="shared" si="18"/>
        <v>0</v>
      </c>
      <c r="AC72" s="60">
        <f t="shared" si="18"/>
        <v>0</v>
      </c>
      <c r="AD72" s="60">
        <f t="shared" si="18"/>
        <v>0</v>
      </c>
      <c r="AE72" s="60">
        <f t="shared" si="18"/>
        <v>0</v>
      </c>
      <c r="AF72" s="60">
        <f t="shared" si="18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15.6</v>
      </c>
      <c r="C73" s="45">
        <v>24.9</v>
      </c>
      <c r="D73" s="45">
        <v>16.7</v>
      </c>
      <c r="E73" s="45">
        <v>34.1</v>
      </c>
      <c r="F73" s="45">
        <v>10.7</v>
      </c>
      <c r="G73" s="45">
        <v>7.5</v>
      </c>
      <c r="H73" s="45">
        <v>-8.4</v>
      </c>
      <c r="I73" s="45">
        <v>0</v>
      </c>
      <c r="J73" s="45">
        <v>2</v>
      </c>
      <c r="K73" s="45">
        <v>-16</v>
      </c>
      <c r="L73" s="45">
        <v>-17.899999999999999</v>
      </c>
      <c r="M73" s="45">
        <v>7.4</v>
      </c>
      <c r="N73" s="45"/>
      <c r="O73" s="45">
        <v>34</v>
      </c>
      <c r="P73" s="45">
        <v>-5</v>
      </c>
      <c r="Q73" s="45">
        <v>-5</v>
      </c>
      <c r="R73" s="45">
        <v>29.1</v>
      </c>
      <c r="S73" s="45">
        <v>22.1</v>
      </c>
      <c r="T73" s="45">
        <v>4.5999999999999996</v>
      </c>
      <c r="U73" s="45">
        <v>2.9</v>
      </c>
      <c r="V73" s="45">
        <v>-12</v>
      </c>
      <c r="W73" s="45">
        <v>-14.2</v>
      </c>
      <c r="X73" s="45">
        <v>-19.100000000000001</v>
      </c>
      <c r="Y73" s="45">
        <v>9.3000000000000007</v>
      </c>
      <c r="Z73" s="45">
        <v>-14</v>
      </c>
      <c r="AA73" s="45">
        <v>4.8</v>
      </c>
      <c r="AB73" s="45">
        <v>22.4</v>
      </c>
      <c r="AC73" s="45">
        <v>9.4</v>
      </c>
      <c r="AD73" s="45">
        <v>21</v>
      </c>
      <c r="AE73" s="45">
        <v>7.4</v>
      </c>
      <c r="AF73" s="45">
        <v>18.2</v>
      </c>
      <c r="AG73" s="51"/>
      <c r="AH73" s="47">
        <f t="shared" si="2"/>
        <v>34.1</v>
      </c>
      <c r="AI73" s="48">
        <f t="shared" si="3"/>
        <v>-19.100000000000001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/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-294.8</v>
      </c>
      <c r="C75" s="64">
        <v>-286.2</v>
      </c>
      <c r="D75" s="64">
        <v>-289</v>
      </c>
      <c r="E75" s="64">
        <v>-287.89999999999998</v>
      </c>
      <c r="F75" s="64">
        <v>-359</v>
      </c>
      <c r="G75" s="64">
        <v>-358</v>
      </c>
      <c r="H75" s="64">
        <v>-334.5</v>
      </c>
      <c r="I75" s="64">
        <v>-362</v>
      </c>
      <c r="J75" s="64">
        <v>-380</v>
      </c>
      <c r="K75" s="64">
        <v>-343</v>
      </c>
      <c r="L75" s="64">
        <v>-354.5</v>
      </c>
      <c r="M75" s="64">
        <v>-310</v>
      </c>
      <c r="N75" s="64"/>
      <c r="O75" s="64">
        <v>-285</v>
      </c>
      <c r="P75" s="64">
        <v>-289</v>
      </c>
      <c r="Q75" s="64">
        <v>-289</v>
      </c>
      <c r="R75" s="64">
        <v>-274</v>
      </c>
      <c r="S75" s="64">
        <v>-254</v>
      </c>
      <c r="T75" s="64">
        <v>-290</v>
      </c>
      <c r="U75" s="64">
        <v>-274.5</v>
      </c>
      <c r="V75" s="64">
        <v>-280</v>
      </c>
      <c r="W75" s="64">
        <v>-319.10000000000002</v>
      </c>
      <c r="X75" s="64">
        <v>-372.2</v>
      </c>
      <c r="Y75" s="64">
        <v>-351.6</v>
      </c>
      <c r="Z75" s="64">
        <v>-253.5</v>
      </c>
      <c r="AA75" s="64">
        <v>-232.9</v>
      </c>
      <c r="AB75" s="64">
        <v>-213.6</v>
      </c>
      <c r="AC75" s="64">
        <v>-218</v>
      </c>
      <c r="AD75" s="64">
        <v>-270</v>
      </c>
      <c r="AE75" s="64">
        <v>-270</v>
      </c>
      <c r="AF75" s="64">
        <v>-260</v>
      </c>
      <c r="AG75" s="74"/>
      <c r="AH75" s="47">
        <f t="shared" si="2"/>
        <v>-213.6</v>
      </c>
      <c r="AI75" s="48">
        <f t="shared" si="3"/>
        <v>-380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0</v>
      </c>
      <c r="L76" s="75">
        <v>0</v>
      </c>
      <c r="M76" s="75">
        <v>0</v>
      </c>
      <c r="N76" s="75"/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64">
        <v>0</v>
      </c>
      <c r="AE76" s="64">
        <v>0</v>
      </c>
      <c r="AF76" s="64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64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/>
      <c r="O77" s="75">
        <v>0</v>
      </c>
      <c r="P77" s="75">
        <v>0</v>
      </c>
      <c r="Q77" s="75">
        <v>0</v>
      </c>
      <c r="R77" s="7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20">MAX(B77:AF77)</f>
        <v>0</v>
      </c>
      <c r="AI77" s="48">
        <f t="shared" ref="AI77:AI120" si="21">MIN(B77:AF77)</f>
        <v>0</v>
      </c>
      <c r="AK77" s="50"/>
    </row>
    <row r="78" spans="1:40" x14ac:dyDescent="0.25">
      <c r="A78" s="53" t="s">
        <v>86</v>
      </c>
      <c r="B78" s="45">
        <v>0</v>
      </c>
      <c r="C78" s="76">
        <v>0</v>
      </c>
      <c r="D78" s="64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/>
      <c r="O78" s="75">
        <v>0</v>
      </c>
      <c r="P78" s="75">
        <v>0</v>
      </c>
      <c r="Q78" s="75">
        <v>0</v>
      </c>
      <c r="R78" s="75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74"/>
      <c r="AH78" s="47">
        <f t="shared" si="20"/>
        <v>0</v>
      </c>
      <c r="AI78" s="48">
        <f t="shared" si="21"/>
        <v>0</v>
      </c>
      <c r="AK78" s="50"/>
    </row>
    <row r="79" spans="1:40" ht="15.75" thickBot="1" x14ac:dyDescent="0.3">
      <c r="A79" s="53" t="s">
        <v>87</v>
      </c>
      <c r="B79" s="45">
        <v>0</v>
      </c>
      <c r="C79" s="76">
        <v>0</v>
      </c>
      <c r="D79" s="64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/>
      <c r="O79" s="75">
        <v>0</v>
      </c>
      <c r="P79" s="75">
        <v>0</v>
      </c>
      <c r="Q79" s="75">
        <v>0</v>
      </c>
      <c r="R79" s="75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20"/>
        <v>0</v>
      </c>
      <c r="AI79" s="48">
        <f t="shared" si="21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>
        <v>0</v>
      </c>
      <c r="C80" s="76">
        <v>0</v>
      </c>
      <c r="D80" s="64">
        <v>0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76">
        <v>0</v>
      </c>
      <c r="K80" s="76">
        <v>0</v>
      </c>
      <c r="L80" s="76">
        <v>0</v>
      </c>
      <c r="M80" s="76">
        <v>0</v>
      </c>
      <c r="N80" s="76"/>
      <c r="O80" s="75">
        <v>0</v>
      </c>
      <c r="P80" s="75">
        <v>0</v>
      </c>
      <c r="Q80" s="75">
        <v>0</v>
      </c>
      <c r="R80" s="75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20"/>
        <v>0</v>
      </c>
      <c r="AI80" s="48">
        <f t="shared" si="21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>
        <v>0</v>
      </c>
      <c r="C81" s="76">
        <v>0</v>
      </c>
      <c r="D81" s="64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O81" s="75">
        <v>0</v>
      </c>
      <c r="P81" s="75">
        <v>0</v>
      </c>
      <c r="Q81" s="75">
        <v>0</v>
      </c>
      <c r="R81" s="75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20"/>
        <v>0</v>
      </c>
      <c r="AI81" s="48">
        <f t="shared" si="21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>
        <v>0</v>
      </c>
      <c r="C82" s="76">
        <v>0</v>
      </c>
      <c r="D82" s="64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0</v>
      </c>
      <c r="N82" s="76"/>
      <c r="O82" s="75">
        <v>0</v>
      </c>
      <c r="P82" s="75">
        <v>0</v>
      </c>
      <c r="Q82" s="75">
        <v>0</v>
      </c>
      <c r="R82" s="75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20"/>
        <v>0</v>
      </c>
      <c r="AI82" s="48">
        <f t="shared" si="21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>
        <v>0</v>
      </c>
      <c r="C83" s="76">
        <v>0</v>
      </c>
      <c r="D83" s="64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/>
      <c r="O83" s="75">
        <v>0</v>
      </c>
      <c r="P83" s="75">
        <v>0</v>
      </c>
      <c r="Q83" s="75">
        <v>0</v>
      </c>
      <c r="R83" s="75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20"/>
        <v>0</v>
      </c>
      <c r="AI83" s="48">
        <f t="shared" si="21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22">SUMIF(B73:B83,"&gt;0")</f>
        <v>15.6</v>
      </c>
      <c r="C84" s="60">
        <f t="shared" si="22"/>
        <v>24.9</v>
      </c>
      <c r="D84" s="60">
        <f t="shared" si="22"/>
        <v>16.7</v>
      </c>
      <c r="E84" s="60">
        <f t="shared" si="22"/>
        <v>34.1</v>
      </c>
      <c r="F84" s="60">
        <f t="shared" si="22"/>
        <v>10.7</v>
      </c>
      <c r="G84" s="60">
        <f t="shared" si="22"/>
        <v>7.5</v>
      </c>
      <c r="H84" s="60">
        <f t="shared" si="22"/>
        <v>0</v>
      </c>
      <c r="I84" s="60">
        <f t="shared" si="22"/>
        <v>0</v>
      </c>
      <c r="J84" s="60">
        <f t="shared" si="22"/>
        <v>2</v>
      </c>
      <c r="K84" s="60">
        <f t="shared" si="22"/>
        <v>0</v>
      </c>
      <c r="L84" s="60">
        <f t="shared" si="22"/>
        <v>0</v>
      </c>
      <c r="M84" s="60">
        <f t="shared" si="22"/>
        <v>7.4</v>
      </c>
      <c r="N84" s="60">
        <f t="shared" si="22"/>
        <v>0</v>
      </c>
      <c r="O84" s="60">
        <f t="shared" si="22"/>
        <v>34</v>
      </c>
      <c r="P84" s="60">
        <f t="shared" si="22"/>
        <v>0</v>
      </c>
      <c r="Q84" s="60">
        <f t="shared" ref="Q84:R84" si="23">SUMIF(Q73:Q83,"&gt;0")</f>
        <v>0</v>
      </c>
      <c r="R84" s="60">
        <f t="shared" si="23"/>
        <v>29.1</v>
      </c>
      <c r="S84" s="60">
        <f t="shared" si="22"/>
        <v>22.1</v>
      </c>
      <c r="T84" s="60">
        <f t="shared" si="22"/>
        <v>4.5999999999999996</v>
      </c>
      <c r="U84" s="60">
        <f t="shared" si="22"/>
        <v>2.9</v>
      </c>
      <c r="V84" s="60">
        <f t="shared" si="22"/>
        <v>0</v>
      </c>
      <c r="W84" s="60">
        <f t="shared" si="22"/>
        <v>0</v>
      </c>
      <c r="X84" s="60">
        <f t="shared" si="22"/>
        <v>0</v>
      </c>
      <c r="Y84" s="60">
        <f t="shared" si="22"/>
        <v>9.3000000000000007</v>
      </c>
      <c r="Z84" s="60">
        <f t="shared" si="22"/>
        <v>0</v>
      </c>
      <c r="AA84" s="60">
        <f t="shared" si="22"/>
        <v>4.8</v>
      </c>
      <c r="AB84" s="60">
        <f t="shared" si="22"/>
        <v>22.4</v>
      </c>
      <c r="AC84" s="60">
        <f t="shared" si="22"/>
        <v>9.4</v>
      </c>
      <c r="AD84" s="60">
        <f t="shared" si="22"/>
        <v>21</v>
      </c>
      <c r="AE84" s="60">
        <f t="shared" si="22"/>
        <v>7.4</v>
      </c>
      <c r="AF84" s="60">
        <f t="shared" si="22"/>
        <v>18.2</v>
      </c>
      <c r="AG84" s="87">
        <f>SUM(AG73:AG83)</f>
        <v>0</v>
      </c>
      <c r="AH84" s="47">
        <f t="shared" si="20"/>
        <v>34.1</v>
      </c>
      <c r="AI84" s="48">
        <f t="shared" si="21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20"/>
        <v>0</v>
      </c>
      <c r="AI85" s="48">
        <f t="shared" si="21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20"/>
        <v>0</v>
      </c>
      <c r="AI86" s="48">
        <f t="shared" si="21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20"/>
        <v>0</v>
      </c>
      <c r="AI87" s="48">
        <f t="shared" si="21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20"/>
        <v>0</v>
      </c>
      <c r="AI88" s="48">
        <f t="shared" si="21"/>
        <v>0</v>
      </c>
    </row>
    <row r="89" spans="1:40" ht="15.75" thickBot="1" x14ac:dyDescent="0.3">
      <c r="A89" s="73" t="s">
        <v>100</v>
      </c>
      <c r="B89" s="94">
        <f t="shared" ref="B89:AG89" si="24">B50+B54+B72+B68+B84+B88</f>
        <v>1953.74</v>
      </c>
      <c r="C89" s="94">
        <f t="shared" si="24"/>
        <v>1968.44</v>
      </c>
      <c r="D89" s="94">
        <f t="shared" si="24"/>
        <v>1941.44</v>
      </c>
      <c r="E89" s="94">
        <f t="shared" si="24"/>
        <v>1959.54</v>
      </c>
      <c r="F89" s="94">
        <f t="shared" si="24"/>
        <v>1906.0400000000002</v>
      </c>
      <c r="G89" s="94">
        <f t="shared" si="24"/>
        <v>1878.44</v>
      </c>
      <c r="H89" s="94">
        <f t="shared" si="24"/>
        <v>1871.44</v>
      </c>
      <c r="I89" s="94">
        <f t="shared" si="24"/>
        <v>1887.94</v>
      </c>
      <c r="J89" s="94">
        <f t="shared" si="24"/>
        <v>1915.44</v>
      </c>
      <c r="K89" s="94">
        <f t="shared" si="24"/>
        <v>1904.14</v>
      </c>
      <c r="L89" s="94">
        <f t="shared" si="24"/>
        <v>1926.14</v>
      </c>
      <c r="M89" s="94">
        <f t="shared" si="24"/>
        <v>1924.0400000000002</v>
      </c>
      <c r="N89" s="94">
        <f t="shared" si="24"/>
        <v>3.54</v>
      </c>
      <c r="O89" s="94">
        <f t="shared" si="24"/>
        <v>1946.0400000000002</v>
      </c>
      <c r="P89" s="94">
        <f t="shared" si="24"/>
        <v>1943.5400000000002</v>
      </c>
      <c r="Q89" s="94">
        <f t="shared" ref="Q89:R89" si="25">Q50+Q54+Q72+Q68+Q84+Q88</f>
        <v>1951.0400000000002</v>
      </c>
      <c r="R89" s="94">
        <f t="shared" si="25"/>
        <v>1948.8400000000001</v>
      </c>
      <c r="S89" s="94">
        <f t="shared" si="24"/>
        <v>1943.24</v>
      </c>
      <c r="T89" s="94">
        <f t="shared" si="24"/>
        <v>1925.74</v>
      </c>
      <c r="U89" s="94">
        <f t="shared" si="24"/>
        <v>1977.7400000000005</v>
      </c>
      <c r="V89" s="94">
        <f t="shared" si="24"/>
        <v>1921.7400000000002</v>
      </c>
      <c r="W89" s="94">
        <f t="shared" si="24"/>
        <v>1953.4400000000003</v>
      </c>
      <c r="X89" s="94">
        <f t="shared" si="24"/>
        <v>1972.94</v>
      </c>
      <c r="Y89" s="94">
        <f t="shared" si="24"/>
        <v>1981.3400000000001</v>
      </c>
      <c r="Z89" s="94">
        <f t="shared" si="24"/>
        <v>2005.7400000000002</v>
      </c>
      <c r="AA89" s="94">
        <f t="shared" si="24"/>
        <v>2016.5400000000002</v>
      </c>
      <c r="AB89" s="94">
        <f t="shared" si="24"/>
        <v>2047.8400000000001</v>
      </c>
      <c r="AC89" s="94">
        <f t="shared" si="24"/>
        <v>2034.8400000000001</v>
      </c>
      <c r="AD89" s="94">
        <f t="shared" si="24"/>
        <v>2070.34</v>
      </c>
      <c r="AE89" s="94">
        <f t="shared" si="24"/>
        <v>1999.94</v>
      </c>
      <c r="AF89" s="94">
        <f t="shared" si="24"/>
        <v>2011.74</v>
      </c>
      <c r="AG89" s="61">
        <f t="shared" si="24"/>
        <v>2111.5500000000002</v>
      </c>
      <c r="AH89" s="47">
        <f t="shared" si="20"/>
        <v>2070.34</v>
      </c>
      <c r="AI89" s="48">
        <f t="shared" si="21"/>
        <v>3.54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>
        <v>40</v>
      </c>
      <c r="L90" s="96">
        <v>10</v>
      </c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20"/>
        <v>40</v>
      </c>
      <c r="AI90" s="48">
        <f t="shared" si="21"/>
        <v>10</v>
      </c>
    </row>
    <row r="91" spans="1:40" ht="15.75" thickBot="1" x14ac:dyDescent="0.3">
      <c r="A91" s="73" t="s">
        <v>102</v>
      </c>
      <c r="B91" s="94">
        <f t="shared" ref="B91:AF91" si="26">B89+B90</f>
        <v>1953.74</v>
      </c>
      <c r="C91" s="94">
        <f t="shared" si="26"/>
        <v>1968.44</v>
      </c>
      <c r="D91" s="94">
        <f t="shared" si="26"/>
        <v>1941.44</v>
      </c>
      <c r="E91" s="94">
        <f t="shared" si="26"/>
        <v>1959.54</v>
      </c>
      <c r="F91" s="94">
        <f t="shared" si="26"/>
        <v>1906.0400000000002</v>
      </c>
      <c r="G91" s="94">
        <f t="shared" si="26"/>
        <v>1878.44</v>
      </c>
      <c r="H91" s="94">
        <f t="shared" si="26"/>
        <v>1871.44</v>
      </c>
      <c r="I91" s="94">
        <f t="shared" si="26"/>
        <v>1887.94</v>
      </c>
      <c r="J91" s="94">
        <f t="shared" si="26"/>
        <v>1915.44</v>
      </c>
      <c r="K91" s="94">
        <f t="shared" si="26"/>
        <v>1944.14</v>
      </c>
      <c r="L91" s="94">
        <f t="shared" si="26"/>
        <v>1936.14</v>
      </c>
      <c r="M91" s="94">
        <f t="shared" si="26"/>
        <v>1924.0400000000002</v>
      </c>
      <c r="N91" s="94">
        <f t="shared" si="26"/>
        <v>3.54</v>
      </c>
      <c r="O91" s="94">
        <f t="shared" si="26"/>
        <v>1946.0400000000002</v>
      </c>
      <c r="P91" s="94">
        <f t="shared" si="26"/>
        <v>1943.5400000000002</v>
      </c>
      <c r="Q91" s="94">
        <f t="shared" ref="Q91:R91" si="27">Q89+Q90</f>
        <v>1951.0400000000002</v>
      </c>
      <c r="R91" s="94">
        <f t="shared" si="27"/>
        <v>1948.8400000000001</v>
      </c>
      <c r="S91" s="94">
        <f t="shared" si="26"/>
        <v>1943.24</v>
      </c>
      <c r="T91" s="94">
        <f t="shared" si="26"/>
        <v>1925.74</v>
      </c>
      <c r="U91" s="94">
        <f t="shared" si="26"/>
        <v>1977.7400000000005</v>
      </c>
      <c r="V91" s="94">
        <f t="shared" si="26"/>
        <v>1921.7400000000002</v>
      </c>
      <c r="W91" s="94">
        <f t="shared" si="26"/>
        <v>1953.4400000000003</v>
      </c>
      <c r="X91" s="94">
        <f t="shared" si="26"/>
        <v>1972.94</v>
      </c>
      <c r="Y91" s="94">
        <f t="shared" si="26"/>
        <v>1981.3400000000001</v>
      </c>
      <c r="Z91" s="94">
        <f t="shared" si="26"/>
        <v>2005.7400000000002</v>
      </c>
      <c r="AA91" s="94">
        <f t="shared" si="26"/>
        <v>2016.5400000000002</v>
      </c>
      <c r="AB91" s="94">
        <f t="shared" si="26"/>
        <v>2047.8400000000001</v>
      </c>
      <c r="AC91" s="94">
        <f t="shared" si="26"/>
        <v>2034.8400000000001</v>
      </c>
      <c r="AD91" s="94">
        <f t="shared" si="26"/>
        <v>2070.34</v>
      </c>
      <c r="AE91" s="94">
        <f t="shared" si="26"/>
        <v>1999.94</v>
      </c>
      <c r="AF91" s="94">
        <f t="shared" si="26"/>
        <v>2011.74</v>
      </c>
      <c r="AG91" s="87">
        <f>AG88+AG84+AG72+AG68+AG50+AG90</f>
        <v>1573.45</v>
      </c>
      <c r="AH91" s="47">
        <f t="shared" si="20"/>
        <v>2070.34</v>
      </c>
      <c r="AI91" s="48">
        <f t="shared" si="21"/>
        <v>3.54</v>
      </c>
    </row>
    <row r="92" spans="1:40" ht="15.75" thickBot="1" x14ac:dyDescent="0.3">
      <c r="A92" s="73" t="s">
        <v>103</v>
      </c>
      <c r="B92" s="94">
        <f t="shared" ref="B92:AF92" si="28">B91-B99</f>
        <v>1953.74</v>
      </c>
      <c r="C92" s="94">
        <f t="shared" si="28"/>
        <v>1968.44</v>
      </c>
      <c r="D92" s="94">
        <f t="shared" si="28"/>
        <v>1941.44</v>
      </c>
      <c r="E92" s="94">
        <f t="shared" si="28"/>
        <v>1959.54</v>
      </c>
      <c r="F92" s="94">
        <f t="shared" si="28"/>
        <v>1906.0400000000002</v>
      </c>
      <c r="G92" s="94">
        <f t="shared" si="28"/>
        <v>1878.44</v>
      </c>
      <c r="H92" s="94">
        <f t="shared" si="28"/>
        <v>1871.44</v>
      </c>
      <c r="I92" s="94">
        <f t="shared" si="28"/>
        <v>1887.94</v>
      </c>
      <c r="J92" s="94">
        <f t="shared" si="28"/>
        <v>1915.44</v>
      </c>
      <c r="K92" s="94">
        <f t="shared" si="28"/>
        <v>1944.14</v>
      </c>
      <c r="L92" s="94">
        <f t="shared" si="28"/>
        <v>1936.14</v>
      </c>
      <c r="M92" s="94">
        <f t="shared" si="28"/>
        <v>1924.0400000000002</v>
      </c>
      <c r="N92" s="94">
        <f t="shared" si="28"/>
        <v>3.54</v>
      </c>
      <c r="O92" s="94">
        <f t="shared" si="28"/>
        <v>1946.0400000000002</v>
      </c>
      <c r="P92" s="94">
        <f t="shared" si="28"/>
        <v>1943.5400000000002</v>
      </c>
      <c r="Q92" s="94">
        <f t="shared" ref="Q92:R92" si="29">Q91-Q99</f>
        <v>1951.0400000000002</v>
      </c>
      <c r="R92" s="94">
        <f t="shared" si="29"/>
        <v>1948.8400000000001</v>
      </c>
      <c r="S92" s="94">
        <f t="shared" si="28"/>
        <v>1943.24</v>
      </c>
      <c r="T92" s="94">
        <f t="shared" si="28"/>
        <v>1925.74</v>
      </c>
      <c r="U92" s="94">
        <f t="shared" si="28"/>
        <v>1977.7400000000005</v>
      </c>
      <c r="V92" s="94">
        <f t="shared" si="28"/>
        <v>1921.7400000000002</v>
      </c>
      <c r="W92" s="94">
        <f t="shared" si="28"/>
        <v>1953.4400000000003</v>
      </c>
      <c r="X92" s="94">
        <f t="shared" si="28"/>
        <v>1972.94</v>
      </c>
      <c r="Y92" s="94">
        <f t="shared" si="28"/>
        <v>1981.3400000000001</v>
      </c>
      <c r="Z92" s="94">
        <f t="shared" si="28"/>
        <v>2005.7400000000002</v>
      </c>
      <c r="AA92" s="94">
        <f t="shared" si="28"/>
        <v>2016.5400000000002</v>
      </c>
      <c r="AB92" s="94">
        <f t="shared" si="28"/>
        <v>2047.8400000000001</v>
      </c>
      <c r="AC92" s="94">
        <f t="shared" si="28"/>
        <v>2034.8400000000001</v>
      </c>
      <c r="AD92" s="94">
        <f t="shared" si="28"/>
        <v>2070.34</v>
      </c>
      <c r="AE92" s="94">
        <f t="shared" si="28"/>
        <v>1999.94</v>
      </c>
      <c r="AF92" s="94">
        <f t="shared" si="28"/>
        <v>2011.74</v>
      </c>
      <c r="AG92" s="87"/>
      <c r="AH92" s="47">
        <f t="shared" si="20"/>
        <v>2070.34</v>
      </c>
      <c r="AI92" s="48">
        <f t="shared" si="21"/>
        <v>3.54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20"/>
        <v>0</v>
      </c>
      <c r="AI93" s="48">
        <f t="shared" si="21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20"/>
        <v>0</v>
      </c>
      <c r="AI94" s="48">
        <f t="shared" si="21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20"/>
        <v>0</v>
      </c>
      <c r="AI95" s="48">
        <f t="shared" si="21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20"/>
        <v>0</v>
      </c>
      <c r="AI96" s="48">
        <f t="shared" si="21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20"/>
        <v>0</v>
      </c>
      <c r="AI97" s="48">
        <f t="shared" si="21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20"/>
        <v>0</v>
      </c>
      <c r="AI98" s="48">
        <f t="shared" si="21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20"/>
        <v>0</v>
      </c>
      <c r="AI99" s="48">
        <f t="shared" si="21"/>
        <v>0</v>
      </c>
      <c r="AK99" s="50"/>
    </row>
    <row r="100" spans="1:37" ht="15.75" thickBot="1" x14ac:dyDescent="0.3">
      <c r="A100" s="73" t="s">
        <v>108</v>
      </c>
      <c r="B100" s="60">
        <f t="shared" ref="B100:AF100" si="30">B84-B99</f>
        <v>15.6</v>
      </c>
      <c r="C100" s="60">
        <f t="shared" si="30"/>
        <v>24.9</v>
      </c>
      <c r="D100" s="60">
        <f t="shared" si="30"/>
        <v>16.7</v>
      </c>
      <c r="E100" s="60">
        <f t="shared" si="30"/>
        <v>34.1</v>
      </c>
      <c r="F100" s="60">
        <f t="shared" si="30"/>
        <v>10.7</v>
      </c>
      <c r="G100" s="60">
        <f t="shared" si="30"/>
        <v>7.5</v>
      </c>
      <c r="H100" s="60">
        <f t="shared" si="30"/>
        <v>0</v>
      </c>
      <c r="I100" s="60">
        <f t="shared" si="30"/>
        <v>0</v>
      </c>
      <c r="J100" s="60">
        <f t="shared" si="30"/>
        <v>2</v>
      </c>
      <c r="K100" s="60">
        <f t="shared" si="30"/>
        <v>0</v>
      </c>
      <c r="L100" s="60">
        <f t="shared" si="30"/>
        <v>0</v>
      </c>
      <c r="M100" s="60">
        <f t="shared" si="30"/>
        <v>7.4</v>
      </c>
      <c r="N100" s="60">
        <f t="shared" si="30"/>
        <v>0</v>
      </c>
      <c r="O100" s="60">
        <f t="shared" si="30"/>
        <v>34</v>
      </c>
      <c r="P100" s="60">
        <f t="shared" si="30"/>
        <v>0</v>
      </c>
      <c r="Q100" s="60">
        <f t="shared" ref="Q100:R100" si="31">Q84-Q99</f>
        <v>0</v>
      </c>
      <c r="R100" s="60">
        <f t="shared" si="31"/>
        <v>29.1</v>
      </c>
      <c r="S100" s="60">
        <f t="shared" si="30"/>
        <v>22.1</v>
      </c>
      <c r="T100" s="60">
        <f t="shared" si="30"/>
        <v>4.5999999999999996</v>
      </c>
      <c r="U100" s="60">
        <f t="shared" si="30"/>
        <v>2.9</v>
      </c>
      <c r="V100" s="60">
        <f t="shared" si="30"/>
        <v>0</v>
      </c>
      <c r="W100" s="60">
        <f t="shared" si="30"/>
        <v>0</v>
      </c>
      <c r="X100" s="60">
        <f t="shared" si="30"/>
        <v>0</v>
      </c>
      <c r="Y100" s="60">
        <f t="shared" si="30"/>
        <v>9.3000000000000007</v>
      </c>
      <c r="Z100" s="60">
        <f t="shared" si="30"/>
        <v>0</v>
      </c>
      <c r="AA100" s="60">
        <f t="shared" si="30"/>
        <v>4.8</v>
      </c>
      <c r="AB100" s="60">
        <f t="shared" si="30"/>
        <v>22.4</v>
      </c>
      <c r="AC100" s="60">
        <f t="shared" si="30"/>
        <v>9.4</v>
      </c>
      <c r="AD100" s="60">
        <f t="shared" si="30"/>
        <v>21</v>
      </c>
      <c r="AE100" s="60">
        <f t="shared" si="30"/>
        <v>7.4</v>
      </c>
      <c r="AF100" s="60">
        <f t="shared" si="30"/>
        <v>18.2</v>
      </c>
      <c r="AG100" s="87"/>
      <c r="AH100" s="47">
        <f t="shared" si="20"/>
        <v>34.1</v>
      </c>
      <c r="AI100" s="48">
        <f t="shared" si="21"/>
        <v>0</v>
      </c>
    </row>
    <row r="101" spans="1:37" x14ac:dyDescent="0.25">
      <c r="A101" s="99" t="s">
        <v>109</v>
      </c>
      <c r="B101" s="100">
        <v>49.99</v>
      </c>
      <c r="C101" s="100">
        <v>49.963000000000001</v>
      </c>
      <c r="D101" s="100">
        <v>50.051000000000002</v>
      </c>
      <c r="E101" s="100">
        <v>50.081000000000003</v>
      </c>
      <c r="F101" s="100">
        <v>50</v>
      </c>
      <c r="G101" s="100">
        <v>49.991</v>
      </c>
      <c r="H101" s="100">
        <v>49.991</v>
      </c>
      <c r="I101" s="100">
        <v>50</v>
      </c>
      <c r="J101" s="100">
        <v>19.899999999999999</v>
      </c>
      <c r="K101" s="100">
        <v>49.991</v>
      </c>
      <c r="L101" s="100">
        <v>49.912999999999997</v>
      </c>
      <c r="M101" s="100">
        <v>49.95</v>
      </c>
      <c r="N101" s="100"/>
      <c r="O101" s="100">
        <v>49.92</v>
      </c>
      <c r="P101" s="100">
        <v>49.98</v>
      </c>
      <c r="Q101" s="100">
        <v>49.98</v>
      </c>
      <c r="R101" s="100">
        <v>50.01</v>
      </c>
      <c r="S101" s="100">
        <v>50.087000000000003</v>
      </c>
      <c r="T101" s="100">
        <v>50.088999999999999</v>
      </c>
      <c r="U101" s="100">
        <v>50.012999999999998</v>
      </c>
      <c r="V101" s="100">
        <v>50.012999999999998</v>
      </c>
      <c r="W101" s="100">
        <v>49.973999999999997</v>
      </c>
      <c r="X101" s="100">
        <v>49.94</v>
      </c>
      <c r="Y101" s="100">
        <v>49.902000000000001</v>
      </c>
      <c r="Z101" s="100">
        <v>50.012</v>
      </c>
      <c r="AA101" s="100">
        <v>50.029000000000003</v>
      </c>
      <c r="AB101" s="100">
        <v>50.012999999999998</v>
      </c>
      <c r="AC101" s="100">
        <v>50.036000000000001</v>
      </c>
      <c r="AD101" s="100">
        <v>50.052</v>
      </c>
      <c r="AE101" s="100">
        <v>50.045999999999999</v>
      </c>
      <c r="AF101" s="100">
        <v>50.042999999999999</v>
      </c>
      <c r="AG101" s="101"/>
      <c r="AH101" s="47">
        <f t="shared" si="20"/>
        <v>50.088999999999999</v>
      </c>
      <c r="AI101" s="48">
        <f t="shared" si="21"/>
        <v>19.899999999999999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20"/>
        <v>0</v>
      </c>
      <c r="AI102" s="48">
        <f t="shared" si="21"/>
        <v>0</v>
      </c>
    </row>
    <row r="103" spans="1:37" x14ac:dyDescent="0.25">
      <c r="A103" s="102" t="s">
        <v>111</v>
      </c>
      <c r="B103" s="64">
        <v>127.3</v>
      </c>
      <c r="C103" s="64">
        <v>129.19999999999999</v>
      </c>
      <c r="D103" s="64">
        <v>130.1</v>
      </c>
      <c r="E103" s="64">
        <v>128.80000000000001</v>
      </c>
      <c r="F103" s="64">
        <v>128.80000000000001</v>
      </c>
      <c r="G103" s="64">
        <v>130</v>
      </c>
      <c r="H103" s="64">
        <v>130</v>
      </c>
      <c r="I103" s="64">
        <v>130</v>
      </c>
      <c r="J103" s="64">
        <v>130</v>
      </c>
      <c r="K103" s="64">
        <v>126</v>
      </c>
      <c r="L103" s="64">
        <v>125.9</v>
      </c>
      <c r="M103" s="64">
        <v>124.7</v>
      </c>
      <c r="N103" s="64"/>
      <c r="O103" s="64">
        <v>123.8</v>
      </c>
      <c r="P103" s="64">
        <v>124</v>
      </c>
      <c r="Q103" s="64">
        <v>124</v>
      </c>
      <c r="R103" s="64">
        <v>125.3</v>
      </c>
      <c r="S103" s="64">
        <v>126.3</v>
      </c>
      <c r="T103" s="64">
        <v>125.2</v>
      </c>
      <c r="U103" s="64">
        <v>127</v>
      </c>
      <c r="V103" s="64">
        <v>127</v>
      </c>
      <c r="W103" s="64">
        <v>128</v>
      </c>
      <c r="X103" s="64">
        <v>128.5</v>
      </c>
      <c r="Y103" s="64">
        <v>126.8</v>
      </c>
      <c r="Z103" s="64">
        <v>126.2</v>
      </c>
      <c r="AA103" s="64">
        <v>126.2</v>
      </c>
      <c r="AB103" s="64">
        <v>127.5</v>
      </c>
      <c r="AC103" s="64">
        <v>127</v>
      </c>
      <c r="AD103" s="64">
        <v>126.5</v>
      </c>
      <c r="AE103" s="64">
        <v>127.7</v>
      </c>
      <c r="AF103" s="64">
        <v>127.7</v>
      </c>
      <c r="AG103" s="103"/>
      <c r="AH103" s="47">
        <f t="shared" si="20"/>
        <v>130.1</v>
      </c>
      <c r="AI103" s="48">
        <f t="shared" si="21"/>
        <v>123.8</v>
      </c>
    </row>
    <row r="104" spans="1:37" x14ac:dyDescent="0.25">
      <c r="A104" s="102" t="s">
        <v>112</v>
      </c>
      <c r="B104" s="64">
        <v>127.4</v>
      </c>
      <c r="C104" s="64">
        <v>130.30000000000001</v>
      </c>
      <c r="D104" s="64">
        <v>130.30000000000001</v>
      </c>
      <c r="E104" s="64">
        <v>128.9</v>
      </c>
      <c r="F104" s="64">
        <v>128.9</v>
      </c>
      <c r="G104" s="64">
        <v>128.69999999999999</v>
      </c>
      <c r="H104" s="64">
        <v>128.69999999999999</v>
      </c>
      <c r="I104" s="64">
        <v>128.69999999999999</v>
      </c>
      <c r="J104" s="64">
        <v>128.69999999999999</v>
      </c>
      <c r="K104" s="64">
        <v>128.80000000000001</v>
      </c>
      <c r="L104" s="64">
        <v>127</v>
      </c>
      <c r="M104" s="64">
        <v>124.7</v>
      </c>
      <c r="N104" s="64"/>
      <c r="O104" s="64">
        <v>125.1</v>
      </c>
      <c r="P104" s="64">
        <v>126.1</v>
      </c>
      <c r="Q104" s="64">
        <v>126.1</v>
      </c>
      <c r="R104" s="64">
        <v>126.6</v>
      </c>
      <c r="S104" s="64">
        <v>128.5</v>
      </c>
      <c r="T104" s="64">
        <v>125.3</v>
      </c>
      <c r="U104" s="64">
        <v>127.3</v>
      </c>
      <c r="V104" s="64">
        <v>127.3</v>
      </c>
      <c r="W104" s="64">
        <v>128</v>
      </c>
      <c r="X104" s="64">
        <v>130.6</v>
      </c>
      <c r="Y104" s="64">
        <v>128.9</v>
      </c>
      <c r="Z104" s="64">
        <v>125.1</v>
      </c>
      <c r="AA104" s="64">
        <v>125.3</v>
      </c>
      <c r="AB104" s="64">
        <v>127.4</v>
      </c>
      <c r="AC104" s="64">
        <v>124</v>
      </c>
      <c r="AD104" s="64">
        <v>125.4</v>
      </c>
      <c r="AE104" s="64">
        <v>125.8</v>
      </c>
      <c r="AF104" s="64">
        <v>125.8</v>
      </c>
      <c r="AG104" s="103"/>
      <c r="AH104" s="47">
        <f t="shared" si="20"/>
        <v>130.6</v>
      </c>
      <c r="AI104" s="48">
        <f t="shared" si="21"/>
        <v>124</v>
      </c>
    </row>
    <row r="105" spans="1:37" x14ac:dyDescent="0.25">
      <c r="A105" s="104" t="s">
        <v>113</v>
      </c>
      <c r="B105" s="64">
        <v>130</v>
      </c>
      <c r="C105" s="64">
        <v>132.80000000000001</v>
      </c>
      <c r="D105" s="64">
        <v>133.80000000000001</v>
      </c>
      <c r="E105" s="64">
        <v>132.1</v>
      </c>
      <c r="F105" s="64">
        <v>132.1</v>
      </c>
      <c r="G105" s="64">
        <v>132</v>
      </c>
      <c r="H105" s="64">
        <v>132</v>
      </c>
      <c r="I105" s="64">
        <v>132</v>
      </c>
      <c r="J105" s="64">
        <v>132</v>
      </c>
      <c r="K105" s="64">
        <v>131</v>
      </c>
      <c r="L105" s="64">
        <v>126.6</v>
      </c>
      <c r="M105" s="64">
        <v>124.6</v>
      </c>
      <c r="N105" s="64"/>
      <c r="O105" s="64">
        <v>125.8</v>
      </c>
      <c r="P105" s="64">
        <v>126.5</v>
      </c>
      <c r="Q105" s="64">
        <v>126.5</v>
      </c>
      <c r="R105" s="64">
        <v>127.3</v>
      </c>
      <c r="S105" s="64">
        <v>127.7</v>
      </c>
      <c r="T105" s="64">
        <v>126.3</v>
      </c>
      <c r="U105" s="64">
        <v>128.5</v>
      </c>
      <c r="V105" s="64">
        <v>128.5</v>
      </c>
      <c r="W105" s="64">
        <v>128.69999999999999</v>
      </c>
      <c r="X105" s="64">
        <v>133.1</v>
      </c>
      <c r="Y105" s="64">
        <v>129.5</v>
      </c>
      <c r="Z105" s="64">
        <v>125.9</v>
      </c>
      <c r="AA105" s="64">
        <v>125.8</v>
      </c>
      <c r="AB105" s="64">
        <v>128.69999999999999</v>
      </c>
      <c r="AC105" s="64">
        <v>126.6</v>
      </c>
      <c r="AD105" s="64">
        <v>127.2</v>
      </c>
      <c r="AE105" s="64">
        <v>128.5</v>
      </c>
      <c r="AF105" s="64">
        <v>128.5</v>
      </c>
      <c r="AG105" s="103"/>
      <c r="AH105" s="47">
        <f t="shared" si="20"/>
        <v>133.80000000000001</v>
      </c>
      <c r="AI105" s="48">
        <f t="shared" si="21"/>
        <v>124.6</v>
      </c>
    </row>
    <row r="106" spans="1:37" x14ac:dyDescent="0.25">
      <c r="A106" s="104" t="s">
        <v>114</v>
      </c>
      <c r="B106" s="105">
        <v>130.1</v>
      </c>
      <c r="C106" s="105">
        <v>132.1</v>
      </c>
      <c r="D106" s="105">
        <v>131.69999999999999</v>
      </c>
      <c r="E106" s="105">
        <v>131.4</v>
      </c>
      <c r="F106" s="105">
        <v>131.4</v>
      </c>
      <c r="G106" s="105">
        <v>133.6</v>
      </c>
      <c r="H106" s="105">
        <v>133.6</v>
      </c>
      <c r="I106" s="105">
        <v>133.6</v>
      </c>
      <c r="J106" s="105">
        <v>133.6</v>
      </c>
      <c r="K106" s="105">
        <v>133.69999999999999</v>
      </c>
      <c r="L106" s="105">
        <v>131.80000000000001</v>
      </c>
      <c r="M106" s="105">
        <v>130.1</v>
      </c>
      <c r="N106" s="105"/>
      <c r="O106" s="105">
        <v>130.6</v>
      </c>
      <c r="P106" s="105">
        <v>132.6</v>
      </c>
      <c r="Q106" s="105">
        <v>132.6</v>
      </c>
      <c r="R106" s="105">
        <v>134.1</v>
      </c>
      <c r="S106" s="105">
        <v>132.69999999999999</v>
      </c>
      <c r="T106" s="105">
        <v>129.80000000000001</v>
      </c>
      <c r="U106" s="105">
        <v>131.6</v>
      </c>
      <c r="V106" s="105">
        <v>131.6</v>
      </c>
      <c r="W106" s="105">
        <v>130.5</v>
      </c>
      <c r="X106" s="105">
        <v>133.19999999999999</v>
      </c>
      <c r="Y106" s="105">
        <v>133.30000000000001</v>
      </c>
      <c r="Z106" s="105">
        <v>131</v>
      </c>
      <c r="AA106" s="105">
        <v>133.4</v>
      </c>
      <c r="AB106" s="105">
        <v>133.1</v>
      </c>
      <c r="AC106" s="105">
        <v>132.19999999999999</v>
      </c>
      <c r="AD106" s="105">
        <v>133.1</v>
      </c>
      <c r="AE106" s="105">
        <v>130</v>
      </c>
      <c r="AF106" s="105">
        <v>130</v>
      </c>
      <c r="AG106" s="106"/>
      <c r="AH106" s="47">
        <f t="shared" si="20"/>
        <v>134.1</v>
      </c>
      <c r="AI106" s="48">
        <f t="shared" si="21"/>
        <v>129.80000000000001</v>
      </c>
    </row>
    <row r="107" spans="1:37" x14ac:dyDescent="0.25">
      <c r="A107" s="102" t="s">
        <v>115</v>
      </c>
      <c r="B107" s="64">
        <v>128.69999999999999</v>
      </c>
      <c r="C107" s="64">
        <v>130.19999999999999</v>
      </c>
      <c r="D107" s="64">
        <v>130.19999999999999</v>
      </c>
      <c r="E107" s="64">
        <v>129.9</v>
      </c>
      <c r="F107" s="64">
        <v>129.9</v>
      </c>
      <c r="G107" s="64">
        <v>127.6</v>
      </c>
      <c r="H107" s="64">
        <v>127.6</v>
      </c>
      <c r="I107" s="64">
        <v>127.6</v>
      </c>
      <c r="J107" s="64">
        <v>127.6</v>
      </c>
      <c r="K107" s="64">
        <v>130</v>
      </c>
      <c r="L107" s="64">
        <v>130.69999999999999</v>
      </c>
      <c r="M107" s="64">
        <v>131.19999999999999</v>
      </c>
      <c r="N107" s="64"/>
      <c r="O107" s="64">
        <v>127.5</v>
      </c>
      <c r="P107" s="64">
        <v>129.1</v>
      </c>
      <c r="Q107" s="64">
        <v>129.1</v>
      </c>
      <c r="R107" s="64">
        <v>128.6</v>
      </c>
      <c r="S107" s="64">
        <v>126</v>
      </c>
      <c r="T107" s="64">
        <v>125.5</v>
      </c>
      <c r="U107" s="64">
        <v>132.1</v>
      </c>
      <c r="V107" s="64">
        <v>132.1</v>
      </c>
      <c r="W107" s="64">
        <v>129.9</v>
      </c>
      <c r="X107" s="64">
        <v>132</v>
      </c>
      <c r="Y107" s="64">
        <v>130.69999999999999</v>
      </c>
      <c r="Z107" s="64">
        <v>128.19999999999999</v>
      </c>
      <c r="AA107" s="64">
        <v>126.6</v>
      </c>
      <c r="AB107" s="64">
        <v>124.9</v>
      </c>
      <c r="AC107" s="64">
        <v>125.9</v>
      </c>
      <c r="AD107" s="64">
        <v>127.8</v>
      </c>
      <c r="AE107" s="64">
        <v>125.7</v>
      </c>
      <c r="AF107" s="64">
        <v>125.7</v>
      </c>
      <c r="AG107" s="103"/>
      <c r="AH107" s="47">
        <f t="shared" si="20"/>
        <v>132.1</v>
      </c>
      <c r="AI107" s="48">
        <f t="shared" si="21"/>
        <v>124.9</v>
      </c>
    </row>
    <row r="108" spans="1:37" ht="15.75" thickBot="1" x14ac:dyDescent="0.3">
      <c r="A108" s="102" t="s">
        <v>116</v>
      </c>
      <c r="B108" s="91">
        <v>63.8</v>
      </c>
      <c r="C108" s="91">
        <v>65.2</v>
      </c>
      <c r="D108" s="91">
        <v>65.400000000000006</v>
      </c>
      <c r="E108" s="91">
        <v>64.5</v>
      </c>
      <c r="F108" s="91">
        <v>66</v>
      </c>
      <c r="G108" s="91">
        <v>65.599999999999994</v>
      </c>
      <c r="H108" s="91">
        <v>65.599999999999994</v>
      </c>
      <c r="I108" s="91">
        <v>65.599999999999994</v>
      </c>
      <c r="J108" s="91">
        <v>65.599999999999994</v>
      </c>
      <c r="K108" s="91">
        <v>63.4</v>
      </c>
      <c r="L108" s="91">
        <v>63</v>
      </c>
      <c r="M108" s="91">
        <v>62.5</v>
      </c>
      <c r="N108" s="91"/>
      <c r="O108" s="91">
        <v>61.3</v>
      </c>
      <c r="P108" s="91">
        <v>61.8</v>
      </c>
      <c r="Q108" s="91">
        <v>61.8</v>
      </c>
      <c r="R108" s="91">
        <v>62.4</v>
      </c>
      <c r="S108" s="91">
        <v>62.5</v>
      </c>
      <c r="T108" s="91">
        <v>62.6</v>
      </c>
      <c r="U108" s="91">
        <v>63.4</v>
      </c>
      <c r="V108" s="91">
        <v>63.4</v>
      </c>
      <c r="W108" s="91">
        <v>64.099999999999994</v>
      </c>
      <c r="X108" s="91">
        <v>64.3</v>
      </c>
      <c r="Y108" s="91">
        <v>63.6</v>
      </c>
      <c r="Z108" s="91">
        <v>63.2</v>
      </c>
      <c r="AA108" s="91">
        <v>63.5</v>
      </c>
      <c r="AB108" s="91">
        <v>64.400000000000006</v>
      </c>
      <c r="AC108" s="91">
        <v>64.2</v>
      </c>
      <c r="AD108" s="91">
        <v>63.6</v>
      </c>
      <c r="AE108" s="91">
        <v>64.2</v>
      </c>
      <c r="AF108" s="91">
        <v>64.2</v>
      </c>
      <c r="AG108" s="107"/>
      <c r="AH108" s="47">
        <f t="shared" si="20"/>
        <v>66</v>
      </c>
      <c r="AI108" s="48">
        <f t="shared" si="21"/>
        <v>61.3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20"/>
        <v>0</v>
      </c>
      <c r="AI109" s="48">
        <f t="shared" si="21"/>
        <v>0</v>
      </c>
    </row>
    <row r="110" spans="1:37" ht="15.75" thickBot="1" x14ac:dyDescent="0.3">
      <c r="A110" s="109" t="s">
        <v>118</v>
      </c>
      <c r="B110" s="110">
        <f t="shared" ref="B110:O110" si="32">SUM(B20,B26,B29:B30,B58,B60:B61,B63,B65,B111:B115,B138,B144,B150,B159,B161,B173,B180,B183:B184,B191,B193,B195,B199:B201,B203:B205,B210,B216:B217,B219:B221,B229,B234)</f>
        <v>31.899999999999984</v>
      </c>
      <c r="C110" s="110">
        <f t="shared" si="32"/>
        <v>34.339999999999982</v>
      </c>
      <c r="D110" s="110">
        <f t="shared" si="32"/>
        <v>24.739999999999984</v>
      </c>
      <c r="E110" s="110">
        <f t="shared" si="32"/>
        <v>24.939999999999991</v>
      </c>
      <c r="F110" s="110">
        <f t="shared" si="32"/>
        <v>22.240000000000013</v>
      </c>
      <c r="G110" s="110">
        <f t="shared" si="32"/>
        <v>36.839999999999996</v>
      </c>
      <c r="H110" s="110">
        <f t="shared" si="32"/>
        <v>52.739999999999974</v>
      </c>
      <c r="I110" s="110">
        <f t="shared" si="32"/>
        <v>52.739999999999974</v>
      </c>
      <c r="J110" s="110">
        <f t="shared" si="32"/>
        <v>59.739999999999974</v>
      </c>
      <c r="K110" s="110">
        <f t="shared" si="32"/>
        <v>135.83999999999997</v>
      </c>
      <c r="L110" s="110">
        <f t="shared" si="32"/>
        <v>151.73999999999998</v>
      </c>
      <c r="M110" s="110">
        <f t="shared" si="32"/>
        <v>165.44000000000003</v>
      </c>
      <c r="N110" s="110">
        <f t="shared" si="32"/>
        <v>0.94</v>
      </c>
      <c r="O110" s="110">
        <f t="shared" si="32"/>
        <v>187.94000000000003</v>
      </c>
      <c r="P110" s="110">
        <v>42</v>
      </c>
      <c r="Q110" s="110">
        <v>42</v>
      </c>
      <c r="R110" s="110">
        <v>42</v>
      </c>
      <c r="S110" s="110">
        <f t="shared" ref="S110:AF110" si="33">SUM(S20,S26,S29:S30,S58,S60:S61,S63,S65,S111:S115,S138,S144,S150,S159,S161,S173,S180,S183:S184,S191,S193,S195,S199:S201,S203:S205,S210,S216:S217,S219:S221,S229,S234)</f>
        <v>180.4</v>
      </c>
      <c r="T110" s="110">
        <f t="shared" si="33"/>
        <v>185</v>
      </c>
      <c r="U110" s="110">
        <f t="shared" si="33"/>
        <v>174.29999999999998</v>
      </c>
      <c r="V110" s="110">
        <f t="shared" si="33"/>
        <v>129.70000000000002</v>
      </c>
      <c r="W110" s="110">
        <f t="shared" si="33"/>
        <v>134.30000000000001</v>
      </c>
      <c r="X110" s="110">
        <f t="shared" si="33"/>
        <v>172.79999999999995</v>
      </c>
      <c r="Y110" s="110">
        <f t="shared" si="33"/>
        <v>183.9</v>
      </c>
      <c r="Z110" s="110">
        <f t="shared" si="33"/>
        <v>210.3</v>
      </c>
      <c r="AA110" s="110">
        <f t="shared" si="33"/>
        <v>219.29999999999998</v>
      </c>
      <c r="AB110" s="110">
        <f t="shared" si="33"/>
        <v>193.2</v>
      </c>
      <c r="AC110" s="110">
        <f t="shared" si="33"/>
        <v>170.29999999999998</v>
      </c>
      <c r="AD110" s="110"/>
      <c r="AE110" s="110">
        <f t="shared" si="33"/>
        <v>110.09999999999997</v>
      </c>
      <c r="AF110" s="110">
        <f t="shared" si="33"/>
        <v>110.09999999999997</v>
      </c>
      <c r="AG110" s="111"/>
      <c r="AH110" s="47">
        <f t="shared" si="20"/>
        <v>219.29999999999998</v>
      </c>
      <c r="AI110" s="48">
        <f t="shared" si="21"/>
        <v>0.94</v>
      </c>
    </row>
    <row r="111" spans="1:37" x14ac:dyDescent="0.25">
      <c r="A111" s="99" t="s">
        <v>119</v>
      </c>
      <c r="B111" s="112">
        <v>30</v>
      </c>
      <c r="C111" s="112">
        <v>34.1</v>
      </c>
      <c r="D111" s="112">
        <v>26.2</v>
      </c>
      <c r="E111" s="112">
        <v>34.799999999999997</v>
      </c>
      <c r="F111" s="112">
        <v>32.5</v>
      </c>
      <c r="G111" s="112">
        <v>35.799999999999997</v>
      </c>
      <c r="H111" s="112">
        <v>35.799999999999997</v>
      </c>
      <c r="I111" s="112">
        <v>35.799999999999997</v>
      </c>
      <c r="J111" s="112">
        <v>35.799999999999997</v>
      </c>
      <c r="K111" s="112">
        <v>30.2</v>
      </c>
      <c r="L111" s="112">
        <v>34.9</v>
      </c>
      <c r="M111" s="112">
        <v>46.8</v>
      </c>
      <c r="N111" s="112"/>
      <c r="O111" s="112">
        <v>51.3</v>
      </c>
      <c r="P111" s="112">
        <v>48.9</v>
      </c>
      <c r="Q111" s="112">
        <v>48.9</v>
      </c>
      <c r="R111" s="112">
        <v>42.2</v>
      </c>
      <c r="S111" s="112">
        <v>40</v>
      </c>
      <c r="T111" s="112">
        <v>57.7</v>
      </c>
      <c r="U111" s="112">
        <v>27.9</v>
      </c>
      <c r="V111" s="112">
        <v>27.9</v>
      </c>
      <c r="W111" s="112">
        <v>36.299999999999997</v>
      </c>
      <c r="X111" s="112">
        <v>43.2</v>
      </c>
      <c r="Y111" s="112">
        <v>60.6</v>
      </c>
      <c r="Z111" s="112">
        <v>63.8</v>
      </c>
      <c r="AA111" s="112">
        <v>66.8</v>
      </c>
      <c r="AB111" s="112">
        <v>46.4</v>
      </c>
      <c r="AC111" s="112">
        <v>48.5</v>
      </c>
      <c r="AD111" s="112">
        <v>48.5</v>
      </c>
      <c r="AE111" s="112">
        <v>35.299999999999997</v>
      </c>
      <c r="AF111" s="112">
        <v>35.299999999999997</v>
      </c>
      <c r="AG111" s="113">
        <v>75</v>
      </c>
      <c r="AH111" s="47">
        <f t="shared" si="20"/>
        <v>66.8</v>
      </c>
      <c r="AI111" s="48">
        <f t="shared" si="21"/>
        <v>26.2</v>
      </c>
    </row>
    <row r="112" spans="1:37" x14ac:dyDescent="0.25">
      <c r="A112" s="102" t="s">
        <v>120</v>
      </c>
      <c r="B112" s="114">
        <v>50</v>
      </c>
      <c r="C112" s="114">
        <v>56.1</v>
      </c>
      <c r="D112" s="114">
        <v>43.4</v>
      </c>
      <c r="E112" s="114">
        <v>55.3</v>
      </c>
      <c r="F112" s="114">
        <v>51.7</v>
      </c>
      <c r="G112" s="114">
        <v>54.5</v>
      </c>
      <c r="H112" s="114">
        <v>54.5</v>
      </c>
      <c r="I112" s="114">
        <v>54.5</v>
      </c>
      <c r="J112" s="114">
        <v>54.5</v>
      </c>
      <c r="K112" s="114">
        <v>48</v>
      </c>
      <c r="L112" s="114">
        <v>54.1</v>
      </c>
      <c r="M112" s="114">
        <v>69.3</v>
      </c>
      <c r="N112" s="114"/>
      <c r="O112" s="114">
        <v>75.599999999999994</v>
      </c>
      <c r="P112" s="114">
        <v>74.3</v>
      </c>
      <c r="Q112" s="114">
        <v>74.3</v>
      </c>
      <c r="R112" s="114">
        <v>64</v>
      </c>
      <c r="S112" s="114">
        <v>61</v>
      </c>
      <c r="T112" s="114">
        <v>85.4</v>
      </c>
      <c r="U112" s="114">
        <v>41.8</v>
      </c>
      <c r="V112" s="114">
        <v>41.8</v>
      </c>
      <c r="W112" s="114">
        <v>48.3</v>
      </c>
      <c r="X112" s="114">
        <v>62.4</v>
      </c>
      <c r="Y112" s="114">
        <v>83.1</v>
      </c>
      <c r="Z112" s="114">
        <v>91.2</v>
      </c>
      <c r="AA112" s="114">
        <v>97.1</v>
      </c>
      <c r="AB112" s="114">
        <v>66.8</v>
      </c>
      <c r="AC112" s="114">
        <v>69.900000000000006</v>
      </c>
      <c r="AD112" s="114">
        <v>69.900000000000006</v>
      </c>
      <c r="AE112" s="114">
        <v>51</v>
      </c>
      <c r="AF112" s="114">
        <v>51</v>
      </c>
      <c r="AG112" s="113">
        <v>240</v>
      </c>
      <c r="AH112" s="47">
        <f t="shared" si="20"/>
        <v>97.1</v>
      </c>
      <c r="AI112" s="48">
        <f t="shared" si="21"/>
        <v>41.8</v>
      </c>
    </row>
    <row r="113" spans="1:37" x14ac:dyDescent="0.25">
      <c r="A113" s="102" t="s">
        <v>121</v>
      </c>
      <c r="B113" s="114">
        <v>-168</v>
      </c>
      <c r="C113" s="114">
        <v>-178</v>
      </c>
      <c r="D113" s="114">
        <v>-168</v>
      </c>
      <c r="E113" s="114">
        <v>-188</v>
      </c>
      <c r="F113" s="114">
        <v>-180</v>
      </c>
      <c r="G113" s="114">
        <v>-171</v>
      </c>
      <c r="H113" s="114">
        <v>-171</v>
      </c>
      <c r="I113" s="114">
        <v>-171</v>
      </c>
      <c r="J113" s="114">
        <v>-171</v>
      </c>
      <c r="K113" s="114">
        <v>-105</v>
      </c>
      <c r="L113" s="114">
        <v>-105</v>
      </c>
      <c r="M113" s="114">
        <f>-58.3-61.4</f>
        <v>-119.69999999999999</v>
      </c>
      <c r="N113" s="114"/>
      <c r="O113" s="114">
        <f>-55-60.1</f>
        <v>-115.1</v>
      </c>
      <c r="P113" s="114">
        <f>-61.7-62.7</f>
        <v>-124.4</v>
      </c>
      <c r="Q113" s="114">
        <f>-61.7-62.7</f>
        <v>-124.4</v>
      </c>
      <c r="R113" s="114">
        <f>-51.2-54.8</f>
        <v>-106</v>
      </c>
      <c r="S113" s="114">
        <v>-98</v>
      </c>
      <c r="T113" s="114">
        <f>-60.5-65.1</f>
        <v>-125.6</v>
      </c>
      <c r="U113" s="114">
        <v>-61.7</v>
      </c>
      <c r="V113" s="114">
        <v>-61.7</v>
      </c>
      <c r="W113" s="114">
        <v>-95</v>
      </c>
      <c r="X113" s="114">
        <v>-97.9</v>
      </c>
      <c r="Y113" s="114">
        <v>-121</v>
      </c>
      <c r="Z113" s="114">
        <v>-120</v>
      </c>
      <c r="AA113" s="114">
        <v>-124</v>
      </c>
      <c r="AB113" s="114">
        <v>-100.5</v>
      </c>
      <c r="AC113" s="114">
        <v>-125</v>
      </c>
      <c r="AD113" s="114">
        <v>-125</v>
      </c>
      <c r="AE113" s="114">
        <v>-160</v>
      </c>
      <c r="AF113" s="114">
        <v>-160</v>
      </c>
      <c r="AG113" s="113">
        <v>240</v>
      </c>
      <c r="AH113" s="47">
        <f t="shared" si="20"/>
        <v>-61.7</v>
      </c>
      <c r="AI113" s="48">
        <f t="shared" si="21"/>
        <v>-188</v>
      </c>
    </row>
    <row r="114" spans="1:37" x14ac:dyDescent="0.25">
      <c r="A114" s="102" t="s">
        <v>122</v>
      </c>
      <c r="B114" s="114">
        <v>-17.899999999999999</v>
      </c>
      <c r="C114" s="114">
        <v>-18.399999999999999</v>
      </c>
      <c r="D114" s="114">
        <v>-16.5</v>
      </c>
      <c r="E114" s="114">
        <v>-17.2</v>
      </c>
      <c r="F114" s="114">
        <v>-17</v>
      </c>
      <c r="G114" s="114">
        <v>-11.5</v>
      </c>
      <c r="H114" s="114">
        <v>-11.5</v>
      </c>
      <c r="I114" s="114">
        <v>-11.5</v>
      </c>
      <c r="J114" s="114">
        <v>-11.5</v>
      </c>
      <c r="K114" s="114">
        <v>0.6</v>
      </c>
      <c r="L114" s="114">
        <v>0.6</v>
      </c>
      <c r="M114" s="114">
        <v>-2.9</v>
      </c>
      <c r="N114" s="114"/>
      <c r="O114" s="114">
        <v>5.2</v>
      </c>
      <c r="P114" s="114">
        <v>1.1000000000000001</v>
      </c>
      <c r="Q114" s="114">
        <v>1.1000000000000001</v>
      </c>
      <c r="R114" s="114">
        <v>1.4</v>
      </c>
      <c r="S114" s="114">
        <v>0</v>
      </c>
      <c r="T114" s="114">
        <v>1.3</v>
      </c>
      <c r="U114" s="114">
        <v>0.9</v>
      </c>
      <c r="V114" s="114">
        <v>0.9</v>
      </c>
      <c r="W114" s="114">
        <v>4.2</v>
      </c>
      <c r="X114" s="114">
        <v>4.5</v>
      </c>
      <c r="Y114" s="114">
        <v>1.7</v>
      </c>
      <c r="Z114" s="114">
        <v>2.5</v>
      </c>
      <c r="AA114" s="114">
        <v>3.1</v>
      </c>
      <c r="AB114" s="114">
        <v>3.1</v>
      </c>
      <c r="AC114" s="114">
        <v>-0.5</v>
      </c>
      <c r="AD114" s="114">
        <v>-0.5</v>
      </c>
      <c r="AE114" s="114">
        <v>10.5</v>
      </c>
      <c r="AF114" s="114">
        <v>10.5</v>
      </c>
      <c r="AG114" s="113">
        <v>60</v>
      </c>
      <c r="AH114" s="47">
        <f t="shared" si="20"/>
        <v>10.5</v>
      </c>
      <c r="AI114" s="48">
        <f t="shared" si="21"/>
        <v>-18.399999999999999</v>
      </c>
    </row>
    <row r="115" spans="1:37" x14ac:dyDescent="0.25">
      <c r="A115" s="115" t="s">
        <v>123</v>
      </c>
      <c r="B115" s="116">
        <v>0</v>
      </c>
      <c r="C115" s="116">
        <v>0</v>
      </c>
      <c r="D115" s="116">
        <v>0</v>
      </c>
      <c r="E115" s="116">
        <v>0</v>
      </c>
      <c r="F115" s="116">
        <v>-2</v>
      </c>
      <c r="G115" s="116">
        <v>-2.6</v>
      </c>
      <c r="H115" s="116">
        <v>-2.6</v>
      </c>
      <c r="I115" s="116">
        <v>-2.6</v>
      </c>
      <c r="J115" s="116">
        <v>-2.6</v>
      </c>
      <c r="K115" s="116">
        <v>9.5</v>
      </c>
      <c r="L115" s="116">
        <v>9.6</v>
      </c>
      <c r="M115" s="116">
        <v>10.5</v>
      </c>
      <c r="N115" s="116"/>
      <c r="O115" s="116">
        <v>14.7</v>
      </c>
      <c r="P115" s="116">
        <v>19.3</v>
      </c>
      <c r="Q115" s="116">
        <v>19.3</v>
      </c>
      <c r="R115" s="116">
        <v>19.399999999999999</v>
      </c>
      <c r="S115" s="116">
        <v>19.600000000000001</v>
      </c>
      <c r="T115" s="116">
        <v>8.4</v>
      </c>
      <c r="U115" s="116">
        <v>8.6999999999999993</v>
      </c>
      <c r="V115" s="116">
        <v>8.6999999999999993</v>
      </c>
      <c r="W115" s="116">
        <v>8.8000000000000007</v>
      </c>
      <c r="X115" s="116">
        <v>8.6</v>
      </c>
      <c r="Y115" s="116">
        <v>8.4</v>
      </c>
      <c r="Z115" s="116">
        <v>14.2</v>
      </c>
      <c r="AA115" s="116">
        <v>17.7</v>
      </c>
      <c r="AB115" s="116">
        <v>17.899999999999999</v>
      </c>
      <c r="AC115" s="116">
        <v>17.899999999999999</v>
      </c>
      <c r="AD115" s="116">
        <v>17.899999999999999</v>
      </c>
      <c r="AE115" s="116">
        <v>19</v>
      </c>
      <c r="AF115" s="116">
        <v>19</v>
      </c>
      <c r="AG115" s="117">
        <v>120</v>
      </c>
      <c r="AH115" s="47">
        <f t="shared" si="20"/>
        <v>19.600000000000001</v>
      </c>
      <c r="AI115" s="48">
        <f t="shared" si="21"/>
        <v>-2.6</v>
      </c>
    </row>
    <row r="116" spans="1:37" x14ac:dyDescent="0.25">
      <c r="A116" s="115" t="s">
        <v>124</v>
      </c>
      <c r="B116" s="116">
        <v>69.3</v>
      </c>
      <c r="C116" s="116">
        <v>56</v>
      </c>
      <c r="D116" s="116">
        <v>56</v>
      </c>
      <c r="E116" s="116">
        <v>49.5</v>
      </c>
      <c r="F116" s="116">
        <v>36</v>
      </c>
      <c r="G116" s="116">
        <v>36.6</v>
      </c>
      <c r="H116" s="116">
        <v>36.6</v>
      </c>
      <c r="I116" s="116">
        <v>36.6</v>
      </c>
      <c r="J116" s="116">
        <v>36.6</v>
      </c>
      <c r="K116" s="116">
        <v>95</v>
      </c>
      <c r="L116" s="116">
        <v>83.9</v>
      </c>
      <c r="M116" s="116">
        <v>74.599999999999994</v>
      </c>
      <c r="N116" s="116"/>
      <c r="O116" s="116">
        <v>86.2</v>
      </c>
      <c r="P116" s="116">
        <v>86.1</v>
      </c>
      <c r="Q116" s="116">
        <v>86.1</v>
      </c>
      <c r="R116" s="116">
        <v>90.1</v>
      </c>
      <c r="S116" s="116">
        <v>98.4</v>
      </c>
      <c r="T116" s="116">
        <v>72.599999999999994</v>
      </c>
      <c r="U116" s="116">
        <v>76.8</v>
      </c>
      <c r="V116" s="116">
        <v>76.8</v>
      </c>
      <c r="W116" s="116">
        <v>68.8</v>
      </c>
      <c r="X116" s="116">
        <v>65.5</v>
      </c>
      <c r="Y116" s="116">
        <v>60.5</v>
      </c>
      <c r="Z116" s="116">
        <v>75</v>
      </c>
      <c r="AA116" s="116">
        <v>78.2</v>
      </c>
      <c r="AB116" s="116">
        <v>86.6</v>
      </c>
      <c r="AC116" s="116">
        <v>80.400000000000006</v>
      </c>
      <c r="AD116" s="116">
        <v>80.400000000000006</v>
      </c>
      <c r="AE116" s="116">
        <v>67.5</v>
      </c>
      <c r="AF116" s="116">
        <v>67.5</v>
      </c>
      <c r="AG116" s="117"/>
      <c r="AH116" s="47">
        <f t="shared" si="20"/>
        <v>98.4</v>
      </c>
      <c r="AI116" s="48">
        <f t="shared" si="21"/>
        <v>36</v>
      </c>
    </row>
    <row r="117" spans="1:37" x14ac:dyDescent="0.25">
      <c r="A117" s="115" t="s">
        <v>125</v>
      </c>
      <c r="B117" s="116">
        <v>-14.7</v>
      </c>
      <c r="C117" s="116">
        <v>9.8000000000000007</v>
      </c>
      <c r="D117" s="116">
        <v>-11.4</v>
      </c>
      <c r="E117" s="116">
        <v>-7.1</v>
      </c>
      <c r="F117" s="116">
        <v>0</v>
      </c>
      <c r="G117" s="116">
        <v>1.8</v>
      </c>
      <c r="H117" s="116">
        <v>1.8</v>
      </c>
      <c r="I117" s="116">
        <v>1.8</v>
      </c>
      <c r="J117" s="116">
        <v>1.8</v>
      </c>
      <c r="K117" s="116">
        <v>-7.9</v>
      </c>
      <c r="L117" s="116">
        <v>-14.1</v>
      </c>
      <c r="M117" s="116">
        <v>9</v>
      </c>
      <c r="N117" s="116"/>
      <c r="O117" s="116">
        <v>0</v>
      </c>
      <c r="P117" s="116">
        <v>3.1</v>
      </c>
      <c r="Q117" s="116">
        <v>3.1</v>
      </c>
      <c r="R117" s="116">
        <v>-2.7</v>
      </c>
      <c r="S117" s="116">
        <v>-10.199999999999999</v>
      </c>
      <c r="T117" s="116">
        <v>-9.5</v>
      </c>
      <c r="U117" s="116">
        <v>4.3</v>
      </c>
      <c r="V117" s="116">
        <v>4.3</v>
      </c>
      <c r="W117" s="116">
        <v>-0.9</v>
      </c>
      <c r="X117" s="116">
        <v>5.8</v>
      </c>
      <c r="Y117" s="116">
        <v>-24.3</v>
      </c>
      <c r="Z117" s="116">
        <v>11.2</v>
      </c>
      <c r="AA117" s="116">
        <v>16.5</v>
      </c>
      <c r="AB117" s="116">
        <v>26.8</v>
      </c>
      <c r="AC117" s="116">
        <v>-26.7</v>
      </c>
      <c r="AD117" s="116">
        <v>-26.7</v>
      </c>
      <c r="AE117" s="116">
        <v>31.5</v>
      </c>
      <c r="AF117" s="116">
        <v>31.5</v>
      </c>
      <c r="AG117" s="118"/>
      <c r="AH117" s="47">
        <f t="shared" si="20"/>
        <v>31.5</v>
      </c>
      <c r="AI117" s="48">
        <f t="shared" si="21"/>
        <v>-26.7</v>
      </c>
    </row>
    <row r="118" spans="1:37" x14ac:dyDescent="0.25">
      <c r="A118" s="119" t="s">
        <v>126</v>
      </c>
      <c r="B118" s="105">
        <v>31</v>
      </c>
      <c r="C118" s="105">
        <v>32.299999999999997</v>
      </c>
      <c r="D118" s="105">
        <v>33</v>
      </c>
      <c r="E118" s="105">
        <v>36.5</v>
      </c>
      <c r="F118" s="105">
        <v>42.2</v>
      </c>
      <c r="G118" s="105">
        <v>44.7</v>
      </c>
      <c r="H118" s="105">
        <v>44.7</v>
      </c>
      <c r="I118" s="105">
        <v>44.7</v>
      </c>
      <c r="J118" s="105">
        <v>44.7</v>
      </c>
      <c r="K118" s="105">
        <v>36.4</v>
      </c>
      <c r="L118" s="105">
        <v>31.7</v>
      </c>
      <c r="M118" s="105">
        <v>26.4</v>
      </c>
      <c r="N118" s="105"/>
      <c r="O118" s="105">
        <v>26</v>
      </c>
      <c r="P118" s="105">
        <v>29.2</v>
      </c>
      <c r="Q118" s="105">
        <v>29.2</v>
      </c>
      <c r="R118" s="105">
        <v>30.9</v>
      </c>
      <c r="S118" s="105">
        <v>28.3</v>
      </c>
      <c r="T118" s="105">
        <v>27.1</v>
      </c>
      <c r="U118" s="105">
        <v>27.7</v>
      </c>
      <c r="V118" s="105">
        <v>27.7</v>
      </c>
      <c r="W118" s="105">
        <v>26.1</v>
      </c>
      <c r="X118" s="105">
        <v>33.1</v>
      </c>
      <c r="Y118" s="105">
        <v>24.5</v>
      </c>
      <c r="Z118" s="105">
        <v>23</v>
      </c>
      <c r="AA118" s="105">
        <v>13.8</v>
      </c>
      <c r="AB118" s="105">
        <v>15.9</v>
      </c>
      <c r="AC118" s="105">
        <v>18.2</v>
      </c>
      <c r="AD118" s="105">
        <v>18.2</v>
      </c>
      <c r="AE118" s="105">
        <v>24.4</v>
      </c>
      <c r="AF118" s="105">
        <v>24.4</v>
      </c>
      <c r="AG118" s="118"/>
      <c r="AH118" s="47">
        <f t="shared" si="20"/>
        <v>44.7</v>
      </c>
      <c r="AI118" s="48">
        <f t="shared" si="21"/>
        <v>13.8</v>
      </c>
    </row>
    <row r="119" spans="1:37" x14ac:dyDescent="0.25">
      <c r="A119" s="120" t="s">
        <v>127</v>
      </c>
      <c r="B119" s="105">
        <v>91</v>
      </c>
      <c r="C119" s="105">
        <v>93.2</v>
      </c>
      <c r="D119" s="105">
        <v>86.6</v>
      </c>
      <c r="E119" s="105">
        <v>98.5</v>
      </c>
      <c r="F119" s="105">
        <v>95</v>
      </c>
      <c r="G119" s="105">
        <v>91</v>
      </c>
      <c r="H119" s="105">
        <v>91</v>
      </c>
      <c r="I119" s="105">
        <v>91</v>
      </c>
      <c r="J119" s="105">
        <v>91</v>
      </c>
      <c r="K119" s="105">
        <v>87.4</v>
      </c>
      <c r="L119" s="105">
        <v>86</v>
      </c>
      <c r="M119" s="105">
        <v>95.8</v>
      </c>
      <c r="N119" s="105"/>
      <c r="O119" s="105">
        <v>85.6</v>
      </c>
      <c r="P119" s="105">
        <v>100</v>
      </c>
      <c r="Q119" s="105">
        <v>100</v>
      </c>
      <c r="R119" s="105">
        <v>89.2</v>
      </c>
      <c r="S119" s="105">
        <v>76.7</v>
      </c>
      <c r="T119" s="105">
        <v>98.4</v>
      </c>
      <c r="U119" s="105">
        <v>81.8</v>
      </c>
      <c r="V119" s="105">
        <v>81.8</v>
      </c>
      <c r="W119" s="105">
        <v>72.5</v>
      </c>
      <c r="X119" s="105">
        <v>70.5</v>
      </c>
      <c r="Y119" s="105">
        <v>86.9</v>
      </c>
      <c r="Z119" s="105">
        <v>83.9</v>
      </c>
      <c r="AA119" s="105">
        <v>88.6</v>
      </c>
      <c r="AB119" s="105">
        <v>73.12</v>
      </c>
      <c r="AC119" s="105">
        <v>98</v>
      </c>
      <c r="AD119" s="105">
        <v>98</v>
      </c>
      <c r="AE119" s="105">
        <v>76.400000000000006</v>
      </c>
      <c r="AF119" s="105">
        <v>76.400000000000006</v>
      </c>
      <c r="AG119" s="118"/>
      <c r="AH119" s="47">
        <f t="shared" si="20"/>
        <v>100</v>
      </c>
      <c r="AI119" s="48">
        <f t="shared" si="21"/>
        <v>70.5</v>
      </c>
    </row>
    <row r="120" spans="1:37" ht="15.75" thickBot="1" x14ac:dyDescent="0.3">
      <c r="A120" s="119" t="s">
        <v>128</v>
      </c>
      <c r="B120" s="105">
        <v>43.6</v>
      </c>
      <c r="C120" s="105">
        <v>44.8</v>
      </c>
      <c r="D120" s="105">
        <v>48.8</v>
      </c>
      <c r="E120" s="105">
        <v>48.9</v>
      </c>
      <c r="F120" s="105">
        <v>39.200000000000003</v>
      </c>
      <c r="G120" s="105">
        <v>33.9</v>
      </c>
      <c r="H120" s="105">
        <v>33.9</v>
      </c>
      <c r="I120" s="105">
        <v>33.9</v>
      </c>
      <c r="J120" s="105">
        <v>33.9</v>
      </c>
      <c r="K120" s="105">
        <v>22.9</v>
      </c>
      <c r="L120" s="105">
        <v>27.2</v>
      </c>
      <c r="M120" s="105">
        <v>37.700000000000003</v>
      </c>
      <c r="N120" s="105"/>
      <c r="O120" s="105">
        <v>31.4</v>
      </c>
      <c r="P120" s="105">
        <v>38.4</v>
      </c>
      <c r="Q120" s="105">
        <v>37.6</v>
      </c>
      <c r="R120" s="105">
        <v>32.799999999999997</v>
      </c>
      <c r="S120" s="105">
        <v>44.3</v>
      </c>
      <c r="T120" s="105">
        <v>39.299999999999997</v>
      </c>
      <c r="U120" s="105">
        <v>38.200000000000003</v>
      </c>
      <c r="V120" s="105">
        <v>38.200000000000003</v>
      </c>
      <c r="W120" s="105">
        <v>33.299999999999997</v>
      </c>
      <c r="X120" s="105">
        <v>20.7</v>
      </c>
      <c r="Y120" s="105">
        <v>31.7</v>
      </c>
      <c r="Z120" s="105">
        <v>54.5</v>
      </c>
      <c r="AA120" s="105">
        <v>53.8</v>
      </c>
      <c r="AB120" s="105">
        <v>53.8</v>
      </c>
      <c r="AC120" s="105">
        <v>56.8</v>
      </c>
      <c r="AD120" s="105">
        <v>56.8</v>
      </c>
      <c r="AE120" s="105">
        <v>51.8</v>
      </c>
      <c r="AF120" s="105">
        <v>51.8</v>
      </c>
      <c r="AG120" s="118"/>
      <c r="AH120" s="47">
        <f t="shared" si="20"/>
        <v>56.8</v>
      </c>
      <c r="AI120" s="48">
        <f t="shared" si="21"/>
        <v>20.7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34">SUM(B122:B226)</f>
        <v>0</v>
      </c>
      <c r="C227" s="136">
        <f t="shared" si="34"/>
        <v>0</v>
      </c>
      <c r="D227" s="136">
        <f t="shared" si="34"/>
        <v>0</v>
      </c>
      <c r="E227" s="136">
        <f t="shared" si="34"/>
        <v>0</v>
      </c>
      <c r="F227" s="136">
        <f t="shared" si="34"/>
        <v>0</v>
      </c>
      <c r="G227" s="136">
        <f t="shared" si="34"/>
        <v>0</v>
      </c>
      <c r="H227" s="136">
        <f t="shared" si="34"/>
        <v>0</v>
      </c>
      <c r="I227" s="136">
        <f t="shared" si="34"/>
        <v>0</v>
      </c>
      <c r="J227" s="136">
        <f t="shared" si="34"/>
        <v>0</v>
      </c>
      <c r="K227" s="136">
        <f t="shared" si="34"/>
        <v>0</v>
      </c>
      <c r="L227" s="136">
        <f t="shared" si="34"/>
        <v>0</v>
      </c>
      <c r="M227" s="136">
        <f t="shared" si="34"/>
        <v>0</v>
      </c>
      <c r="N227" s="136">
        <f t="shared" si="34"/>
        <v>0</v>
      </c>
      <c r="O227" s="136">
        <f t="shared" si="34"/>
        <v>0</v>
      </c>
      <c r="P227" s="136">
        <f t="shared" si="34"/>
        <v>0</v>
      </c>
      <c r="Q227" s="136">
        <f t="shared" si="34"/>
        <v>0</v>
      </c>
      <c r="R227" s="136">
        <f t="shared" si="34"/>
        <v>0</v>
      </c>
      <c r="S227" s="136">
        <f t="shared" si="34"/>
        <v>0</v>
      </c>
      <c r="T227" s="136">
        <f t="shared" si="34"/>
        <v>0</v>
      </c>
      <c r="U227" s="136">
        <f t="shared" si="34"/>
        <v>0</v>
      </c>
      <c r="V227" s="136">
        <f t="shared" si="34"/>
        <v>0</v>
      </c>
      <c r="W227" s="136">
        <f t="shared" si="34"/>
        <v>0</v>
      </c>
      <c r="X227" s="136">
        <f t="shared" si="34"/>
        <v>0</v>
      </c>
      <c r="Y227" s="136">
        <f t="shared" si="34"/>
        <v>0</v>
      </c>
      <c r="Z227" s="136">
        <f t="shared" si="34"/>
        <v>0</v>
      </c>
      <c r="AA227" s="136">
        <f t="shared" si="34"/>
        <v>0</v>
      </c>
      <c r="AB227" s="136">
        <f t="shared" si="34"/>
        <v>0</v>
      </c>
      <c r="AC227" s="136">
        <f t="shared" si="34"/>
        <v>0</v>
      </c>
      <c r="AD227" s="136">
        <f t="shared" si="34"/>
        <v>0</v>
      </c>
      <c r="AE227" s="136">
        <f t="shared" si="34"/>
        <v>0</v>
      </c>
      <c r="AF227" s="137">
        <f t="shared" si="34"/>
        <v>0</v>
      </c>
      <c r="AG227" s="138">
        <f t="shared" si="34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35">AF229</f>
        <v>0</v>
      </c>
      <c r="C229" s="140">
        <v>0.3</v>
      </c>
      <c r="D229" s="140">
        <f t="shared" ref="D229:P234" si="36">C229</f>
        <v>0.3</v>
      </c>
      <c r="E229" s="140">
        <f t="shared" si="36"/>
        <v>0.3</v>
      </c>
      <c r="F229" s="140">
        <f t="shared" si="36"/>
        <v>0.3</v>
      </c>
      <c r="G229" s="140">
        <f t="shared" si="36"/>
        <v>0.3</v>
      </c>
      <c r="H229" s="140">
        <f t="shared" si="36"/>
        <v>0.3</v>
      </c>
      <c r="I229" s="140">
        <f t="shared" si="36"/>
        <v>0.3</v>
      </c>
      <c r="J229" s="140">
        <f t="shared" si="36"/>
        <v>0.3</v>
      </c>
      <c r="K229" s="140">
        <f t="shared" si="36"/>
        <v>0.3</v>
      </c>
      <c r="L229" s="140">
        <f t="shared" si="36"/>
        <v>0.3</v>
      </c>
      <c r="M229" s="140">
        <f t="shared" si="36"/>
        <v>0.3</v>
      </c>
      <c r="N229" s="140">
        <f t="shared" si="36"/>
        <v>0.3</v>
      </c>
      <c r="O229" s="140">
        <f t="shared" si="36"/>
        <v>0.3</v>
      </c>
      <c r="P229" s="140">
        <f t="shared" si="36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35"/>
        <v>0</v>
      </c>
      <c r="C230" s="128">
        <v>0.4</v>
      </c>
      <c r="D230" s="128">
        <f t="shared" si="36"/>
        <v>0.4</v>
      </c>
      <c r="E230" s="128">
        <f t="shared" si="36"/>
        <v>0.4</v>
      </c>
      <c r="F230" s="128">
        <f t="shared" si="36"/>
        <v>0.4</v>
      </c>
      <c r="G230" s="128">
        <f t="shared" si="36"/>
        <v>0.4</v>
      </c>
      <c r="H230" s="128">
        <f t="shared" si="36"/>
        <v>0.4</v>
      </c>
      <c r="I230" s="128">
        <f t="shared" si="36"/>
        <v>0.4</v>
      </c>
      <c r="J230" s="128">
        <f t="shared" si="36"/>
        <v>0.4</v>
      </c>
      <c r="K230" s="128">
        <f t="shared" si="36"/>
        <v>0.4</v>
      </c>
      <c r="L230" s="128">
        <f t="shared" si="36"/>
        <v>0.4</v>
      </c>
      <c r="M230" s="128">
        <f t="shared" si="36"/>
        <v>0.4</v>
      </c>
      <c r="N230" s="128">
        <f t="shared" si="36"/>
        <v>0.4</v>
      </c>
      <c r="O230" s="128">
        <f t="shared" si="36"/>
        <v>0.4</v>
      </c>
      <c r="P230" s="128">
        <f t="shared" si="36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35"/>
        <v>0</v>
      </c>
      <c r="C231" s="128">
        <v>1.5</v>
      </c>
      <c r="D231" s="128">
        <f t="shared" si="36"/>
        <v>1.5</v>
      </c>
      <c r="E231" s="128">
        <f t="shared" si="36"/>
        <v>1.5</v>
      </c>
      <c r="F231" s="128">
        <f t="shared" si="36"/>
        <v>1.5</v>
      </c>
      <c r="G231" s="128">
        <f t="shared" si="36"/>
        <v>1.5</v>
      </c>
      <c r="H231" s="128">
        <f t="shared" si="36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36"/>
        <v>123.21900000000009</v>
      </c>
      <c r="K231" s="128">
        <f t="shared" ca="1" si="36"/>
        <v>123.21900000000009</v>
      </c>
      <c r="L231" s="128">
        <f t="shared" ca="1" si="36"/>
        <v>123.21900000000009</v>
      </c>
      <c r="M231" s="128">
        <f t="shared" ca="1" si="36"/>
        <v>119.19900000000008</v>
      </c>
      <c r="N231" s="128">
        <f t="shared" ca="1" si="36"/>
        <v>119.19900000000008</v>
      </c>
      <c r="O231" s="128">
        <f t="shared" ca="1" si="36"/>
        <v>119.19900000000008</v>
      </c>
      <c r="P231" s="128">
        <f t="shared" ca="1" si="36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35"/>
        <v>0</v>
      </c>
      <c r="C232" s="128">
        <v>0.3</v>
      </c>
      <c r="D232" s="128">
        <f t="shared" si="36"/>
        <v>0.3</v>
      </c>
      <c r="E232" s="128">
        <f t="shared" si="36"/>
        <v>0.3</v>
      </c>
      <c r="F232" s="128">
        <f t="shared" si="36"/>
        <v>0.3</v>
      </c>
      <c r="G232" s="128">
        <f t="shared" si="36"/>
        <v>0.3</v>
      </c>
      <c r="H232" s="128">
        <f t="shared" si="36"/>
        <v>0.3</v>
      </c>
      <c r="I232" s="128">
        <f t="shared" si="36"/>
        <v>0.3</v>
      </c>
      <c r="J232" s="128">
        <f t="shared" si="36"/>
        <v>0.3</v>
      </c>
      <c r="K232" s="128">
        <f t="shared" si="36"/>
        <v>0.3</v>
      </c>
      <c r="L232" s="128">
        <f t="shared" si="36"/>
        <v>0.3</v>
      </c>
      <c r="M232" s="128">
        <f t="shared" si="36"/>
        <v>0.3</v>
      </c>
      <c r="N232" s="128">
        <f t="shared" si="36"/>
        <v>0.3</v>
      </c>
      <c r="O232" s="128">
        <f t="shared" si="36"/>
        <v>0.3</v>
      </c>
      <c r="P232" s="128">
        <f t="shared" si="36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35"/>
        <v>0</v>
      </c>
      <c r="C233" s="128">
        <v>0.4</v>
      </c>
      <c r="D233" s="128">
        <f t="shared" si="36"/>
        <v>0.4</v>
      </c>
      <c r="E233" s="128">
        <f t="shared" si="36"/>
        <v>0.4</v>
      </c>
      <c r="F233" s="128">
        <f t="shared" si="36"/>
        <v>0.4</v>
      </c>
      <c r="G233" s="128">
        <f t="shared" si="36"/>
        <v>0.4</v>
      </c>
      <c r="H233" s="128">
        <f t="shared" si="36"/>
        <v>0.4</v>
      </c>
      <c r="I233" s="128">
        <f t="shared" si="36"/>
        <v>0.4</v>
      </c>
      <c r="J233" s="128">
        <f t="shared" si="36"/>
        <v>0.4</v>
      </c>
      <c r="K233" s="128">
        <f t="shared" si="36"/>
        <v>0.4</v>
      </c>
      <c r="L233" s="128">
        <f t="shared" si="36"/>
        <v>0.4</v>
      </c>
      <c r="M233" s="128">
        <f t="shared" si="36"/>
        <v>0.4</v>
      </c>
      <c r="N233" s="128">
        <f t="shared" si="36"/>
        <v>0.4</v>
      </c>
      <c r="O233" s="128">
        <f t="shared" si="36"/>
        <v>0.4</v>
      </c>
      <c r="P233" s="128">
        <f t="shared" si="36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35"/>
        <v>0</v>
      </c>
      <c r="C234" s="132">
        <v>0.64</v>
      </c>
      <c r="D234" s="132">
        <f t="shared" si="36"/>
        <v>0.64</v>
      </c>
      <c r="E234" s="132">
        <f t="shared" si="36"/>
        <v>0.64</v>
      </c>
      <c r="F234" s="132">
        <f t="shared" si="36"/>
        <v>0.64</v>
      </c>
      <c r="G234" s="132">
        <f t="shared" si="36"/>
        <v>0.64</v>
      </c>
      <c r="H234" s="132">
        <f t="shared" si="36"/>
        <v>0.64</v>
      </c>
      <c r="I234" s="132">
        <f t="shared" si="36"/>
        <v>0.64</v>
      </c>
      <c r="J234" s="132">
        <f t="shared" si="36"/>
        <v>0.64</v>
      </c>
      <c r="K234" s="132">
        <f t="shared" si="36"/>
        <v>0.64</v>
      </c>
      <c r="L234" s="132">
        <f t="shared" si="36"/>
        <v>0.64</v>
      </c>
      <c r="M234" s="132">
        <f t="shared" si="36"/>
        <v>0.64</v>
      </c>
      <c r="N234" s="132">
        <f t="shared" si="36"/>
        <v>0.64</v>
      </c>
      <c r="O234" s="132">
        <f t="shared" si="36"/>
        <v>0.64</v>
      </c>
      <c r="P234" s="132">
        <f t="shared" si="36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37">SUM(B229:B234)</f>
        <v>0</v>
      </c>
      <c r="C235" s="136">
        <f t="shared" si="37"/>
        <v>3.54</v>
      </c>
      <c r="D235" s="136">
        <f t="shared" si="37"/>
        <v>3.54</v>
      </c>
      <c r="E235" s="136">
        <f t="shared" si="37"/>
        <v>3.54</v>
      </c>
      <c r="F235" s="136">
        <f t="shared" si="37"/>
        <v>3.54</v>
      </c>
      <c r="G235" s="136">
        <f t="shared" si="37"/>
        <v>3.54</v>
      </c>
      <c r="H235" s="136">
        <f t="shared" si="37"/>
        <v>3.54</v>
      </c>
      <c r="I235" s="136">
        <f t="shared" ca="1" si="37"/>
        <v>121.23900000000009</v>
      </c>
      <c r="J235" s="136">
        <f t="shared" ca="1" si="37"/>
        <v>121.23900000000009</v>
      </c>
      <c r="K235" s="136">
        <f t="shared" ca="1" si="37"/>
        <v>121.23900000000009</v>
      </c>
      <c r="L235" s="136">
        <f t="shared" ca="1" si="37"/>
        <v>125.2590000000001</v>
      </c>
      <c r="M235" s="136">
        <f t="shared" ca="1" si="37"/>
        <v>121.23900000000009</v>
      </c>
      <c r="N235" s="136">
        <f t="shared" ca="1" si="37"/>
        <v>121.23900000000009</v>
      </c>
      <c r="O235" s="136">
        <f t="shared" ca="1" si="37"/>
        <v>121.23900000000009</v>
      </c>
      <c r="P235" s="136">
        <f t="shared" ca="1" si="37"/>
        <v>121.23900000000009</v>
      </c>
      <c r="Q235" s="136">
        <f t="shared" si="37"/>
        <v>0</v>
      </c>
      <c r="R235" s="136">
        <f t="shared" si="37"/>
        <v>0</v>
      </c>
      <c r="S235" s="136">
        <f t="shared" si="37"/>
        <v>0</v>
      </c>
      <c r="T235" s="136">
        <f t="shared" si="37"/>
        <v>0</v>
      </c>
      <c r="U235" s="136">
        <f t="shared" si="37"/>
        <v>0</v>
      </c>
      <c r="V235" s="136">
        <f t="shared" si="37"/>
        <v>0</v>
      </c>
      <c r="W235" s="136">
        <f t="shared" si="37"/>
        <v>0</v>
      </c>
      <c r="X235" s="136">
        <f t="shared" si="37"/>
        <v>0</v>
      </c>
      <c r="Y235" s="136">
        <f t="shared" si="37"/>
        <v>0</v>
      </c>
      <c r="Z235" s="136">
        <f t="shared" si="37"/>
        <v>0</v>
      </c>
      <c r="AA235" s="136">
        <f t="shared" si="37"/>
        <v>0</v>
      </c>
      <c r="AB235" s="136">
        <f t="shared" si="37"/>
        <v>0</v>
      </c>
      <c r="AC235" s="136">
        <f t="shared" si="37"/>
        <v>0</v>
      </c>
      <c r="AD235" s="136">
        <f t="shared" si="37"/>
        <v>0</v>
      </c>
      <c r="AE235" s="136">
        <f t="shared" si="37"/>
        <v>0</v>
      </c>
      <c r="AF235" s="136">
        <f t="shared" si="37"/>
        <v>0</v>
      </c>
      <c r="AG235" s="145">
        <f t="shared" si="37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1944.14</v>
      </c>
      <c r="C244" s="161">
        <f>INDEX(G9:N9,1,MATCH(MAX(G91:N91),G91:N91,0))</f>
        <v>0.29166666666666669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11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2080/04/11)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2080/04/11)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38">B91</f>
        <v>1953.74</v>
      </c>
      <c r="U249" s="170">
        <f t="shared" si="38"/>
        <v>1968.44</v>
      </c>
      <c r="V249" s="170">
        <f t="shared" si="38"/>
        <v>1941.44</v>
      </c>
      <c r="W249" s="170">
        <f t="shared" si="38"/>
        <v>1959.54</v>
      </c>
      <c r="X249" s="170">
        <f t="shared" si="38"/>
        <v>1906.0400000000002</v>
      </c>
      <c r="Y249" s="170">
        <f t="shared" si="38"/>
        <v>1878.44</v>
      </c>
      <c r="Z249" s="170">
        <f t="shared" si="38"/>
        <v>1871.44</v>
      </c>
      <c r="AA249" s="170">
        <f t="shared" si="38"/>
        <v>1887.94</v>
      </c>
      <c r="AB249" s="170">
        <f t="shared" si="38"/>
        <v>1915.44</v>
      </c>
      <c r="AC249" s="170">
        <f t="shared" si="38"/>
        <v>1944.14</v>
      </c>
      <c r="AD249" s="170">
        <f t="shared" si="38"/>
        <v>1936.14</v>
      </c>
      <c r="AE249" s="170">
        <f t="shared" si="38"/>
        <v>1924.0400000000002</v>
      </c>
      <c r="AF249" s="170">
        <f t="shared" si="38"/>
        <v>3.54</v>
      </c>
      <c r="AG249" s="170">
        <f t="shared" si="38"/>
        <v>1946.0400000000002</v>
      </c>
      <c r="AH249" s="170">
        <f t="shared" si="38"/>
        <v>1943.5400000000002</v>
      </c>
      <c r="AI249" s="170">
        <f t="shared" si="38"/>
        <v>1951.0400000000002</v>
      </c>
      <c r="AJ249" s="170">
        <f t="shared" si="38"/>
        <v>1948.8400000000001</v>
      </c>
      <c r="AK249" s="170">
        <f t="shared" si="38"/>
        <v>1943.24</v>
      </c>
      <c r="AL249" s="170">
        <f t="shared" si="38"/>
        <v>1925.74</v>
      </c>
      <c r="AM249" s="170">
        <f t="shared" si="38"/>
        <v>1977.7400000000005</v>
      </c>
      <c r="AN249" s="170">
        <f t="shared" si="38"/>
        <v>1921.7400000000002</v>
      </c>
      <c r="AO249" s="170">
        <f t="shared" si="38"/>
        <v>1953.4400000000003</v>
      </c>
      <c r="AP249" s="170">
        <f t="shared" si="38"/>
        <v>1972.94</v>
      </c>
      <c r="AQ249" s="170">
        <f t="shared" si="38"/>
        <v>1981.3400000000001</v>
      </c>
      <c r="AR249" s="170">
        <f t="shared" si="38"/>
        <v>2005.7400000000002</v>
      </c>
      <c r="AS249" s="170">
        <f t="shared" si="38"/>
        <v>2016.5400000000002</v>
      </c>
      <c r="AT249" s="170">
        <f t="shared" si="38"/>
        <v>2047.8400000000001</v>
      </c>
      <c r="AU249" s="170">
        <f t="shared" si="38"/>
        <v>2034.8400000000001</v>
      </c>
      <c r="AV249" s="170">
        <f t="shared" si="38"/>
        <v>2070.34</v>
      </c>
      <c r="AW249" s="170">
        <f t="shared" si="38"/>
        <v>1999.94</v>
      </c>
      <c r="AX249" s="170">
        <f t="shared" si="38"/>
        <v>2011.74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39">C234</f>
        <v>0.64</v>
      </c>
      <c r="C270" s="173">
        <f t="shared" si="39"/>
        <v>0.64</v>
      </c>
      <c r="D270" s="173">
        <f t="shared" si="39"/>
        <v>0.64</v>
      </c>
      <c r="E270" s="173">
        <f t="shared" si="39"/>
        <v>0.64</v>
      </c>
      <c r="F270" s="173">
        <f t="shared" si="39"/>
        <v>0.64</v>
      </c>
      <c r="G270" s="173">
        <f t="shared" si="39"/>
        <v>0.64</v>
      </c>
      <c r="H270" s="173">
        <f t="shared" si="39"/>
        <v>0.64</v>
      </c>
      <c r="I270" s="173">
        <f t="shared" si="39"/>
        <v>0.64</v>
      </c>
      <c r="J270" s="173">
        <f t="shared" si="39"/>
        <v>0.64</v>
      </c>
      <c r="K270" s="173">
        <f t="shared" si="39"/>
        <v>0.64</v>
      </c>
      <c r="L270" s="173">
        <f t="shared" si="39"/>
        <v>0.64</v>
      </c>
      <c r="M270" s="173">
        <f t="shared" si="39"/>
        <v>0.64</v>
      </c>
      <c r="N270" s="173">
        <f t="shared" si="39"/>
        <v>0.64</v>
      </c>
      <c r="O270" s="173">
        <f t="shared" si="39"/>
        <v>0.64</v>
      </c>
      <c r="P270" s="173">
        <f t="shared" si="39"/>
        <v>0</v>
      </c>
      <c r="Q270" s="173">
        <f t="shared" si="39"/>
        <v>0</v>
      </c>
      <c r="R270" s="173">
        <f t="shared" si="39"/>
        <v>0</v>
      </c>
      <c r="S270" s="173">
        <f t="shared" si="39"/>
        <v>0</v>
      </c>
      <c r="T270" s="173">
        <f t="shared" si="39"/>
        <v>0</v>
      </c>
      <c r="U270" s="173">
        <f t="shared" si="39"/>
        <v>0</v>
      </c>
      <c r="V270" s="173">
        <f t="shared" si="39"/>
        <v>0</v>
      </c>
      <c r="W270" s="173">
        <f t="shared" si="39"/>
        <v>0</v>
      </c>
      <c r="X270" s="173">
        <f t="shared" si="39"/>
        <v>0</v>
      </c>
      <c r="Y270" s="173">
        <f t="shared" si="39"/>
        <v>0</v>
      </c>
      <c r="Z270" s="173">
        <f t="shared" si="39"/>
        <v>0</v>
      </c>
      <c r="AA270" s="173">
        <f t="shared" si="39"/>
        <v>0</v>
      </c>
      <c r="AB270" s="173">
        <f t="shared" si="39"/>
        <v>0</v>
      </c>
      <c r="AC270" s="173">
        <f t="shared" si="39"/>
        <v>0</v>
      </c>
      <c r="AD270" s="173">
        <f t="shared" si="39"/>
        <v>0</v>
      </c>
      <c r="AE270" s="173">
        <f t="shared" si="39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40">IF(B238&lt;100,"",B238-520)</f>
        <v/>
      </c>
      <c r="C271" s="174" t="str">
        <f t="shared" si="40"/>
        <v/>
      </c>
      <c r="D271" s="174" t="str">
        <f t="shared" si="40"/>
        <v/>
      </c>
      <c r="E271" s="174" t="str">
        <f t="shared" si="40"/>
        <v/>
      </c>
      <c r="F271" s="174" t="str">
        <f t="shared" si="40"/>
        <v/>
      </c>
      <c r="G271" s="174" t="str">
        <f t="shared" si="40"/>
        <v/>
      </c>
      <c r="H271" s="174" t="str">
        <f t="shared" si="40"/>
        <v/>
      </c>
      <c r="I271" s="174" t="str">
        <f t="shared" si="40"/>
        <v/>
      </c>
      <c r="J271" s="174" t="str">
        <f t="shared" si="40"/>
        <v/>
      </c>
      <c r="K271" s="174" t="str">
        <f t="shared" si="40"/>
        <v/>
      </c>
      <c r="L271" s="174" t="str">
        <f t="shared" si="40"/>
        <v/>
      </c>
      <c r="M271" s="174" t="str">
        <f t="shared" si="40"/>
        <v/>
      </c>
      <c r="N271" s="174" t="str">
        <f t="shared" si="40"/>
        <v/>
      </c>
      <c r="O271" s="174" t="str">
        <f t="shared" si="40"/>
        <v/>
      </c>
      <c r="P271" s="174" t="str">
        <f t="shared" si="40"/>
        <v/>
      </c>
      <c r="Q271" s="174" t="str">
        <f t="shared" si="40"/>
        <v/>
      </c>
      <c r="R271" s="174" t="str">
        <f t="shared" si="40"/>
        <v/>
      </c>
      <c r="S271" s="174" t="str">
        <f t="shared" si="40"/>
        <v/>
      </c>
      <c r="T271" s="174" t="str">
        <f t="shared" si="40"/>
        <v/>
      </c>
      <c r="U271" s="174" t="str">
        <f t="shared" si="40"/>
        <v/>
      </c>
      <c r="V271" s="174" t="str">
        <f t="shared" si="40"/>
        <v/>
      </c>
      <c r="W271" s="174" t="str">
        <f t="shared" si="40"/>
        <v/>
      </c>
      <c r="X271" s="174" t="str">
        <f t="shared" si="40"/>
        <v/>
      </c>
      <c r="Y271" s="174" t="str">
        <f t="shared" si="40"/>
        <v/>
      </c>
      <c r="Z271" s="174" t="str">
        <f t="shared" si="40"/>
        <v/>
      </c>
      <c r="AA271" s="174" t="str">
        <f t="shared" si="40"/>
        <v/>
      </c>
      <c r="AB271" s="174" t="str">
        <f t="shared" si="40"/>
        <v/>
      </c>
      <c r="AC271" s="174" t="str">
        <f t="shared" si="40"/>
        <v/>
      </c>
      <c r="AD271" s="174" t="str">
        <f t="shared" si="40"/>
        <v/>
      </c>
      <c r="AE271" s="174" t="str">
        <f t="shared" si="40"/>
        <v/>
      </c>
      <c r="AF271" s="174" t="str">
        <f t="shared" si="40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41">IF(B239&lt;100,"",B239-620)</f>
        <v/>
      </c>
      <c r="C272" s="174" t="str">
        <f t="shared" si="41"/>
        <v/>
      </c>
      <c r="D272" s="174" t="str">
        <f t="shared" si="41"/>
        <v/>
      </c>
      <c r="E272" s="174" t="str">
        <f t="shared" si="41"/>
        <v/>
      </c>
      <c r="F272" s="174" t="str">
        <f t="shared" si="41"/>
        <v/>
      </c>
      <c r="G272" s="174" t="str">
        <f t="shared" si="41"/>
        <v/>
      </c>
      <c r="H272" s="174" t="str">
        <f t="shared" si="41"/>
        <v/>
      </c>
      <c r="I272" s="174" t="str">
        <f t="shared" si="41"/>
        <v/>
      </c>
      <c r="J272" s="174" t="str">
        <f t="shared" si="41"/>
        <v/>
      </c>
      <c r="K272" s="174" t="str">
        <f t="shared" si="41"/>
        <v/>
      </c>
      <c r="L272" s="174" t="str">
        <f t="shared" si="41"/>
        <v/>
      </c>
      <c r="M272" s="174" t="str">
        <f t="shared" si="41"/>
        <v/>
      </c>
      <c r="N272" s="174" t="str">
        <f t="shared" si="41"/>
        <v/>
      </c>
      <c r="O272" s="174" t="str">
        <f t="shared" si="41"/>
        <v/>
      </c>
      <c r="P272" s="174" t="str">
        <f t="shared" si="41"/>
        <v/>
      </c>
      <c r="Q272" s="174" t="str">
        <f t="shared" si="41"/>
        <v/>
      </c>
      <c r="R272" s="174" t="str">
        <f t="shared" si="41"/>
        <v/>
      </c>
      <c r="S272" s="174" t="str">
        <f t="shared" si="41"/>
        <v/>
      </c>
      <c r="T272" s="174" t="str">
        <f t="shared" si="41"/>
        <v/>
      </c>
      <c r="U272" s="174" t="str">
        <f t="shared" si="41"/>
        <v/>
      </c>
      <c r="V272" s="174" t="str">
        <f t="shared" si="41"/>
        <v/>
      </c>
      <c r="W272" s="174" t="str">
        <f t="shared" si="41"/>
        <v/>
      </c>
      <c r="X272" s="174" t="str">
        <f t="shared" si="41"/>
        <v/>
      </c>
      <c r="Y272" s="174" t="str">
        <f t="shared" si="41"/>
        <v/>
      </c>
      <c r="Z272" s="174" t="str">
        <f t="shared" si="41"/>
        <v/>
      </c>
      <c r="AA272" s="174" t="str">
        <f t="shared" si="41"/>
        <v/>
      </c>
      <c r="AB272" s="174" t="str">
        <f t="shared" si="41"/>
        <v/>
      </c>
      <c r="AC272" s="174" t="str">
        <f t="shared" si="41"/>
        <v/>
      </c>
      <c r="AD272" s="174" t="str">
        <f t="shared" si="41"/>
        <v/>
      </c>
      <c r="AE272" s="174" t="str">
        <f t="shared" si="41"/>
        <v/>
      </c>
      <c r="AF272" s="174" t="str">
        <f t="shared" si="41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42">IF(B240&lt;100,"",B240-330)</f>
        <v/>
      </c>
      <c r="C273" s="174" t="str">
        <f t="shared" si="42"/>
        <v/>
      </c>
      <c r="D273" s="174" t="str">
        <f t="shared" si="42"/>
        <v/>
      </c>
      <c r="E273" s="174" t="str">
        <f t="shared" si="42"/>
        <v/>
      </c>
      <c r="F273" s="174" t="str">
        <f t="shared" si="42"/>
        <v/>
      </c>
      <c r="G273" s="174" t="str">
        <f t="shared" si="42"/>
        <v/>
      </c>
      <c r="H273" s="174" t="str">
        <f t="shared" si="42"/>
        <v/>
      </c>
      <c r="I273" s="174" t="str">
        <f t="shared" si="42"/>
        <v/>
      </c>
      <c r="J273" s="174" t="str">
        <f t="shared" si="42"/>
        <v/>
      </c>
      <c r="K273" s="174" t="str">
        <f t="shared" si="42"/>
        <v/>
      </c>
      <c r="L273" s="174" t="str">
        <f t="shared" si="42"/>
        <v/>
      </c>
      <c r="M273" s="174" t="str">
        <f t="shared" si="42"/>
        <v/>
      </c>
      <c r="N273" s="174" t="str">
        <f t="shared" si="42"/>
        <v/>
      </c>
      <c r="O273" s="174" t="str">
        <f t="shared" si="42"/>
        <v/>
      </c>
      <c r="P273" s="174" t="str">
        <f t="shared" si="42"/>
        <v/>
      </c>
      <c r="Q273" s="174" t="str">
        <f t="shared" si="42"/>
        <v/>
      </c>
      <c r="R273" s="174" t="str">
        <f t="shared" si="42"/>
        <v/>
      </c>
      <c r="S273" s="174" t="str">
        <f t="shared" si="42"/>
        <v/>
      </c>
      <c r="T273" s="174" t="str">
        <f t="shared" si="42"/>
        <v/>
      </c>
      <c r="U273" s="174" t="str">
        <f t="shared" si="42"/>
        <v/>
      </c>
      <c r="V273" s="174" t="str">
        <f t="shared" si="42"/>
        <v/>
      </c>
      <c r="W273" s="174" t="str">
        <f t="shared" si="42"/>
        <v/>
      </c>
      <c r="X273" s="174" t="str">
        <f t="shared" si="42"/>
        <v/>
      </c>
      <c r="Y273" s="174" t="str">
        <f t="shared" si="42"/>
        <v/>
      </c>
      <c r="Z273" s="174" t="str">
        <f t="shared" si="42"/>
        <v/>
      </c>
      <c r="AA273" s="174" t="str">
        <f t="shared" si="42"/>
        <v/>
      </c>
      <c r="AB273" s="174" t="str">
        <f t="shared" si="42"/>
        <v/>
      </c>
      <c r="AC273" s="174" t="str">
        <f t="shared" si="42"/>
        <v/>
      </c>
      <c r="AD273" s="174" t="str">
        <f t="shared" si="42"/>
        <v/>
      </c>
      <c r="AE273" s="174" t="str">
        <f t="shared" si="42"/>
        <v/>
      </c>
      <c r="AF273" s="174" t="str">
        <f t="shared" si="42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43">IF(B241&lt;100,"",B241-1500)</f>
        <v/>
      </c>
      <c r="C274" s="174" t="str">
        <f t="shared" si="43"/>
        <v/>
      </c>
      <c r="D274" s="174" t="str">
        <f t="shared" si="43"/>
        <v/>
      </c>
      <c r="E274" s="174" t="str">
        <f t="shared" si="43"/>
        <v/>
      </c>
      <c r="F274" s="174" t="str">
        <f t="shared" si="43"/>
        <v/>
      </c>
      <c r="G274" s="174" t="str">
        <f t="shared" si="43"/>
        <v/>
      </c>
      <c r="H274" s="174" t="str">
        <f t="shared" si="43"/>
        <v/>
      </c>
      <c r="I274" s="174" t="str">
        <f t="shared" si="43"/>
        <v/>
      </c>
      <c r="J274" s="174" t="str">
        <f t="shared" si="43"/>
        <v/>
      </c>
      <c r="K274" s="174" t="str">
        <f t="shared" si="43"/>
        <v/>
      </c>
      <c r="L274" s="174" t="str">
        <f t="shared" si="43"/>
        <v/>
      </c>
      <c r="M274" s="174" t="str">
        <f t="shared" si="43"/>
        <v/>
      </c>
      <c r="N274" s="174" t="str">
        <f t="shared" si="43"/>
        <v/>
      </c>
      <c r="O274" s="174" t="str">
        <f t="shared" si="43"/>
        <v/>
      </c>
      <c r="P274" s="174" t="str">
        <f t="shared" si="43"/>
        <v/>
      </c>
      <c r="Q274" s="174" t="str">
        <f t="shared" si="43"/>
        <v/>
      </c>
      <c r="R274" s="174" t="str">
        <f t="shared" si="43"/>
        <v/>
      </c>
      <c r="S274" s="174" t="str">
        <f t="shared" si="43"/>
        <v/>
      </c>
      <c r="T274" s="174" t="str">
        <f t="shared" si="43"/>
        <v/>
      </c>
      <c r="U274" s="174" t="str">
        <f t="shared" si="43"/>
        <v/>
      </c>
      <c r="V274" s="174" t="str">
        <f t="shared" si="43"/>
        <v/>
      </c>
      <c r="W274" s="174" t="str">
        <f t="shared" si="43"/>
        <v/>
      </c>
      <c r="X274" s="174" t="str">
        <f t="shared" si="43"/>
        <v/>
      </c>
      <c r="Y274" s="174" t="str">
        <f t="shared" si="43"/>
        <v/>
      </c>
      <c r="Z274" s="174" t="str">
        <f t="shared" si="43"/>
        <v/>
      </c>
      <c r="AA274" s="174" t="str">
        <f t="shared" si="43"/>
        <v/>
      </c>
      <c r="AB274" s="174" t="str">
        <f t="shared" si="43"/>
        <v/>
      </c>
      <c r="AC274" s="174" t="str">
        <f t="shared" si="43"/>
        <v/>
      </c>
      <c r="AD274" s="174" t="str">
        <f t="shared" si="43"/>
        <v/>
      </c>
      <c r="AE274" s="174" t="str">
        <f t="shared" si="43"/>
        <v/>
      </c>
      <c r="AF274" s="174" t="str">
        <f t="shared" si="43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1889" priority="106">
      <formula>$AH11=0</formula>
    </cfRule>
  </conditionalFormatting>
  <conditionalFormatting sqref="B8 M8 S8 AB8">
    <cfRule type="expression" dxfId="1888" priority="159">
      <formula>C$9&lt;8/24</formula>
    </cfRule>
    <cfRule type="expression" dxfId="1887" priority="157">
      <formula>AND(C$9&gt;=14/24,C$9&lt;20/24)</formula>
    </cfRule>
    <cfRule type="expression" dxfId="1886" priority="158">
      <formula>AND(C$9&gt;=8/24,C$9&lt;14/24)</formula>
    </cfRule>
  </conditionalFormatting>
  <conditionalFormatting sqref="B55:B60 C59:M60 B73:Q80 R73:AF91 B81:M81 O81:Q81 B82:Q91">
    <cfRule type="expression" dxfId="1885" priority="21">
      <formula>AND(B$9&gt;=8/24,B$9&lt;14/24)</formula>
    </cfRule>
    <cfRule type="expression" dxfId="1884" priority="19">
      <formula>B$9&gt;=20/24</formula>
    </cfRule>
    <cfRule type="expression" dxfId="1883" priority="20">
      <formula>AND(B$9&gt;=14/24,B$9&lt;20/24)</formula>
    </cfRule>
    <cfRule type="expression" dxfId="1882" priority="22">
      <formula>B$9&lt;8/24</formula>
    </cfRule>
  </conditionalFormatting>
  <conditionalFormatting sqref="B14:F14">
    <cfRule type="expression" dxfId="1881" priority="42">
      <formula>B14&gt;$AG15</formula>
    </cfRule>
  </conditionalFormatting>
  <conditionalFormatting sqref="B15:M47">
    <cfRule type="expression" dxfId="1880" priority="36">
      <formula>B15&gt;$AG15</formula>
    </cfRule>
  </conditionalFormatting>
  <conditionalFormatting sqref="B61:M66">
    <cfRule type="expression" dxfId="1879" priority="15">
      <formula>B$9&gt;=20/24</formula>
    </cfRule>
    <cfRule type="expression" dxfId="1878" priority="16">
      <formula>AND(B$9&gt;=14/24,B$9&lt;20/24)</formula>
    </cfRule>
    <cfRule type="expression" dxfId="1877" priority="17">
      <formula>AND(B$9&gt;=8/24,B$9&lt;14/24)</formula>
    </cfRule>
    <cfRule type="expression" dxfId="1876" priority="18">
      <formula>B$9&lt;8/24</formula>
    </cfRule>
  </conditionalFormatting>
  <conditionalFormatting sqref="B9:AF10 F12:G12 H12:M14 N12:AA18 AB12:AF45 G13:G14 N19:N45">
    <cfRule type="expression" dxfId="1875" priority="68">
      <formula>B$9&lt;8/24</formula>
    </cfRule>
    <cfRule type="expression" dxfId="1874" priority="67">
      <formula>AND(B$9&gt;=8/24,B$9&lt;14/24)</formula>
    </cfRule>
    <cfRule type="expression" dxfId="1873" priority="66">
      <formula>AND(B$9&gt;=14/24,B$9&lt;20/24)</formula>
    </cfRule>
  </conditionalFormatting>
  <conditionalFormatting sqref="B46:AF46">
    <cfRule type="expression" dxfId="1872" priority="29">
      <formula>AND(B$9&gt;=8/24,B$9&lt;14/24)</formula>
    </cfRule>
    <cfRule type="expression" dxfId="1871" priority="27">
      <formula>B$9&gt;=20/24</formula>
    </cfRule>
    <cfRule type="expression" dxfId="1870" priority="28">
      <formula>AND(B$9&gt;=14/24,B$9&lt;20/24)</formula>
    </cfRule>
    <cfRule type="expression" dxfId="1869" priority="30">
      <formula>B$9&lt;8/24</formula>
    </cfRule>
  </conditionalFormatting>
  <conditionalFormatting sqref="B47:AF49">
    <cfRule type="expression" dxfId="1868" priority="34">
      <formula>AND(B$9&gt;=8/24,B$9&lt;14/24)</formula>
    </cfRule>
    <cfRule type="expression" dxfId="1867" priority="35">
      <formula>B$9&lt;8/24</formula>
    </cfRule>
    <cfRule type="expression" dxfId="1866" priority="32">
      <formula>B$9&gt;=20/24</formula>
    </cfRule>
    <cfRule type="expression" dxfId="1865" priority="33">
      <formula>AND(B$9&gt;=14/24,B$9&lt;20/24)</formula>
    </cfRule>
  </conditionalFormatting>
  <conditionalFormatting sqref="B48:AF53">
    <cfRule type="expression" dxfId="1864" priority="31">
      <formula>B48&gt;$AG48</formula>
    </cfRule>
  </conditionalFormatting>
  <conditionalFormatting sqref="B51:AF53">
    <cfRule type="expression" dxfId="1863" priority="92">
      <formula>B$9&lt;8/24</formula>
    </cfRule>
    <cfRule type="expression" dxfId="1862" priority="91">
      <formula>AND(B$9&gt;=8/24,B$9&lt;14/24)</formula>
    </cfRule>
    <cfRule type="expression" dxfId="1861" priority="89">
      <formula>B$9&gt;=20/24</formula>
    </cfRule>
    <cfRule type="expression" dxfId="1860" priority="90">
      <formula>AND(B$9&gt;=14/24,B$9&lt;20/24)</formula>
    </cfRule>
  </conditionalFormatting>
  <conditionalFormatting sqref="B55:AF66">
    <cfRule type="expression" dxfId="1859" priority="14">
      <formula>B55&gt;$AG55</formula>
    </cfRule>
  </conditionalFormatting>
  <conditionalFormatting sqref="B61:AF66">
    <cfRule type="expression" dxfId="1858" priority="26">
      <formula>B$9&lt;8/24</formula>
    </cfRule>
    <cfRule type="expression" dxfId="1857" priority="23">
      <formula>B$9&gt;=20/24</formula>
    </cfRule>
    <cfRule type="expression" dxfId="1856" priority="24">
      <formula>AND(B$9&gt;=14/24,B$9&lt;20/24)</formula>
    </cfRule>
    <cfRule type="expression" dxfId="1855" priority="25">
      <formula>AND(B$9&gt;=8/24,B$9&lt;14/24)</formula>
    </cfRule>
  </conditionalFormatting>
  <conditionalFormatting sqref="B69:AF71">
    <cfRule type="expression" dxfId="1854" priority="99">
      <formula>AND(B$9&gt;=14/24,B$9&lt;20/24)</formula>
    </cfRule>
    <cfRule type="expression" dxfId="1853" priority="101">
      <formula>B$9&lt;8/24</formula>
    </cfRule>
    <cfRule type="expression" dxfId="1852" priority="100">
      <formula>AND(B$9&gt;=8/24,B$9&lt;14/24)</formula>
    </cfRule>
    <cfRule type="expression" dxfId="1851" priority="97">
      <formula>B69&gt;$AG69</formula>
    </cfRule>
    <cfRule type="expression" dxfId="1850" priority="98">
      <formula>B$9&gt;=20/24</formula>
    </cfRule>
  </conditionalFormatting>
  <conditionalFormatting sqref="B111:AF120">
    <cfRule type="expression" dxfId="1849" priority="56">
      <formula>B$9&gt;=20/24</formula>
    </cfRule>
    <cfRule type="expression" dxfId="1848" priority="57">
      <formula>AND(B$9&gt;=14/24,B$9&lt;20/24)</formula>
    </cfRule>
    <cfRule type="expression" dxfId="1847" priority="58">
      <formula>AND(B$9&gt;=8/24,B$9&lt;14/24)</formula>
    </cfRule>
    <cfRule type="expression" dxfId="1846" priority="59">
      <formula>B$9&lt;8/24</formula>
    </cfRule>
  </conditionalFormatting>
  <conditionalFormatting sqref="B227:AF227 D229:AF230 B229:B235 D231:H231 J231:AF231 D232:AF235 U248:AF248">
    <cfRule type="expression" dxfId="1845" priority="152">
      <formula>AND(B$9&gt;=8/24,B$9&lt;14/24)</formula>
    </cfRule>
    <cfRule type="expression" dxfId="1844" priority="151">
      <formula>AND(B$9&gt;=14/24,B$9&lt;20/24)</formula>
    </cfRule>
    <cfRule type="expression" dxfId="1843" priority="150">
      <formula>B$9&gt;=20/24</formula>
    </cfRule>
    <cfRule type="expression" dxfId="1842" priority="153">
      <formula>B$9&lt;8/24</formula>
    </cfRule>
  </conditionalFormatting>
  <conditionalFormatting sqref="B54:AG54">
    <cfRule type="expression" dxfId="1841" priority="82">
      <formula>AND(B$9&gt;=8/24,B$9&lt;14/24)</formula>
    </cfRule>
    <cfRule type="expression" dxfId="1840" priority="75">
      <formula>B54&gt;$AG54</formula>
    </cfRule>
    <cfRule type="expression" dxfId="1839" priority="80">
      <formula>B$9&gt;=20/24</formula>
    </cfRule>
    <cfRule type="expression" dxfId="1838" priority="81">
      <formula>AND(B$9&gt;=14/24,B$9&lt;20/24)</formula>
    </cfRule>
    <cfRule type="expression" dxfId="1837" priority="83">
      <formula>B$9&lt;8/24</formula>
    </cfRule>
  </conditionalFormatting>
  <conditionalFormatting sqref="B67:AG68 B72:AG72">
    <cfRule type="expression" dxfId="1836" priority="84">
      <formula>B67&gt;$AG67</formula>
    </cfRule>
  </conditionalFormatting>
  <conditionalFormatting sqref="B72:AG72 B93:AF109">
    <cfRule type="expression" dxfId="1835" priority="85">
      <formula>B$9&gt;=20/24</formula>
    </cfRule>
    <cfRule type="expression" dxfId="1834" priority="86">
      <formula>AND(B$9&gt;=14/24,B$9&lt;20/24)</formula>
    </cfRule>
    <cfRule type="expression" dxfId="1833" priority="87">
      <formula>AND(B$9&gt;=8/24,B$9&lt;14/24)</formula>
    </cfRule>
    <cfRule type="expression" dxfId="1832" priority="88">
      <formula>B$9&lt;8/24</formula>
    </cfRule>
  </conditionalFormatting>
  <conditionalFormatting sqref="C55:G58">
    <cfRule type="expression" dxfId="1831" priority="105">
      <formula>C$9&lt;8/24</formula>
    </cfRule>
    <cfRule type="expression" dxfId="1830" priority="102">
      <formula>C$9&gt;=20/24</formula>
    </cfRule>
    <cfRule type="expression" dxfId="1829" priority="103">
      <formula>AND(C$9&gt;=14/24,C$9&lt;20/24)</formula>
    </cfRule>
    <cfRule type="expression" dxfId="1828" priority="104">
      <formula>AND(C$9&gt;=8/24,C$9&lt;14/24)</formula>
    </cfRule>
  </conditionalFormatting>
  <conditionalFormatting sqref="F12:G12 H12:M14 N12:AA18 AB12:AF45 G13:G14 N19:N45 B9:AF10">
    <cfRule type="expression" dxfId="1827" priority="65">
      <formula>B$9&gt;=20/24</formula>
    </cfRule>
  </conditionalFormatting>
  <conditionalFormatting sqref="F11:AF11 B11:E13 F13">
    <cfRule type="expression" dxfId="1826" priority="37">
      <formula>B11&gt;$AG11</formula>
    </cfRule>
  </conditionalFormatting>
  <conditionalFormatting sqref="F11:AF11 B11:E45 F13:F19 G15:K19 L15:M45 F20:K45 J34:L34">
    <cfRule type="expression" dxfId="1825" priority="41">
      <formula>B$9&lt;8/24</formula>
    </cfRule>
    <cfRule type="expression" dxfId="1824" priority="38">
      <formula>B$9&gt;=20/24</formula>
    </cfRule>
    <cfRule type="expression" dxfId="1823" priority="39">
      <formula>AND(B$9&gt;=14/24,B$9&lt;20/24)</formula>
    </cfRule>
    <cfRule type="expression" dxfId="1822" priority="40">
      <formula>AND(B$9&gt;=8/24,B$9&lt;14/24)</formula>
    </cfRule>
  </conditionalFormatting>
  <conditionalFormatting sqref="H55:M57">
    <cfRule type="expression" dxfId="1821" priority="132">
      <formula>AND(H$9&gt;=14/24,H$9&lt;20/24)</formula>
    </cfRule>
    <cfRule type="expression" dxfId="1820" priority="131">
      <formula>H$9&gt;=20/24</formula>
    </cfRule>
    <cfRule type="expression" dxfId="1819" priority="133">
      <formula>AND(H$9&gt;=8/24,H$9&lt;14/24)</formula>
    </cfRule>
    <cfRule type="expression" dxfId="1818" priority="134">
      <formula>H$9&lt;8/24</formula>
    </cfRule>
  </conditionalFormatting>
  <conditionalFormatting sqref="I60:R60">
    <cfRule type="expression" dxfId="1817" priority="96">
      <formula>I$9&lt;8/24</formula>
    </cfRule>
    <cfRule type="expression" dxfId="1816" priority="95">
      <formula>AND(I$9&gt;=8/24,I$9&lt;14/24)</formula>
    </cfRule>
    <cfRule type="expression" dxfId="1815" priority="94">
      <formula>AND(I$9&gt;=14/24,I$9&lt;20/24)</formula>
    </cfRule>
    <cfRule type="expression" dxfId="1814" priority="93">
      <formula>I$9&gt;=20/24</formula>
    </cfRule>
  </conditionalFormatting>
  <conditionalFormatting sqref="N55:R59">
    <cfRule type="expression" dxfId="1813" priority="138">
      <formula>N$9&lt;8/24</formula>
    </cfRule>
    <cfRule type="expression" dxfId="1812" priority="136">
      <formula>AND(N$9&gt;=14/24,N$9&lt;20/24)</formula>
    </cfRule>
    <cfRule type="expression" dxfId="1811" priority="137">
      <formula>AND(N$9&gt;=8/24,N$9&lt;14/24)</formula>
    </cfRule>
    <cfRule type="expression" dxfId="1810" priority="135">
      <formula>N$9&gt;=20/24</formula>
    </cfRule>
  </conditionalFormatting>
  <conditionalFormatting sqref="O3:P3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O59:R66 S61:S66 T64:AC64">
    <cfRule type="expression" dxfId="1809" priority="3">
      <formula>AND(O$9&gt;=8/24,O$9&lt;14/24)</formula>
    </cfRule>
    <cfRule type="expression" dxfId="1808" priority="4">
      <formula>O$9&lt;8/24</formula>
    </cfRule>
    <cfRule type="expression" dxfId="1807" priority="2">
      <formula>AND(O$9&gt;=14/24,O$9&lt;20/24)</formula>
    </cfRule>
    <cfRule type="expression" dxfId="1806" priority="1">
      <formula>O$9&gt;=20/24</formula>
    </cfRule>
  </conditionalFormatting>
  <conditionalFormatting sqref="O19:AA45">
    <cfRule type="expression" dxfId="1805" priority="10">
      <formula>O$9&gt;=20/24</formula>
    </cfRule>
    <cfRule type="expression" dxfId="1804" priority="13">
      <formula>O$9&lt;8/24</formula>
    </cfRule>
    <cfRule type="expression" dxfId="1803" priority="12">
      <formula>AND(O$9&gt;=8/24,O$9&lt;14/24)</formula>
    </cfRule>
    <cfRule type="expression" dxfId="1802" priority="11">
      <formula>AND(O$9&gt;=14/24,O$9&lt;20/24)</formula>
    </cfRule>
  </conditionalFormatting>
  <conditionalFormatting sqref="O19:AA47">
    <cfRule type="expression" dxfId="1801" priority="9">
      <formula>O19&gt;$AG19</formula>
    </cfRule>
  </conditionalFormatting>
  <conditionalFormatting sqref="S8 AB8 B8 M8">
    <cfRule type="expression" dxfId="1800" priority="156">
      <formula>C$9&gt;=20/24</formula>
    </cfRule>
  </conditionalFormatting>
  <conditionalFormatting sqref="S8">
    <cfRule type="expression" dxfId="1799" priority="145">
      <formula>AND(U$9&gt;=8/24,U$9&lt;14/24)</formula>
    </cfRule>
    <cfRule type="expression" dxfId="1798" priority="144">
      <formula>AND(U$9&gt;=14/24,U$9&lt;20/24)</formula>
    </cfRule>
    <cfRule type="expression" dxfId="1797" priority="143">
      <formula>U$9&gt;=20/24</formula>
    </cfRule>
    <cfRule type="expression" dxfId="1796" priority="146">
      <formula>U$9&lt;8/24</formula>
    </cfRule>
  </conditionalFormatting>
  <conditionalFormatting sqref="S55:AF60">
    <cfRule type="expression" dxfId="1795" priority="53">
      <formula>AND(S$9&gt;=14/24,S$9&lt;20/24)</formula>
    </cfRule>
    <cfRule type="expression" dxfId="1794" priority="55">
      <formula>S$9&lt;8/24</formula>
    </cfRule>
    <cfRule type="expression" dxfId="1793" priority="54">
      <formula>AND(S$9&gt;=8/24,S$9&lt;14/24)</formula>
    </cfRule>
    <cfRule type="expression" dxfId="1792" priority="52">
      <formula>S$9&gt;=20/24</formula>
    </cfRule>
  </conditionalFormatting>
  <conditionalFormatting sqref="T248">
    <cfRule type="expression" dxfId="1791" priority="171">
      <formula>AX$9&lt;8/24</formula>
    </cfRule>
    <cfRule type="expression" dxfId="1790" priority="168">
      <formula>AX$9&gt;=20/24</formula>
    </cfRule>
    <cfRule type="expression" dxfId="1789" priority="169">
      <formula>AND(AX$9&gt;=14/24,AX$9&lt;20/24)</formula>
    </cfRule>
    <cfRule type="expression" dxfId="1788" priority="170">
      <formula>AND(AX$9&gt;=8/24,AX$9&lt;14/24)</formula>
    </cfRule>
  </conditionalFormatting>
  <conditionalFormatting sqref="V3 AB3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787" priority="139">
      <formula>AD$9&gt;=20/24</formula>
    </cfRule>
    <cfRule type="expression" dxfId="1786" priority="142">
      <formula>AD$9&lt;8/24</formula>
    </cfRule>
    <cfRule type="expression" dxfId="1785" priority="141">
      <formula>AND(AD$9&gt;=8/24,AD$9&lt;14/24)</formula>
    </cfRule>
    <cfRule type="expression" dxfId="1784" priority="140">
      <formula>AND(AD$9&gt;=14/24,AD$9&lt;20/24)</formula>
    </cfRule>
  </conditionalFormatting>
  <conditionalFormatting sqref="AB12:AF47 N19:N47 F12:G12 H12:M14 N12:AA18 G13:G14">
    <cfRule type="expression" dxfId="1783" priority="64">
      <formula>F12&gt;$AG12</formula>
    </cfRule>
  </conditionalFormatting>
  <conditionalFormatting sqref="AG50">
    <cfRule type="expression" dxfId="1782" priority="126">
      <formula>AG50&gt;$AG50</formula>
    </cfRule>
  </conditionalFormatting>
  <conditionalFormatting sqref="AG89">
    <cfRule type="expression" dxfId="1781" priority="130">
      <formula>AG$9&lt;8/24</formula>
    </cfRule>
    <cfRule type="expression" dxfId="1780" priority="127">
      <formula>AG$9&gt;=20/24</formula>
    </cfRule>
    <cfRule type="expression" dxfId="1779" priority="128">
      <formula>AND(AG$9&gt;=14/24,AG$9&lt;20/24)</formula>
    </cfRule>
    <cfRule type="expression" dxfId="1778" priority="129">
      <formula>AND(AG$9&gt;=8/24,AG$9&lt;14/24)</formula>
    </cfRule>
  </conditionalFormatting>
  <conditionalFormatting sqref="AG248">
    <cfRule type="expression" dxfId="1777" priority="160">
      <formula>B$9&gt;=20/24</formula>
    </cfRule>
    <cfRule type="expression" dxfId="1776" priority="161">
      <formula>AND(B$9&gt;=14/24,B$9&lt;20/24)</formula>
    </cfRule>
    <cfRule type="expression" dxfId="1775" priority="162">
      <formula>AND(B$9&gt;=8/24,B$9&lt;14/24)</formula>
    </cfRule>
    <cfRule type="expression" dxfId="1774" priority="163">
      <formula>B$9&lt;8/24</formula>
    </cfRule>
  </conditionalFormatting>
  <conditionalFormatting sqref="AH248:AX248">
    <cfRule type="expression" dxfId="1773" priority="164">
      <formula>AG$9&gt;=20/24</formula>
    </cfRule>
    <cfRule type="expression" dxfId="1772" priority="165">
      <formula>AND(AG$9&gt;=14/24,AG$9&lt;20/24)</formula>
    </cfRule>
    <cfRule type="expression" dxfId="1771" priority="166">
      <formula>AND(AG$9&gt;=8/24,AG$9&lt;14/24)</formula>
    </cfRule>
    <cfRule type="expression" dxfId="1770" priority="167">
      <formula>AG$9&lt;8/24</formula>
    </cfRule>
  </conditionalFormatting>
  <conditionalFormatting sqref="AL4:AL6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09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08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769" priority="173">
      <formula>AJ$9&gt;=20/24</formula>
    </cfRule>
    <cfRule type="expression" dxfId="1768" priority="174">
      <formula>AND(AJ$9&gt;=14/24,AJ$9&lt;20/24)</formula>
    </cfRule>
    <cfRule type="expression" dxfId="1767" priority="175">
      <formula>AND(AJ$9&gt;=8/24,AJ$9&lt;14/24)</formula>
    </cfRule>
    <cfRule type="expression" dxfId="1766" priority="176">
      <formula>AJ$9&lt;8/24</formula>
    </cfRule>
  </conditionalFormatting>
  <conditionalFormatting sqref="AL80:AN80 AL86:AN86">
    <cfRule type="expression" dxfId="1765" priority="117">
      <formula>AL$9&lt;8/24</formula>
    </cfRule>
    <cfRule type="expression" dxfId="1764" priority="116">
      <formula>AND(AL$9&gt;=8/24,AL$9&lt;14/24)</formula>
    </cfRule>
    <cfRule type="expression" dxfId="1763" priority="115">
      <formula>AND(AL$9&gt;=14/24,AL$9&lt;20/24)</formula>
    </cfRule>
    <cfRule type="expression" dxfId="1762" priority="114">
      <formula>AL$9&gt;=20/24</formula>
    </cfRule>
  </conditionalFormatting>
  <conditionalFormatting sqref="AN81:AN84">
    <cfRule type="expression" dxfId="1761" priority="113">
      <formula>AN$9&lt;8/24</formula>
    </cfRule>
    <cfRule type="expression" dxfId="1760" priority="112">
      <formula>AND(AN$9&gt;=8/24,AN$9&lt;14/24)</formula>
    </cfRule>
    <cfRule type="expression" dxfId="1759" priority="111">
      <formula>AND(AN$9&gt;=14/24,AN$9&lt;20/24)</formula>
    </cfRule>
    <cfRule type="expression" dxfId="1758" priority="110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C6B3-2D9E-4E9C-BEF7-DEF87A97F164}">
  <dimension ref="A1:CJ281"/>
  <sheetViews>
    <sheetView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H11" sqref="AH11:AI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.42578125" style="1" bestFit="1" customWidth="1"/>
    <col min="12" max="12" width="7.85546875" style="1" customWidth="1"/>
    <col min="13" max="13" width="6.42578125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2080/04/12</v>
      </c>
      <c r="C4" s="203"/>
      <c r="D4" s="203"/>
      <c r="E4" s="204" t="str">
        <f ca="1">"2079/"&amp;"12/"&amp;INT(MID(CELL("filename",G6),FIND("]",CELL("filename",G6))+1,200))</f>
        <v>2079/12/12</v>
      </c>
      <c r="F4" s="204"/>
      <c r="G4" s="204"/>
      <c r="H4" s="204" t="str">
        <f ca="1">TEXT(E4,"dddd")</f>
        <v>Tuesday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7.9</v>
      </c>
      <c r="C5" s="30">
        <f t="shared" si="0"/>
        <v>13.7</v>
      </c>
      <c r="D5" s="30">
        <f t="shared" si="0"/>
        <v>0</v>
      </c>
      <c r="E5" s="30">
        <f t="shared" si="0"/>
        <v>21</v>
      </c>
      <c r="F5" s="30">
        <f t="shared" si="0"/>
        <v>43.7</v>
      </c>
      <c r="G5" s="30">
        <f t="shared" si="0"/>
        <v>12.2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22.2</v>
      </c>
      <c r="N5" s="30">
        <f t="shared" si="0"/>
        <v>0</v>
      </c>
      <c r="O5" s="30">
        <f t="shared" si="0"/>
        <v>0</v>
      </c>
      <c r="P5" s="30">
        <f t="shared" si="0"/>
        <v>9.5</v>
      </c>
      <c r="Q5" s="30">
        <f t="shared" si="0"/>
        <v>27.1</v>
      </c>
      <c r="R5" s="30">
        <f t="shared" si="0"/>
        <v>27.1</v>
      </c>
      <c r="S5" s="30">
        <f t="shared" si="0"/>
        <v>27.1</v>
      </c>
      <c r="T5" s="30">
        <f t="shared" si="0"/>
        <v>7</v>
      </c>
      <c r="U5" s="30">
        <f t="shared" si="0"/>
        <v>7</v>
      </c>
      <c r="V5" s="30">
        <f t="shared" si="0"/>
        <v>7</v>
      </c>
      <c r="W5" s="30">
        <f t="shared" si="0"/>
        <v>7</v>
      </c>
      <c r="X5" s="30">
        <f t="shared" si="0"/>
        <v>7</v>
      </c>
      <c r="Y5" s="30">
        <f t="shared" si="0"/>
        <v>7</v>
      </c>
      <c r="Z5" s="30">
        <f t="shared" si="0"/>
        <v>24</v>
      </c>
      <c r="AA5" s="30">
        <f t="shared" si="0"/>
        <v>7</v>
      </c>
      <c r="AB5" s="30">
        <f t="shared" si="0"/>
        <v>7</v>
      </c>
      <c r="AC5" s="30">
        <f t="shared" si="0"/>
        <v>7</v>
      </c>
      <c r="AD5" s="30">
        <f t="shared" si="0"/>
        <v>17</v>
      </c>
      <c r="AE5" s="30">
        <f t="shared" si="0"/>
        <v>10</v>
      </c>
      <c r="AF5" s="30">
        <f>B84</f>
        <v>10.3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2022MW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Load=1919</v>
      </c>
      <c r="B7" s="35">
        <f t="shared" ref="B7:AF7" si="1">B91</f>
        <v>1993.84</v>
      </c>
      <c r="C7" s="35">
        <f t="shared" si="1"/>
        <v>1998.44</v>
      </c>
      <c r="D7" s="35">
        <f t="shared" si="1"/>
        <v>1955.2400000000002</v>
      </c>
      <c r="E7" s="35">
        <f t="shared" si="1"/>
        <v>1919.14</v>
      </c>
      <c r="F7" s="35">
        <f t="shared" si="1"/>
        <v>1945.3400000000001</v>
      </c>
      <c r="G7" s="35">
        <f t="shared" si="1"/>
        <v>1971.0400000000002</v>
      </c>
      <c r="H7" s="35">
        <f t="shared" si="1"/>
        <v>1939.94</v>
      </c>
      <c r="I7" s="35">
        <f t="shared" si="1"/>
        <v>1949.14</v>
      </c>
      <c r="J7" s="35">
        <f t="shared" si="1"/>
        <v>1958.14</v>
      </c>
      <c r="K7" s="35">
        <f t="shared" si="1"/>
        <v>1965.84</v>
      </c>
      <c r="L7" s="35">
        <f t="shared" si="1"/>
        <v>1964.54</v>
      </c>
      <c r="M7" s="35">
        <f t="shared" si="1"/>
        <v>2013.94</v>
      </c>
      <c r="N7" s="35">
        <f>N91</f>
        <v>2022.4400000000003</v>
      </c>
      <c r="O7" s="35">
        <f t="shared" si="1"/>
        <v>2007.0400000000002</v>
      </c>
      <c r="P7" s="35">
        <f t="shared" si="1"/>
        <v>2003.0400000000002</v>
      </c>
      <c r="Q7" s="35">
        <f t="shared" si="1"/>
        <v>2016.5400000000002</v>
      </c>
      <c r="R7" s="35">
        <f t="shared" si="1"/>
        <v>2026.24</v>
      </c>
      <c r="S7" s="35">
        <f t="shared" si="1"/>
        <v>2017.24</v>
      </c>
      <c r="T7" s="35">
        <f t="shared" si="1"/>
        <v>2016.04</v>
      </c>
      <c r="U7" s="35">
        <f t="shared" si="1"/>
        <v>1972.8400000000001</v>
      </c>
      <c r="V7" s="35">
        <f t="shared" si="1"/>
        <v>1936.14</v>
      </c>
      <c r="W7" s="35">
        <f t="shared" si="1"/>
        <v>1944.6399999999999</v>
      </c>
      <c r="X7" s="35">
        <f t="shared" si="1"/>
        <v>1936.1399999999999</v>
      </c>
      <c r="Y7" s="35">
        <f t="shared" si="1"/>
        <v>1969.2399999999998</v>
      </c>
      <c r="Z7" s="35">
        <f t="shared" si="1"/>
        <v>2008.2399999999998</v>
      </c>
      <c r="AA7" s="35">
        <f t="shared" si="1"/>
        <v>2007.2399999999998</v>
      </c>
      <c r="AB7" s="35">
        <f t="shared" si="1"/>
        <v>2005.2399999999998</v>
      </c>
      <c r="AC7" s="35">
        <f t="shared" si="1"/>
        <v>1975.8400000000001</v>
      </c>
      <c r="AD7" s="35">
        <f t="shared" si="1"/>
        <v>1978.3400000000001</v>
      </c>
      <c r="AE7" s="35">
        <f t="shared" si="1"/>
        <v>1993.3400000000001</v>
      </c>
      <c r="AF7" s="35">
        <f t="shared" si="1"/>
        <v>1957.1399999999999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91</v>
      </c>
      <c r="C11" s="45">
        <v>91</v>
      </c>
      <c r="D11" s="45">
        <v>91</v>
      </c>
      <c r="E11" s="45">
        <v>86</v>
      </c>
      <c r="F11" s="45">
        <v>90.1</v>
      </c>
      <c r="G11" s="45">
        <v>90.1</v>
      </c>
      <c r="H11" s="45">
        <v>90.1</v>
      </c>
      <c r="I11" s="45">
        <v>85</v>
      </c>
      <c r="J11" s="45">
        <v>85</v>
      </c>
      <c r="K11" s="45">
        <v>85</v>
      </c>
      <c r="L11" s="45">
        <v>85</v>
      </c>
      <c r="M11" s="45">
        <v>85</v>
      </c>
      <c r="N11" s="45">
        <v>90.2</v>
      </c>
      <c r="O11" s="45">
        <v>90.2</v>
      </c>
      <c r="P11" s="45">
        <v>90.2</v>
      </c>
      <c r="Q11" s="45">
        <v>90.2</v>
      </c>
      <c r="R11" s="45">
        <v>90.2</v>
      </c>
      <c r="S11" s="45">
        <v>90.2</v>
      </c>
      <c r="T11" s="45">
        <v>90.2</v>
      </c>
      <c r="U11" s="45">
        <v>90.2</v>
      </c>
      <c r="V11" s="45">
        <v>90.2</v>
      </c>
      <c r="W11" s="45">
        <v>90.2</v>
      </c>
      <c r="X11" s="45">
        <v>90.2</v>
      </c>
      <c r="Y11" s="45">
        <v>90.2</v>
      </c>
      <c r="Z11" s="45">
        <v>90.2</v>
      </c>
      <c r="AA11" s="45">
        <v>90.2</v>
      </c>
      <c r="AB11" s="45">
        <v>90.2</v>
      </c>
      <c r="AC11" s="45">
        <v>90.1</v>
      </c>
      <c r="AD11" s="45">
        <v>90.1</v>
      </c>
      <c r="AE11" s="45">
        <v>90.1</v>
      </c>
      <c r="AF11" s="45">
        <v>90.1</v>
      </c>
      <c r="AG11" s="46">
        <v>86</v>
      </c>
      <c r="AH11" s="47">
        <f t="shared" ref="AH11:AH76" si="2">MAX(B11:AF11)</f>
        <v>91</v>
      </c>
      <c r="AI11" s="48">
        <f t="shared" ref="AI11:AI76" si="3">MIN(B11:AF11)</f>
        <v>85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16.2</v>
      </c>
      <c r="C12" s="45">
        <v>16.2</v>
      </c>
      <c r="D12" s="45">
        <v>8</v>
      </c>
      <c r="E12" s="45">
        <v>0</v>
      </c>
      <c r="F12" s="45">
        <v>10</v>
      </c>
      <c r="G12" s="45">
        <v>10</v>
      </c>
      <c r="H12" s="45">
        <v>10</v>
      </c>
      <c r="I12" s="45">
        <v>10</v>
      </c>
      <c r="J12" s="45">
        <v>16</v>
      </c>
      <c r="K12" s="45">
        <v>16</v>
      </c>
      <c r="L12" s="45">
        <v>16</v>
      </c>
      <c r="M12" s="45">
        <v>26</v>
      </c>
      <c r="N12" s="45">
        <v>26</v>
      </c>
      <c r="O12" s="45">
        <v>26</v>
      </c>
      <c r="P12" s="45">
        <v>26</v>
      </c>
      <c r="Q12" s="45">
        <v>26</v>
      </c>
      <c r="R12" s="45">
        <v>26</v>
      </c>
      <c r="S12" s="45">
        <v>26</v>
      </c>
      <c r="T12" s="45">
        <v>26</v>
      </c>
      <c r="U12" s="45">
        <v>0</v>
      </c>
      <c r="V12" s="45">
        <v>11</v>
      </c>
      <c r="W12" s="45">
        <v>11</v>
      </c>
      <c r="X12" s="45">
        <v>11</v>
      </c>
      <c r="Y12" s="45">
        <v>18</v>
      </c>
      <c r="Z12" s="45">
        <v>27</v>
      </c>
      <c r="AA12" s="45">
        <v>27</v>
      </c>
      <c r="AB12" s="45">
        <v>27</v>
      </c>
      <c r="AC12" s="45">
        <v>17</v>
      </c>
      <c r="AD12" s="45">
        <v>17</v>
      </c>
      <c r="AE12" s="45">
        <v>17</v>
      </c>
      <c r="AF12" s="45">
        <v>13</v>
      </c>
      <c r="AG12" s="49">
        <v>54</v>
      </c>
      <c r="AH12" s="47">
        <f t="shared" si="2"/>
        <v>27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55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>
        <v>55</v>
      </c>
      <c r="K13" s="45">
        <v>55</v>
      </c>
      <c r="L13" s="45">
        <v>55</v>
      </c>
      <c r="M13" s="45">
        <v>55</v>
      </c>
      <c r="N13" s="45">
        <v>55</v>
      </c>
      <c r="O13" s="45">
        <v>55</v>
      </c>
      <c r="P13" s="45">
        <v>55</v>
      </c>
      <c r="Q13" s="45">
        <v>55</v>
      </c>
      <c r="R13" s="45">
        <v>55</v>
      </c>
      <c r="S13" s="45">
        <v>55</v>
      </c>
      <c r="T13" s="45">
        <v>55</v>
      </c>
      <c r="U13" s="45">
        <v>55</v>
      </c>
      <c r="V13" s="45">
        <v>55</v>
      </c>
      <c r="W13" s="45">
        <v>55</v>
      </c>
      <c r="X13" s="45">
        <v>55</v>
      </c>
      <c r="Y13" s="45">
        <v>55</v>
      </c>
      <c r="Z13" s="45">
        <v>55</v>
      </c>
      <c r="AA13" s="45">
        <v>55</v>
      </c>
      <c r="AB13" s="45">
        <v>55</v>
      </c>
      <c r="AC13" s="45">
        <v>55</v>
      </c>
      <c r="AD13" s="45">
        <v>55</v>
      </c>
      <c r="AE13" s="45">
        <v>55</v>
      </c>
      <c r="AF13" s="45">
        <v>55</v>
      </c>
      <c r="AG13" s="46">
        <v>52.4</v>
      </c>
      <c r="AH13" s="47">
        <f t="shared" si="2"/>
        <v>55</v>
      </c>
      <c r="AI13" s="48">
        <f t="shared" si="3"/>
        <v>55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50.4</v>
      </c>
      <c r="C14" s="58">
        <v>50.4</v>
      </c>
      <c r="D14" s="58">
        <v>50.4</v>
      </c>
      <c r="E14" s="58">
        <v>50.4</v>
      </c>
      <c r="F14" s="58">
        <v>50.5</v>
      </c>
      <c r="G14" s="58">
        <v>50.5</v>
      </c>
      <c r="H14" s="58">
        <v>50.5</v>
      </c>
      <c r="I14" s="58">
        <v>50.5</v>
      </c>
      <c r="J14" s="58">
        <v>50.5</v>
      </c>
      <c r="K14" s="58">
        <v>50.5</v>
      </c>
      <c r="L14" s="58">
        <v>50.5</v>
      </c>
      <c r="M14" s="58">
        <v>50.5</v>
      </c>
      <c r="N14" s="58">
        <v>50.5</v>
      </c>
      <c r="O14" s="58">
        <v>50.5</v>
      </c>
      <c r="P14" s="58">
        <v>50.5</v>
      </c>
      <c r="Q14" s="58">
        <v>50.5</v>
      </c>
      <c r="R14" s="58">
        <v>50.5</v>
      </c>
      <c r="S14" s="58">
        <v>50.5</v>
      </c>
      <c r="T14" s="58">
        <v>50.5</v>
      </c>
      <c r="U14" s="58">
        <v>50.5</v>
      </c>
      <c r="V14" s="58">
        <v>50.5</v>
      </c>
      <c r="W14" s="58">
        <v>50.5</v>
      </c>
      <c r="X14" s="58">
        <v>50.5</v>
      </c>
      <c r="Y14" s="58">
        <v>50.5</v>
      </c>
      <c r="Z14" s="58">
        <v>50.5</v>
      </c>
      <c r="AA14" s="58">
        <v>50.5</v>
      </c>
      <c r="AB14" s="58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49">
        <v>50</v>
      </c>
      <c r="AH14" s="47">
        <f t="shared" si="2"/>
        <v>50.5</v>
      </c>
      <c r="AI14" s="48">
        <f t="shared" si="3"/>
        <v>50.4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</v>
      </c>
      <c r="C15" s="45">
        <v>46</v>
      </c>
      <c r="D15" s="45">
        <v>46</v>
      </c>
      <c r="E15" s="45">
        <v>46</v>
      </c>
      <c r="F15" s="45">
        <v>46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40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46.3</v>
      </c>
      <c r="AD15" s="45">
        <v>46.3</v>
      </c>
      <c r="AE15" s="45">
        <v>46.3</v>
      </c>
      <c r="AF15" s="45">
        <v>46.3</v>
      </c>
      <c r="AG15" s="49">
        <v>45</v>
      </c>
      <c r="AH15" s="47">
        <f t="shared" si="2"/>
        <v>46.3</v>
      </c>
      <c r="AI15" s="48">
        <f t="shared" si="3"/>
        <v>40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31.5</v>
      </c>
      <c r="C17" s="45">
        <v>31.5</v>
      </c>
      <c r="D17" s="45">
        <v>28</v>
      </c>
      <c r="E17" s="45">
        <v>28</v>
      </c>
      <c r="F17" s="45">
        <v>28</v>
      </c>
      <c r="G17" s="45">
        <v>28</v>
      </c>
      <c r="H17" s="45">
        <v>28</v>
      </c>
      <c r="I17" s="45">
        <v>28</v>
      </c>
      <c r="J17" s="45">
        <v>28</v>
      </c>
      <c r="K17" s="45">
        <v>29</v>
      </c>
      <c r="L17" s="45">
        <v>29</v>
      </c>
      <c r="M17" s="45">
        <v>29</v>
      </c>
      <c r="N17" s="45">
        <v>29</v>
      </c>
      <c r="O17" s="45">
        <v>29</v>
      </c>
      <c r="P17" s="45">
        <v>29</v>
      </c>
      <c r="Q17" s="45">
        <v>29</v>
      </c>
      <c r="R17" s="45">
        <v>29</v>
      </c>
      <c r="S17" s="45">
        <v>29</v>
      </c>
      <c r="T17" s="45">
        <v>29</v>
      </c>
      <c r="U17" s="45">
        <v>29</v>
      </c>
      <c r="V17" s="45">
        <v>30</v>
      </c>
      <c r="W17" s="45">
        <v>30</v>
      </c>
      <c r="X17" s="45">
        <v>30</v>
      </c>
      <c r="Y17" s="45">
        <v>30</v>
      </c>
      <c r="Z17" s="45">
        <v>30</v>
      </c>
      <c r="AA17" s="45">
        <v>37</v>
      </c>
      <c r="AB17" s="45">
        <v>37</v>
      </c>
      <c r="AC17" s="45">
        <v>31.5</v>
      </c>
      <c r="AD17" s="45">
        <v>31.5</v>
      </c>
      <c r="AE17" s="45">
        <v>31.5</v>
      </c>
      <c r="AF17" s="45">
        <v>31.5</v>
      </c>
      <c r="AG17" s="49">
        <v>42</v>
      </c>
      <c r="AH17" s="47">
        <f t="shared" si="2"/>
        <v>37</v>
      </c>
      <c r="AI17" s="48">
        <f t="shared" si="3"/>
        <v>28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24</v>
      </c>
      <c r="L19" s="45">
        <v>24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24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5</v>
      </c>
      <c r="E20" s="45">
        <v>0</v>
      </c>
      <c r="F20" s="45">
        <v>5</v>
      </c>
      <c r="G20" s="45">
        <v>5</v>
      </c>
      <c r="H20" s="45">
        <v>5.4</v>
      </c>
      <c r="I20" s="45">
        <v>5.4</v>
      </c>
      <c r="J20" s="45">
        <v>5.4</v>
      </c>
      <c r="K20" s="45">
        <v>16</v>
      </c>
      <c r="L20" s="45">
        <v>30</v>
      </c>
      <c r="M20" s="45">
        <v>30</v>
      </c>
      <c r="N20" s="45">
        <v>15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10.199999999999999</v>
      </c>
      <c r="V20" s="45">
        <v>6</v>
      </c>
      <c r="W20" s="45">
        <v>6</v>
      </c>
      <c r="X20" s="45">
        <v>6</v>
      </c>
      <c r="Y20" s="45">
        <v>10</v>
      </c>
      <c r="Z20" s="45">
        <v>15</v>
      </c>
      <c r="AA20" s="45">
        <v>15</v>
      </c>
      <c r="AB20" s="45">
        <v>15</v>
      </c>
      <c r="AC20" s="45">
        <v>15.7</v>
      </c>
      <c r="AD20" s="45">
        <v>15.7</v>
      </c>
      <c r="AE20" s="45">
        <v>15.7</v>
      </c>
      <c r="AF20" s="45">
        <v>9</v>
      </c>
      <c r="AG20" s="51">
        <v>30</v>
      </c>
      <c r="AH20" s="47">
        <f t="shared" si="2"/>
        <v>30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20.8</v>
      </c>
      <c r="C21" s="45">
        <v>20.8</v>
      </c>
      <c r="D21" s="45">
        <v>20.8</v>
      </c>
      <c r="E21" s="45">
        <v>20.8</v>
      </c>
      <c r="F21" s="45">
        <v>20.8</v>
      </c>
      <c r="G21" s="45">
        <v>20.8</v>
      </c>
      <c r="H21" s="45">
        <v>20.8</v>
      </c>
      <c r="I21" s="45">
        <v>20.8</v>
      </c>
      <c r="J21" s="45">
        <v>20.8</v>
      </c>
      <c r="K21" s="45">
        <v>20.8</v>
      </c>
      <c r="L21" s="45">
        <v>20.8</v>
      </c>
      <c r="M21" s="45">
        <v>20.8</v>
      </c>
      <c r="N21" s="45">
        <v>20.8</v>
      </c>
      <c r="O21" s="45">
        <v>20.8</v>
      </c>
      <c r="P21" s="45">
        <v>20.8</v>
      </c>
      <c r="Q21" s="45">
        <v>20.8</v>
      </c>
      <c r="R21" s="45">
        <v>20.8</v>
      </c>
      <c r="S21" s="45">
        <v>20.8</v>
      </c>
      <c r="T21" s="45">
        <v>20.8</v>
      </c>
      <c r="U21" s="45">
        <v>20.8</v>
      </c>
      <c r="V21" s="45">
        <v>20.8</v>
      </c>
      <c r="W21" s="45">
        <v>20.8</v>
      </c>
      <c r="X21" s="45">
        <v>20.8</v>
      </c>
      <c r="Y21" s="45">
        <v>20.8</v>
      </c>
      <c r="Z21" s="45">
        <v>20.8</v>
      </c>
      <c r="AA21" s="45">
        <v>20.8</v>
      </c>
      <c r="AB21" s="45">
        <v>20.8</v>
      </c>
      <c r="AC21" s="45">
        <v>20.8</v>
      </c>
      <c r="AD21" s="45">
        <v>20.8</v>
      </c>
      <c r="AE21" s="45">
        <v>20.8</v>
      </c>
      <c r="AF21" s="45">
        <v>20.8</v>
      </c>
      <c r="AG21" s="49">
        <v>24.2</v>
      </c>
      <c r="AH21" s="47">
        <f t="shared" si="2"/>
        <v>20.8</v>
      </c>
      <c r="AI21" s="48">
        <f t="shared" si="3"/>
        <v>20.8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21</v>
      </c>
      <c r="C22" s="45">
        <v>21</v>
      </c>
      <c r="D22" s="45">
        <v>21</v>
      </c>
      <c r="E22" s="45">
        <v>21</v>
      </c>
      <c r="F22" s="45">
        <v>21</v>
      </c>
      <c r="G22" s="45">
        <v>21</v>
      </c>
      <c r="H22" s="45">
        <v>21</v>
      </c>
      <c r="I22" s="45">
        <v>21</v>
      </c>
      <c r="J22" s="45">
        <v>21</v>
      </c>
      <c r="K22" s="45">
        <v>21</v>
      </c>
      <c r="L22" s="45">
        <v>21</v>
      </c>
      <c r="M22" s="45">
        <v>21</v>
      </c>
      <c r="N22" s="45">
        <v>21</v>
      </c>
      <c r="O22" s="45">
        <v>21</v>
      </c>
      <c r="P22" s="45">
        <v>21</v>
      </c>
      <c r="Q22" s="45">
        <v>21</v>
      </c>
      <c r="R22" s="45">
        <v>21</v>
      </c>
      <c r="S22" s="45">
        <v>21</v>
      </c>
      <c r="T22" s="45">
        <v>21</v>
      </c>
      <c r="U22" s="45">
        <v>21</v>
      </c>
      <c r="V22" s="45">
        <v>21</v>
      </c>
      <c r="W22" s="45">
        <v>21</v>
      </c>
      <c r="X22" s="45">
        <v>21</v>
      </c>
      <c r="Y22" s="45">
        <v>21</v>
      </c>
      <c r="Z22" s="45">
        <v>21</v>
      </c>
      <c r="AA22" s="45">
        <v>21</v>
      </c>
      <c r="AB22" s="45">
        <v>21</v>
      </c>
      <c r="AC22" s="45">
        <v>21</v>
      </c>
      <c r="AD22" s="45">
        <v>21</v>
      </c>
      <c r="AE22" s="45">
        <v>21</v>
      </c>
      <c r="AF22" s="45">
        <v>21</v>
      </c>
      <c r="AG22" s="49">
        <v>28</v>
      </c>
      <c r="AH22" s="47">
        <f t="shared" si="2"/>
        <v>21</v>
      </c>
      <c r="AI22" s="48">
        <f t="shared" si="3"/>
        <v>21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3</v>
      </c>
      <c r="C23" s="45">
        <v>9</v>
      </c>
      <c r="D23" s="45">
        <v>5</v>
      </c>
      <c r="E23" s="45">
        <v>0</v>
      </c>
      <c r="F23" s="45">
        <v>3</v>
      </c>
      <c r="G23" s="45">
        <v>3</v>
      </c>
      <c r="H23" s="45">
        <v>3</v>
      </c>
      <c r="I23" s="45">
        <v>3</v>
      </c>
      <c r="J23" s="45">
        <v>3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5.5</v>
      </c>
      <c r="W23" s="45">
        <v>5.5</v>
      </c>
      <c r="X23" s="45">
        <v>5.5</v>
      </c>
      <c r="Y23" s="45">
        <v>9</v>
      </c>
      <c r="Z23" s="45">
        <v>18</v>
      </c>
      <c r="AA23" s="45">
        <v>18</v>
      </c>
      <c r="AB23" s="45">
        <v>18</v>
      </c>
      <c r="AC23" s="45">
        <v>9</v>
      </c>
      <c r="AD23" s="45">
        <v>9</v>
      </c>
      <c r="AE23" s="45">
        <v>9</v>
      </c>
      <c r="AF23" s="45">
        <v>7</v>
      </c>
      <c r="AG23" s="51">
        <v>30</v>
      </c>
      <c r="AH23" s="47">
        <f t="shared" si="2"/>
        <v>18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26.2</v>
      </c>
      <c r="C24" s="45">
        <v>26.2</v>
      </c>
      <c r="D24" s="45">
        <v>26.2</v>
      </c>
      <c r="E24" s="45">
        <v>24.3</v>
      </c>
      <c r="F24" s="45">
        <v>24.3</v>
      </c>
      <c r="G24" s="45">
        <v>24.3</v>
      </c>
      <c r="H24" s="45">
        <v>24.3</v>
      </c>
      <c r="I24" s="45">
        <v>24.3</v>
      </c>
      <c r="J24" s="45">
        <v>24.3</v>
      </c>
      <c r="K24" s="45">
        <v>24</v>
      </c>
      <c r="L24" s="45">
        <v>24</v>
      </c>
      <c r="M24" s="45">
        <v>24</v>
      </c>
      <c r="N24" s="45">
        <v>24.4</v>
      </c>
      <c r="O24" s="45">
        <v>24.4</v>
      </c>
      <c r="P24" s="45">
        <v>24.4</v>
      </c>
      <c r="Q24" s="45">
        <v>24.4</v>
      </c>
      <c r="R24" s="45">
        <v>24.4</v>
      </c>
      <c r="S24" s="45">
        <v>24.4</v>
      </c>
      <c r="T24" s="45">
        <v>24.4</v>
      </c>
      <c r="U24" s="45">
        <v>24.4</v>
      </c>
      <c r="V24" s="45">
        <v>24.4</v>
      </c>
      <c r="W24" s="45">
        <v>24.4</v>
      </c>
      <c r="X24" s="45">
        <v>24.4</v>
      </c>
      <c r="Y24" s="45">
        <v>24.4</v>
      </c>
      <c r="Z24" s="45">
        <v>24.4</v>
      </c>
      <c r="AA24" s="45">
        <v>24.4</v>
      </c>
      <c r="AB24" s="45">
        <v>24.4</v>
      </c>
      <c r="AC24" s="45">
        <v>24.4</v>
      </c>
      <c r="AD24" s="45">
        <v>24.4</v>
      </c>
      <c r="AE24" s="45">
        <v>24.4</v>
      </c>
      <c r="AF24" s="45">
        <v>24.4</v>
      </c>
      <c r="AG24" s="49">
        <v>25</v>
      </c>
      <c r="AH24" s="47">
        <f t="shared" si="2"/>
        <v>26.2</v>
      </c>
      <c r="AI24" s="48">
        <f t="shared" si="3"/>
        <v>24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7</v>
      </c>
      <c r="C27" s="45">
        <v>10</v>
      </c>
      <c r="D27" s="45">
        <v>5</v>
      </c>
      <c r="E27" s="45">
        <v>0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12</v>
      </c>
      <c r="L27" s="45">
        <v>12</v>
      </c>
      <c r="M27" s="45">
        <v>25</v>
      </c>
      <c r="N27" s="45">
        <v>12.5</v>
      </c>
      <c r="O27" s="45">
        <v>12.5</v>
      </c>
      <c r="P27" s="45">
        <v>12.5</v>
      </c>
      <c r="Q27" s="45">
        <v>12.5</v>
      </c>
      <c r="R27" s="45">
        <v>12.5</v>
      </c>
      <c r="S27" s="45">
        <v>12.5</v>
      </c>
      <c r="T27" s="45">
        <v>12.5</v>
      </c>
      <c r="U27" s="45">
        <v>9</v>
      </c>
      <c r="V27" s="45">
        <v>5</v>
      </c>
      <c r="W27" s="45">
        <v>5</v>
      </c>
      <c r="X27" s="45">
        <v>5</v>
      </c>
      <c r="Y27" s="45">
        <v>9</v>
      </c>
      <c r="Z27" s="45">
        <v>12.5</v>
      </c>
      <c r="AA27" s="45">
        <v>12.5</v>
      </c>
      <c r="AB27" s="45">
        <v>12.5</v>
      </c>
      <c r="AC27" s="45">
        <v>12.5</v>
      </c>
      <c r="AD27" s="45">
        <v>12.5</v>
      </c>
      <c r="AE27" s="45">
        <v>12.5</v>
      </c>
      <c r="AF27" s="45">
        <v>6</v>
      </c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25.2</v>
      </c>
      <c r="C28" s="45">
        <v>25.2</v>
      </c>
      <c r="D28" s="45">
        <v>25.2</v>
      </c>
      <c r="E28" s="45">
        <v>25.2</v>
      </c>
      <c r="F28" s="45">
        <v>25.2</v>
      </c>
      <c r="G28" s="45">
        <v>25.2</v>
      </c>
      <c r="H28" s="45">
        <v>25.2</v>
      </c>
      <c r="I28" s="45">
        <v>25.2</v>
      </c>
      <c r="J28" s="45">
        <v>25.2</v>
      </c>
      <c r="K28" s="45">
        <v>25</v>
      </c>
      <c r="L28" s="45">
        <v>25</v>
      </c>
      <c r="M28" s="45">
        <v>25</v>
      </c>
      <c r="N28" s="45">
        <v>25</v>
      </c>
      <c r="O28" s="45">
        <v>25</v>
      </c>
      <c r="P28" s="45">
        <v>25</v>
      </c>
      <c r="Q28" s="45">
        <v>25</v>
      </c>
      <c r="R28" s="45">
        <v>25</v>
      </c>
      <c r="S28" s="45">
        <v>25</v>
      </c>
      <c r="T28" s="45">
        <v>25</v>
      </c>
      <c r="U28" s="45">
        <v>25</v>
      </c>
      <c r="V28" s="45">
        <v>25</v>
      </c>
      <c r="W28" s="45">
        <v>25</v>
      </c>
      <c r="X28" s="45">
        <v>25</v>
      </c>
      <c r="Y28" s="45">
        <v>25</v>
      </c>
      <c r="Z28" s="45">
        <v>25</v>
      </c>
      <c r="AA28" s="45">
        <v>25</v>
      </c>
      <c r="AB28" s="45">
        <v>25</v>
      </c>
      <c r="AC28" s="45">
        <v>25</v>
      </c>
      <c r="AD28" s="45">
        <v>25</v>
      </c>
      <c r="AE28" s="45">
        <v>25</v>
      </c>
      <c r="AF28" s="45">
        <v>25</v>
      </c>
      <c r="AG28" s="49">
        <v>23.5</v>
      </c>
      <c r="AH28" s="47">
        <f t="shared" si="2"/>
        <v>25.2</v>
      </c>
      <c r="AI28" s="48">
        <f t="shared" si="3"/>
        <v>25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26.5</v>
      </c>
      <c r="C32" s="45">
        <v>26.5</v>
      </c>
      <c r="D32" s="45">
        <v>26.5</v>
      </c>
      <c r="E32" s="45">
        <v>27</v>
      </c>
      <c r="F32" s="45">
        <v>27</v>
      </c>
      <c r="G32" s="45">
        <v>27</v>
      </c>
      <c r="H32" s="45">
        <v>27</v>
      </c>
      <c r="I32" s="45">
        <v>27</v>
      </c>
      <c r="J32" s="45">
        <v>27</v>
      </c>
      <c r="K32" s="45">
        <v>20.6</v>
      </c>
      <c r="L32" s="45">
        <v>20.6</v>
      </c>
      <c r="M32" s="45">
        <v>20.6</v>
      </c>
      <c r="N32" s="45">
        <v>20.6</v>
      </c>
      <c r="O32" s="45">
        <v>20.6</v>
      </c>
      <c r="P32" s="45">
        <v>20.6</v>
      </c>
      <c r="Q32" s="45">
        <v>20.6</v>
      </c>
      <c r="R32" s="45">
        <v>20.6</v>
      </c>
      <c r="S32" s="45">
        <v>20.6</v>
      </c>
      <c r="T32" s="45">
        <v>20.6</v>
      </c>
      <c r="U32" s="45">
        <v>20.6</v>
      </c>
      <c r="V32" s="45">
        <v>20.6</v>
      </c>
      <c r="W32" s="45">
        <v>20.6</v>
      </c>
      <c r="X32" s="45">
        <v>20.6</v>
      </c>
      <c r="Y32" s="45">
        <v>20.6</v>
      </c>
      <c r="Z32" s="45">
        <v>20.6</v>
      </c>
      <c r="AA32" s="45">
        <v>20.6</v>
      </c>
      <c r="AB32" s="45">
        <v>20.6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27</v>
      </c>
      <c r="AI32" s="48">
        <f t="shared" si="3"/>
        <v>20.6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8</v>
      </c>
      <c r="K33" s="45">
        <v>10</v>
      </c>
      <c r="L33" s="45">
        <v>10</v>
      </c>
      <c r="M33" s="45">
        <v>10</v>
      </c>
      <c r="N33" s="45">
        <v>12</v>
      </c>
      <c r="O33" s="45">
        <v>12</v>
      </c>
      <c r="P33" s="45">
        <v>12</v>
      </c>
      <c r="Q33" s="45">
        <v>12</v>
      </c>
      <c r="R33" s="45">
        <v>12</v>
      </c>
      <c r="S33" s="45">
        <v>12</v>
      </c>
      <c r="T33" s="45">
        <v>12</v>
      </c>
      <c r="U33" s="45">
        <v>12</v>
      </c>
      <c r="V33" s="45">
        <v>12</v>
      </c>
      <c r="W33" s="45">
        <v>8</v>
      </c>
      <c r="X33" s="45">
        <v>4</v>
      </c>
      <c r="Y33" s="45">
        <v>4</v>
      </c>
      <c r="Z33" s="45">
        <v>10</v>
      </c>
      <c r="AA33" s="45">
        <v>10</v>
      </c>
      <c r="AB33" s="45">
        <v>10</v>
      </c>
      <c r="AC33" s="45">
        <v>5</v>
      </c>
      <c r="AD33" s="45">
        <v>5</v>
      </c>
      <c r="AE33" s="45">
        <v>10</v>
      </c>
      <c r="AF33" s="45">
        <v>5</v>
      </c>
      <c r="AG33" s="49">
        <v>20</v>
      </c>
      <c r="AH33" s="47">
        <f t="shared" si="2"/>
        <v>12</v>
      </c>
      <c r="AI33" s="48">
        <f t="shared" si="3"/>
        <v>4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4</v>
      </c>
      <c r="C34" s="45">
        <v>0</v>
      </c>
      <c r="D34" s="45">
        <v>0</v>
      </c>
      <c r="E34" s="45">
        <v>0</v>
      </c>
      <c r="F34" s="45">
        <v>5</v>
      </c>
      <c r="G34" s="45">
        <v>8</v>
      </c>
      <c r="H34" s="45">
        <v>8</v>
      </c>
      <c r="I34" s="45">
        <v>8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3.5</v>
      </c>
      <c r="X34" s="45">
        <v>3.5</v>
      </c>
      <c r="Y34" s="45">
        <v>3.5</v>
      </c>
      <c r="Z34" s="45">
        <v>8</v>
      </c>
      <c r="AA34" s="45">
        <v>8</v>
      </c>
      <c r="AB34" s="45">
        <v>8</v>
      </c>
      <c r="AC34" s="45">
        <v>5</v>
      </c>
      <c r="AD34" s="45">
        <v>5</v>
      </c>
      <c r="AE34" s="45">
        <v>5</v>
      </c>
      <c r="AF34" s="45">
        <v>5</v>
      </c>
      <c r="AG34" s="49">
        <v>18</v>
      </c>
      <c r="AH34" s="47">
        <f t="shared" si="2"/>
        <v>8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4</v>
      </c>
      <c r="C39" s="45">
        <v>6</v>
      </c>
      <c r="D39" s="45">
        <v>2</v>
      </c>
      <c r="E39" s="45">
        <v>0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12</v>
      </c>
      <c r="N39" s="45">
        <v>6</v>
      </c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4</v>
      </c>
      <c r="V39" s="45">
        <v>4</v>
      </c>
      <c r="W39" s="45">
        <v>4</v>
      </c>
      <c r="X39" s="45">
        <v>4</v>
      </c>
      <c r="Y39" s="45">
        <v>4</v>
      </c>
      <c r="Z39" s="45">
        <v>6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6</v>
      </c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7.9</v>
      </c>
      <c r="X40" s="45">
        <v>7.9</v>
      </c>
      <c r="Y40" s="45">
        <v>7.9</v>
      </c>
      <c r="Z40" s="45">
        <v>7.9</v>
      </c>
      <c r="AA40" s="45">
        <v>7.9</v>
      </c>
      <c r="AB40" s="45">
        <v>7.9</v>
      </c>
      <c r="AC40" s="45">
        <v>7.9</v>
      </c>
      <c r="AD40" s="45">
        <v>7.9</v>
      </c>
      <c r="AE40" s="45">
        <v>7.9</v>
      </c>
      <c r="AF40" s="45">
        <v>7.9</v>
      </c>
      <c r="AG40" s="49">
        <v>12</v>
      </c>
      <c r="AH40" s="47">
        <f t="shared" si="2"/>
        <v>12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12</v>
      </c>
      <c r="C41" s="45">
        <v>12</v>
      </c>
      <c r="D41" s="45">
        <v>12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7</v>
      </c>
      <c r="L41" s="45">
        <v>7</v>
      </c>
      <c r="M41" s="45">
        <v>7</v>
      </c>
      <c r="N41" s="45">
        <v>7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6</v>
      </c>
      <c r="X41" s="45">
        <v>6</v>
      </c>
      <c r="Y41" s="45">
        <v>6</v>
      </c>
      <c r="Z41" s="45">
        <v>6</v>
      </c>
      <c r="AA41" s="45">
        <v>6</v>
      </c>
      <c r="AB41" s="45">
        <v>6</v>
      </c>
      <c r="AC41" s="45">
        <v>6</v>
      </c>
      <c r="AD41" s="45">
        <v>6</v>
      </c>
      <c r="AE41" s="45">
        <v>6</v>
      </c>
      <c r="AF41" s="45">
        <v>6</v>
      </c>
      <c r="AG41" s="49">
        <v>12</v>
      </c>
      <c r="AH41" s="47">
        <f t="shared" si="2"/>
        <v>12</v>
      </c>
      <c r="AI41" s="48">
        <f t="shared" si="3"/>
        <v>6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</v>
      </c>
      <c r="C43" s="45">
        <v>11</v>
      </c>
      <c r="D43" s="45">
        <v>11</v>
      </c>
      <c r="E43" s="45">
        <v>11</v>
      </c>
      <c r="F43" s="45">
        <v>11</v>
      </c>
      <c r="G43" s="45">
        <v>11</v>
      </c>
      <c r="H43" s="45">
        <v>11</v>
      </c>
      <c r="I43" s="45">
        <v>11</v>
      </c>
      <c r="J43" s="45">
        <v>11</v>
      </c>
      <c r="K43" s="45">
        <v>11</v>
      </c>
      <c r="L43" s="45">
        <v>11</v>
      </c>
      <c r="M43" s="45">
        <v>11</v>
      </c>
      <c r="N43" s="45">
        <v>11</v>
      </c>
      <c r="O43" s="45">
        <v>11</v>
      </c>
      <c r="P43" s="45">
        <v>11</v>
      </c>
      <c r="Q43" s="45">
        <v>11</v>
      </c>
      <c r="R43" s="45">
        <v>11</v>
      </c>
      <c r="S43" s="45">
        <v>11</v>
      </c>
      <c r="T43" s="45">
        <v>11</v>
      </c>
      <c r="U43" s="45">
        <v>11</v>
      </c>
      <c r="V43" s="45">
        <v>11</v>
      </c>
      <c r="W43" s="45">
        <v>11</v>
      </c>
      <c r="X43" s="45">
        <v>11</v>
      </c>
      <c r="Y43" s="45">
        <v>11</v>
      </c>
      <c r="Z43" s="45">
        <v>11</v>
      </c>
      <c r="AA43" s="45">
        <v>11</v>
      </c>
      <c r="AB43" s="45">
        <v>11</v>
      </c>
      <c r="AC43" s="45">
        <v>11</v>
      </c>
      <c r="AD43" s="45">
        <v>11</v>
      </c>
      <c r="AE43" s="45">
        <v>11</v>
      </c>
      <c r="AF43" s="45">
        <v>11</v>
      </c>
      <c r="AG43" s="51">
        <v>11.88</v>
      </c>
      <c r="AH43" s="47">
        <f t="shared" si="2"/>
        <v>11</v>
      </c>
      <c r="AI43" s="48">
        <f t="shared" si="3"/>
        <v>11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>
        <v>106</v>
      </c>
      <c r="C49" s="56">
        <v>106</v>
      </c>
      <c r="D49" s="56">
        <v>106</v>
      </c>
      <c r="E49" s="58">
        <v>100</v>
      </c>
      <c r="F49" s="58">
        <v>100</v>
      </c>
      <c r="G49" s="58">
        <v>100</v>
      </c>
      <c r="H49" s="58">
        <v>100</v>
      </c>
      <c r="I49" s="58">
        <v>100</v>
      </c>
      <c r="J49" s="58">
        <v>100</v>
      </c>
      <c r="K49" s="58">
        <v>100</v>
      </c>
      <c r="L49" s="58">
        <f>83.6+22.6</f>
        <v>106.19999999999999</v>
      </c>
      <c r="M49" s="58">
        <f>83.6+22.6</f>
        <v>106.19999999999999</v>
      </c>
      <c r="N49" s="58">
        <f>83.6+22.6</f>
        <v>106.19999999999999</v>
      </c>
      <c r="O49" s="58">
        <f t="shared" ref="O49:R49" si="4">83.6+22.6</f>
        <v>106.19999999999999</v>
      </c>
      <c r="P49" s="58">
        <f t="shared" si="4"/>
        <v>106.19999999999999</v>
      </c>
      <c r="Q49" s="58">
        <f t="shared" si="4"/>
        <v>106.19999999999999</v>
      </c>
      <c r="R49" s="58">
        <f t="shared" si="4"/>
        <v>106.19999999999999</v>
      </c>
      <c r="S49" s="58">
        <v>106.9</v>
      </c>
      <c r="T49" s="58">
        <v>105.9</v>
      </c>
      <c r="U49" s="58">
        <v>105.9</v>
      </c>
      <c r="V49" s="58">
        <v>106.6</v>
      </c>
      <c r="W49" s="58">
        <v>106.6</v>
      </c>
      <c r="X49" s="56">
        <v>105.6</v>
      </c>
      <c r="Y49" s="56"/>
      <c r="Z49" s="56">
        <v>103.4</v>
      </c>
      <c r="AA49" s="56">
        <v>104</v>
      </c>
      <c r="AB49" s="56">
        <v>104</v>
      </c>
      <c r="AC49" s="56">
        <v>104</v>
      </c>
      <c r="AD49" s="56">
        <v>104</v>
      </c>
      <c r="AE49" s="56">
        <v>104</v>
      </c>
      <c r="AF49" s="56">
        <v>107</v>
      </c>
      <c r="AG49" s="54">
        <v>240</v>
      </c>
      <c r="AH49" s="47">
        <f t="shared" si="2"/>
        <v>107</v>
      </c>
      <c r="AI49" s="48">
        <f t="shared" si="3"/>
        <v>100</v>
      </c>
      <c r="AK49" s="50"/>
    </row>
    <row r="50" spans="1:41" ht="15.75" thickBot="1" x14ac:dyDescent="0.3">
      <c r="A50" s="59" t="s">
        <v>58</v>
      </c>
      <c r="B50" s="60">
        <f t="shared" ref="B50:AF50" si="5">SUM(B11:B48)</f>
        <v>1021.5000000000001</v>
      </c>
      <c r="C50" s="60">
        <f t="shared" si="5"/>
        <v>1028.5</v>
      </c>
      <c r="D50" s="60">
        <f t="shared" si="5"/>
        <v>998.80000000000007</v>
      </c>
      <c r="E50" s="60">
        <f t="shared" si="5"/>
        <v>962.40000000000009</v>
      </c>
      <c r="F50" s="60">
        <f t="shared" si="5"/>
        <v>997.60000000000014</v>
      </c>
      <c r="G50" s="60">
        <f t="shared" si="5"/>
        <v>1000.6000000000001</v>
      </c>
      <c r="H50" s="60">
        <f t="shared" si="5"/>
        <v>1001.0000000000001</v>
      </c>
      <c r="I50" s="60">
        <f t="shared" si="5"/>
        <v>995.90000000000009</v>
      </c>
      <c r="J50" s="60">
        <f t="shared" si="5"/>
        <v>1004.9000000000001</v>
      </c>
      <c r="K50" s="60">
        <f>SUM(K11:K48)</f>
        <v>1012.6</v>
      </c>
      <c r="L50" s="60">
        <f>SUM(L11:L48)</f>
        <v>1014.6</v>
      </c>
      <c r="M50" s="60">
        <f t="shared" si="5"/>
        <v>1052.5999999999999</v>
      </c>
      <c r="N50" s="60">
        <f t="shared" si="5"/>
        <v>1032.7</v>
      </c>
      <c r="O50" s="60">
        <f t="shared" si="5"/>
        <v>1037.7</v>
      </c>
      <c r="P50" s="60">
        <f t="shared" si="5"/>
        <v>1037.7</v>
      </c>
      <c r="Q50" s="60">
        <f t="shared" si="5"/>
        <v>1037.7</v>
      </c>
      <c r="R50" s="60">
        <f t="shared" si="5"/>
        <v>1037.7</v>
      </c>
      <c r="S50" s="60">
        <f t="shared" si="5"/>
        <v>1037.7</v>
      </c>
      <c r="T50" s="60">
        <f t="shared" si="5"/>
        <v>1037.7</v>
      </c>
      <c r="U50" s="60">
        <f t="shared" si="5"/>
        <v>1001.4</v>
      </c>
      <c r="V50" s="60">
        <f t="shared" si="5"/>
        <v>1001.7</v>
      </c>
      <c r="W50" s="60">
        <f t="shared" si="5"/>
        <v>995.1</v>
      </c>
      <c r="X50" s="60">
        <f t="shared" si="5"/>
        <v>991.1</v>
      </c>
      <c r="Y50" s="60">
        <f t="shared" si="5"/>
        <v>1009.6</v>
      </c>
      <c r="Z50" s="60">
        <f t="shared" si="5"/>
        <v>1048.5999999999999</v>
      </c>
      <c r="AA50" s="60">
        <f t="shared" si="5"/>
        <v>1055.5999999999999</v>
      </c>
      <c r="AB50" s="60">
        <f t="shared" si="5"/>
        <v>1055.5999999999999</v>
      </c>
      <c r="AC50" s="60">
        <f t="shared" si="5"/>
        <v>1025.4000000000001</v>
      </c>
      <c r="AD50" s="60">
        <f t="shared" si="5"/>
        <v>1025.4000000000001</v>
      </c>
      <c r="AE50" s="60">
        <f t="shared" ref="AE50" si="6">SUM(AE11:AE48)</f>
        <v>1030.4000000000001</v>
      </c>
      <c r="AF50" s="60">
        <f t="shared" si="5"/>
        <v>1006.1999999999999</v>
      </c>
      <c r="AG50" s="61">
        <f>SUM(AG13:AG48)</f>
        <v>922.14</v>
      </c>
      <c r="AH50" s="47">
        <f t="shared" si="2"/>
        <v>1055.5999999999999</v>
      </c>
      <c r="AI50" s="48">
        <f t="shared" si="3"/>
        <v>962.40000000000009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60</v>
      </c>
      <c r="AB52" s="64">
        <v>60</v>
      </c>
      <c r="AC52" s="64">
        <v>60</v>
      </c>
      <c r="AD52" s="64">
        <v>60</v>
      </c>
      <c r="AE52" s="64">
        <v>60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12</v>
      </c>
      <c r="AE53" s="66">
        <v>12</v>
      </c>
      <c r="AF53" s="66">
        <v>12</v>
      </c>
      <c r="AG53" s="67">
        <v>22.1</v>
      </c>
      <c r="AH53" s="47">
        <f t="shared" si="2"/>
        <v>22.5</v>
      </c>
      <c r="AI53" s="48">
        <f t="shared" si="3"/>
        <v>12</v>
      </c>
      <c r="AK53" s="50"/>
    </row>
    <row r="54" spans="1:41" ht="15.75" thickBot="1" x14ac:dyDescent="0.3">
      <c r="A54" s="68" t="s">
        <v>62</v>
      </c>
      <c r="B54" s="60">
        <f t="shared" ref="B54:AG54" si="7">SUM(B51:B53)</f>
        <v>533.5</v>
      </c>
      <c r="C54" s="60">
        <f t="shared" si="7"/>
        <v>533.5</v>
      </c>
      <c r="D54" s="60">
        <f t="shared" si="7"/>
        <v>533.5</v>
      </c>
      <c r="E54" s="60">
        <f t="shared" si="7"/>
        <v>533.5</v>
      </c>
      <c r="F54" s="60">
        <f t="shared" si="7"/>
        <v>533.5</v>
      </c>
      <c r="G54" s="60">
        <f t="shared" si="7"/>
        <v>533.5</v>
      </c>
      <c r="H54" s="60">
        <f t="shared" si="7"/>
        <v>533.5</v>
      </c>
      <c r="I54" s="60">
        <f t="shared" si="7"/>
        <v>533.5</v>
      </c>
      <c r="J54" s="60">
        <f t="shared" si="7"/>
        <v>533.5</v>
      </c>
      <c r="K54" s="60">
        <f t="shared" si="7"/>
        <v>533.5</v>
      </c>
      <c r="L54" s="60">
        <f t="shared" si="7"/>
        <v>533.5</v>
      </c>
      <c r="M54" s="60">
        <f t="shared" si="7"/>
        <v>533.5</v>
      </c>
      <c r="N54" s="60">
        <f t="shared" si="7"/>
        <v>533.5</v>
      </c>
      <c r="O54" s="60">
        <f t="shared" si="7"/>
        <v>533.5</v>
      </c>
      <c r="P54" s="60">
        <f t="shared" si="7"/>
        <v>533.5</v>
      </c>
      <c r="Q54" s="60">
        <f t="shared" si="7"/>
        <v>533.5</v>
      </c>
      <c r="R54" s="60">
        <f t="shared" si="7"/>
        <v>533.5</v>
      </c>
      <c r="S54" s="60">
        <f t="shared" si="7"/>
        <v>533.5</v>
      </c>
      <c r="T54" s="60">
        <f t="shared" si="7"/>
        <v>533.5</v>
      </c>
      <c r="U54" s="60">
        <f t="shared" si="7"/>
        <v>533.5</v>
      </c>
      <c r="V54" s="60">
        <f t="shared" si="7"/>
        <v>533.5</v>
      </c>
      <c r="W54" s="60">
        <f t="shared" si="7"/>
        <v>533.5</v>
      </c>
      <c r="X54" s="60">
        <f t="shared" si="7"/>
        <v>533.5</v>
      </c>
      <c r="Y54" s="60">
        <f t="shared" si="7"/>
        <v>533.5</v>
      </c>
      <c r="Z54" s="60">
        <f t="shared" si="7"/>
        <v>533.5</v>
      </c>
      <c r="AA54" s="60">
        <f t="shared" si="7"/>
        <v>538.5</v>
      </c>
      <c r="AB54" s="60">
        <f t="shared" si="7"/>
        <v>538.5</v>
      </c>
      <c r="AC54" s="60">
        <f t="shared" si="7"/>
        <v>538.5</v>
      </c>
      <c r="AD54" s="60">
        <f t="shared" si="7"/>
        <v>528</v>
      </c>
      <c r="AE54" s="60">
        <f t="shared" ref="AE54" si="8">SUM(AE51:AE53)</f>
        <v>528</v>
      </c>
      <c r="AF54" s="60">
        <f t="shared" si="7"/>
        <v>523</v>
      </c>
      <c r="AG54" s="61">
        <f t="shared" si="7"/>
        <v>538.1</v>
      </c>
      <c r="AH54" s="47">
        <f t="shared" si="2"/>
        <v>538.5</v>
      </c>
      <c r="AI54" s="48">
        <f t="shared" si="3"/>
        <v>523</v>
      </c>
      <c r="AK54" s="50"/>
    </row>
    <row r="55" spans="1:41" x14ac:dyDescent="0.25">
      <c r="A55" s="44" t="s">
        <v>63</v>
      </c>
      <c r="B55" s="45">
        <v>138</v>
      </c>
      <c r="C55" s="45">
        <v>138</v>
      </c>
      <c r="D55" s="45">
        <v>138</v>
      </c>
      <c r="E55" s="45">
        <v>138</v>
      </c>
      <c r="F55" s="45">
        <v>138</v>
      </c>
      <c r="G55" s="45">
        <v>138</v>
      </c>
      <c r="H55" s="45">
        <v>138</v>
      </c>
      <c r="I55" s="45">
        <v>139</v>
      </c>
      <c r="J55" s="45">
        <v>139</v>
      </c>
      <c r="K55" s="45">
        <v>139</v>
      </c>
      <c r="L55" s="45">
        <v>136</v>
      </c>
      <c r="M55" s="45">
        <v>136</v>
      </c>
      <c r="N55" s="45">
        <v>136</v>
      </c>
      <c r="O55" s="45">
        <v>136</v>
      </c>
      <c r="P55" s="45">
        <v>136</v>
      </c>
      <c r="Q55" s="45">
        <v>136</v>
      </c>
      <c r="R55" s="45">
        <v>136</v>
      </c>
      <c r="S55" s="45">
        <v>136</v>
      </c>
      <c r="T55" s="45">
        <v>136</v>
      </c>
      <c r="U55" s="45">
        <v>134</v>
      </c>
      <c r="V55" s="45">
        <v>134</v>
      </c>
      <c r="W55" s="45">
        <v>134</v>
      </c>
      <c r="X55" s="45">
        <v>134</v>
      </c>
      <c r="Y55" s="45">
        <v>134</v>
      </c>
      <c r="Z55" s="45">
        <v>134</v>
      </c>
      <c r="AA55" s="45">
        <v>134</v>
      </c>
      <c r="AB55" s="45">
        <v>134</v>
      </c>
      <c r="AC55" s="45">
        <v>135.19999999999999</v>
      </c>
      <c r="AD55" s="45">
        <v>135.19999999999999</v>
      </c>
      <c r="AE55" s="45">
        <v>135.19999999999999</v>
      </c>
      <c r="AF55" s="45">
        <v>135.19999999999999</v>
      </c>
      <c r="AG55" s="51">
        <v>144</v>
      </c>
      <c r="AH55" s="47">
        <f t="shared" si="2"/>
        <v>139</v>
      </c>
      <c r="AI55" s="48">
        <f t="shared" si="3"/>
        <v>134</v>
      </c>
      <c r="AK55" s="50"/>
    </row>
    <row r="56" spans="1:41" x14ac:dyDescent="0.25">
      <c r="A56" s="53" t="s">
        <v>64</v>
      </c>
      <c r="B56" s="64">
        <v>71.099999999999994</v>
      </c>
      <c r="C56" s="64">
        <v>71.099999999999994</v>
      </c>
      <c r="D56" s="64">
        <v>71.099999999999994</v>
      </c>
      <c r="E56" s="64">
        <v>70.8</v>
      </c>
      <c r="F56" s="64">
        <v>70.8</v>
      </c>
      <c r="G56" s="64">
        <v>70.8</v>
      </c>
      <c r="H56" s="64">
        <v>70.8</v>
      </c>
      <c r="I56" s="64">
        <v>70.599999999999994</v>
      </c>
      <c r="J56" s="64">
        <v>70.599999999999994</v>
      </c>
      <c r="K56" s="64">
        <v>70.599999999999994</v>
      </c>
      <c r="L56" s="64">
        <v>70.3</v>
      </c>
      <c r="M56" s="64">
        <v>70.3</v>
      </c>
      <c r="N56" s="64">
        <v>70.3</v>
      </c>
      <c r="O56" s="64">
        <v>70.3</v>
      </c>
      <c r="P56" s="64">
        <v>70.3</v>
      </c>
      <c r="Q56" s="64">
        <v>70.3</v>
      </c>
      <c r="R56" s="64">
        <v>64.5</v>
      </c>
      <c r="S56" s="64">
        <v>64.5</v>
      </c>
      <c r="T56" s="64">
        <v>70</v>
      </c>
      <c r="U56" s="45">
        <v>69.7</v>
      </c>
      <c r="V56" s="45">
        <v>69.7</v>
      </c>
      <c r="W56" s="45">
        <v>69.7</v>
      </c>
      <c r="X56" s="45">
        <v>69.7</v>
      </c>
      <c r="Y56" s="45">
        <v>69.7</v>
      </c>
      <c r="Z56" s="45">
        <v>69.7</v>
      </c>
      <c r="AA56" s="45">
        <v>69.7</v>
      </c>
      <c r="AB56" s="45">
        <v>69.7</v>
      </c>
      <c r="AC56" s="45">
        <v>69.7</v>
      </c>
      <c r="AD56" s="45">
        <v>69.7</v>
      </c>
      <c r="AE56" s="45">
        <v>69.7</v>
      </c>
      <c r="AF56" s="45">
        <v>69.7</v>
      </c>
      <c r="AG56" s="54">
        <v>70</v>
      </c>
      <c r="AH56" s="47">
        <f t="shared" si="2"/>
        <v>71.099999999999994</v>
      </c>
      <c r="AI56" s="48">
        <f t="shared" si="3"/>
        <v>64.5</v>
      </c>
      <c r="AK56" s="50"/>
    </row>
    <row r="57" spans="1:41" x14ac:dyDescent="0.25">
      <c r="A57" s="53" t="s">
        <v>65</v>
      </c>
      <c r="B57" s="64">
        <v>65.599999999999994</v>
      </c>
      <c r="C57" s="64">
        <v>65.599999999999994</v>
      </c>
      <c r="D57" s="64">
        <v>57</v>
      </c>
      <c r="E57" s="64">
        <v>64.599999999999994</v>
      </c>
      <c r="F57" s="64">
        <v>64.599999999999994</v>
      </c>
      <c r="G57" s="64">
        <v>64.599999999999994</v>
      </c>
      <c r="H57" s="64">
        <v>64.599999999999994</v>
      </c>
      <c r="I57" s="64">
        <v>64.8</v>
      </c>
      <c r="J57" s="64">
        <v>64.8</v>
      </c>
      <c r="K57" s="64">
        <v>64.8</v>
      </c>
      <c r="L57" s="64">
        <v>64.8</v>
      </c>
      <c r="M57" s="64">
        <v>64.8</v>
      </c>
      <c r="N57" s="64">
        <v>64.8</v>
      </c>
      <c r="O57" s="64">
        <v>64.8</v>
      </c>
      <c r="P57" s="64">
        <v>64.8</v>
      </c>
      <c r="Q57" s="64">
        <v>64.8</v>
      </c>
      <c r="R57" s="64">
        <v>65</v>
      </c>
      <c r="S57" s="64">
        <v>65</v>
      </c>
      <c r="T57" s="64">
        <v>56</v>
      </c>
      <c r="U57" s="45">
        <v>66.5</v>
      </c>
      <c r="V57" s="45">
        <v>52</v>
      </c>
      <c r="W57" s="45">
        <v>61.4</v>
      </c>
      <c r="X57" s="45">
        <v>61.4</v>
      </c>
      <c r="Y57" s="45">
        <v>65.2</v>
      </c>
      <c r="Z57" s="45">
        <v>65.2</v>
      </c>
      <c r="AA57" s="45">
        <v>65.2</v>
      </c>
      <c r="AB57" s="45">
        <v>65.2</v>
      </c>
      <c r="AC57" s="45">
        <v>64.8</v>
      </c>
      <c r="AD57" s="45">
        <v>64.8</v>
      </c>
      <c r="AE57" s="45">
        <v>64.8</v>
      </c>
      <c r="AF57" s="45">
        <v>64.8</v>
      </c>
      <c r="AG57" s="54">
        <v>69</v>
      </c>
      <c r="AH57" s="47">
        <f t="shared" si="2"/>
        <v>66.5</v>
      </c>
      <c r="AI57" s="48">
        <f t="shared" si="3"/>
        <v>52</v>
      </c>
      <c r="AK57" s="50"/>
    </row>
    <row r="58" spans="1:41" x14ac:dyDescent="0.25">
      <c r="A58" s="53" t="s">
        <v>66</v>
      </c>
      <c r="B58" s="64">
        <v>60.7</v>
      </c>
      <c r="C58" s="64">
        <v>60.7</v>
      </c>
      <c r="D58" s="64">
        <v>50</v>
      </c>
      <c r="E58" s="56">
        <v>61.4</v>
      </c>
      <c r="F58" s="56">
        <v>61.4</v>
      </c>
      <c r="G58" s="56">
        <v>61.4</v>
      </c>
      <c r="H58" s="56">
        <v>61.4</v>
      </c>
      <c r="I58" s="56">
        <v>61.8</v>
      </c>
      <c r="J58" s="56">
        <v>61.8</v>
      </c>
      <c r="K58" s="56">
        <v>61.8</v>
      </c>
      <c r="L58" s="56">
        <v>61.8</v>
      </c>
      <c r="M58" s="56">
        <v>61.8</v>
      </c>
      <c r="N58" s="56">
        <v>61.8</v>
      </c>
      <c r="O58" s="56">
        <v>61.8</v>
      </c>
      <c r="P58" s="56">
        <v>61.8</v>
      </c>
      <c r="Q58" s="56">
        <v>61.8</v>
      </c>
      <c r="R58" s="56">
        <v>56.7</v>
      </c>
      <c r="S58" s="56">
        <v>56.7</v>
      </c>
      <c r="T58" s="56">
        <v>56.7</v>
      </c>
      <c r="U58" s="45">
        <v>62</v>
      </c>
      <c r="V58" s="45">
        <v>44</v>
      </c>
      <c r="W58" s="45">
        <v>50.4</v>
      </c>
      <c r="X58" s="45">
        <v>50.4</v>
      </c>
      <c r="Y58" s="45">
        <v>61.4</v>
      </c>
      <c r="Z58" s="45">
        <v>61.4</v>
      </c>
      <c r="AA58" s="45">
        <v>61.4</v>
      </c>
      <c r="AB58" s="45">
        <v>61.4</v>
      </c>
      <c r="AC58" s="45">
        <v>61.4</v>
      </c>
      <c r="AD58" s="45">
        <v>61.4</v>
      </c>
      <c r="AE58" s="45">
        <v>61.4</v>
      </c>
      <c r="AF58" s="45">
        <v>61.4</v>
      </c>
      <c r="AG58" s="54">
        <v>60</v>
      </c>
      <c r="AH58" s="47">
        <f t="shared" si="2"/>
        <v>62</v>
      </c>
      <c r="AI58" s="48">
        <f t="shared" si="3"/>
        <v>44</v>
      </c>
      <c r="AK58" s="50"/>
    </row>
    <row r="59" spans="1:41" x14ac:dyDescent="0.25">
      <c r="A59" s="53" t="s">
        <v>67</v>
      </c>
      <c r="B59" s="64">
        <v>30</v>
      </c>
      <c r="C59" s="64">
        <v>30</v>
      </c>
      <c r="D59" s="64">
        <v>30</v>
      </c>
      <c r="E59" s="56">
        <v>30</v>
      </c>
      <c r="F59" s="56">
        <v>0</v>
      </c>
      <c r="G59" s="56">
        <v>0</v>
      </c>
      <c r="H59" s="56">
        <v>0</v>
      </c>
      <c r="I59" s="56">
        <v>29</v>
      </c>
      <c r="J59" s="56">
        <v>29</v>
      </c>
      <c r="K59" s="56">
        <v>29</v>
      </c>
      <c r="L59" s="56">
        <v>29</v>
      </c>
      <c r="M59" s="56">
        <v>29</v>
      </c>
      <c r="N59" s="56">
        <v>29</v>
      </c>
      <c r="O59" s="56">
        <v>29</v>
      </c>
      <c r="P59" s="56">
        <v>29</v>
      </c>
      <c r="Q59" s="56">
        <v>29</v>
      </c>
      <c r="R59" s="56">
        <v>29</v>
      </c>
      <c r="S59" s="56">
        <v>29</v>
      </c>
      <c r="T59" s="56">
        <v>29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0</v>
      </c>
      <c r="AB59" s="45">
        <v>15</v>
      </c>
      <c r="AC59" s="45">
        <v>15</v>
      </c>
      <c r="AD59" s="45">
        <v>28</v>
      </c>
      <c r="AE59" s="45">
        <v>28</v>
      </c>
      <c r="AF59" s="45">
        <v>28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4</v>
      </c>
      <c r="N60" s="64">
        <v>10.199999999999999</v>
      </c>
      <c r="O60" s="64">
        <v>12</v>
      </c>
      <c r="P60" s="64">
        <v>8</v>
      </c>
      <c r="Q60" s="64">
        <v>12</v>
      </c>
      <c r="R60" s="64">
        <v>14.8</v>
      </c>
      <c r="S60" s="64">
        <v>6.7</v>
      </c>
      <c r="T60" s="64">
        <v>12.2</v>
      </c>
      <c r="U60" s="45">
        <v>9.1999999999999993</v>
      </c>
      <c r="V60" s="45">
        <v>4.7</v>
      </c>
      <c r="W60" s="45">
        <v>4.7</v>
      </c>
      <c r="X60" s="45">
        <v>0.2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14.8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3.2</v>
      </c>
      <c r="C62" s="64">
        <v>3.2</v>
      </c>
      <c r="D62" s="64">
        <v>3.2</v>
      </c>
      <c r="E62" s="64">
        <v>3.2</v>
      </c>
      <c r="F62" s="64">
        <v>3.2</v>
      </c>
      <c r="G62" s="64">
        <v>3.2</v>
      </c>
      <c r="H62" s="64">
        <v>3.2</v>
      </c>
      <c r="I62" s="64">
        <v>3.1</v>
      </c>
      <c r="J62" s="64">
        <v>3.1</v>
      </c>
      <c r="K62" s="64">
        <v>3.1</v>
      </c>
      <c r="L62" s="64">
        <v>3.1</v>
      </c>
      <c r="M62" s="64">
        <v>3.1</v>
      </c>
      <c r="N62" s="64">
        <v>3.1</v>
      </c>
      <c r="O62" s="64">
        <v>3.1</v>
      </c>
      <c r="P62" s="64">
        <v>3.1</v>
      </c>
      <c r="Q62" s="64">
        <v>3.1</v>
      </c>
      <c r="R62" s="64">
        <v>3.1</v>
      </c>
      <c r="S62" s="64">
        <v>3.1</v>
      </c>
      <c r="T62" s="64">
        <v>3.1</v>
      </c>
      <c r="U62" s="64">
        <v>3.1</v>
      </c>
      <c r="V62" s="64">
        <v>3.1</v>
      </c>
      <c r="W62" s="64">
        <v>3.1</v>
      </c>
      <c r="X62" s="64">
        <v>3.1</v>
      </c>
      <c r="Y62" s="64">
        <v>3.1</v>
      </c>
      <c r="Z62" s="64">
        <v>3.1</v>
      </c>
      <c r="AA62" s="64">
        <v>3.1</v>
      </c>
      <c r="AB62" s="64">
        <v>3.1</v>
      </c>
      <c r="AC62" s="64">
        <v>3.1</v>
      </c>
      <c r="AD62" s="64">
        <v>3.1</v>
      </c>
      <c r="AE62" s="64">
        <v>3.1</v>
      </c>
      <c r="AF62" s="64">
        <v>3.1</v>
      </c>
      <c r="AG62" s="54">
        <v>15</v>
      </c>
      <c r="AH62" s="47">
        <f t="shared" si="2"/>
        <v>3.2</v>
      </c>
      <c r="AI62" s="48">
        <f t="shared" si="3"/>
        <v>3.1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12.6</v>
      </c>
      <c r="C63" s="64">
        <v>12.6</v>
      </c>
      <c r="D63" s="64">
        <v>12.6</v>
      </c>
      <c r="E63" s="64">
        <v>11.3</v>
      </c>
      <c r="F63" s="64">
        <v>11.3</v>
      </c>
      <c r="G63" s="64">
        <v>11.3</v>
      </c>
      <c r="H63" s="64">
        <v>11.3</v>
      </c>
      <c r="I63" s="64">
        <v>11.1</v>
      </c>
      <c r="J63" s="64">
        <v>11.1</v>
      </c>
      <c r="K63" s="64">
        <v>11.1</v>
      </c>
      <c r="L63" s="64">
        <v>11.1</v>
      </c>
      <c r="M63" s="64">
        <v>11.1</v>
      </c>
      <c r="N63" s="64">
        <v>11.1</v>
      </c>
      <c r="O63" s="64">
        <v>11.1</v>
      </c>
      <c r="P63" s="64">
        <v>11.1</v>
      </c>
      <c r="Q63" s="64">
        <v>11.1</v>
      </c>
      <c r="R63" s="64">
        <v>11.1</v>
      </c>
      <c r="S63" s="64">
        <v>10.199999999999999</v>
      </c>
      <c r="T63" s="64">
        <v>7</v>
      </c>
      <c r="U63" s="64">
        <v>12.7</v>
      </c>
      <c r="V63" s="64">
        <v>12.7</v>
      </c>
      <c r="W63" s="64">
        <v>10.7</v>
      </c>
      <c r="X63" s="64">
        <v>10.7</v>
      </c>
      <c r="Y63" s="64">
        <v>10.7</v>
      </c>
      <c r="Z63" s="64">
        <v>10.7</v>
      </c>
      <c r="AA63" s="64">
        <v>10.7</v>
      </c>
      <c r="AB63" s="64">
        <v>10.7</v>
      </c>
      <c r="AC63" s="64">
        <v>10.7</v>
      </c>
      <c r="AD63" s="64">
        <v>10.7</v>
      </c>
      <c r="AE63" s="64">
        <v>10.7</v>
      </c>
      <c r="AF63" s="64">
        <v>10.7</v>
      </c>
      <c r="AG63" s="54">
        <v>14.1</v>
      </c>
      <c r="AH63" s="47">
        <f t="shared" si="2"/>
        <v>12.7</v>
      </c>
      <c r="AI63" s="48">
        <f t="shared" si="3"/>
        <v>7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13.6</v>
      </c>
      <c r="C64" s="64">
        <v>13.6</v>
      </c>
      <c r="D64" s="64">
        <v>13.6</v>
      </c>
      <c r="E64" s="64">
        <v>10</v>
      </c>
      <c r="F64" s="64">
        <v>10</v>
      </c>
      <c r="G64" s="64">
        <v>10</v>
      </c>
      <c r="H64" s="64">
        <v>10</v>
      </c>
      <c r="I64" s="64">
        <v>6.4</v>
      </c>
      <c r="J64" s="64">
        <v>6.4</v>
      </c>
      <c r="K64" s="64">
        <v>6.4</v>
      </c>
      <c r="L64" s="64">
        <v>6.4</v>
      </c>
      <c r="M64" s="64">
        <v>13.8</v>
      </c>
      <c r="N64" s="64">
        <v>13.8</v>
      </c>
      <c r="O64" s="64">
        <v>13.8</v>
      </c>
      <c r="P64" s="64">
        <v>13.8</v>
      </c>
      <c r="Q64" s="64">
        <v>13.8</v>
      </c>
      <c r="R64" s="64">
        <v>13.8</v>
      </c>
      <c r="S64" s="64">
        <v>13.8</v>
      </c>
      <c r="T64" s="64">
        <v>13.8</v>
      </c>
      <c r="U64" s="64">
        <v>12.5</v>
      </c>
      <c r="V64" s="64">
        <v>12.5</v>
      </c>
      <c r="W64" s="64">
        <v>13.8</v>
      </c>
      <c r="X64" s="64">
        <v>13.8</v>
      </c>
      <c r="Y64" s="64">
        <v>13.8</v>
      </c>
      <c r="Z64" s="64">
        <v>13.8</v>
      </c>
      <c r="AA64" s="64">
        <v>13.8</v>
      </c>
      <c r="AB64" s="64">
        <v>13.8</v>
      </c>
      <c r="AC64" s="64">
        <v>13.8</v>
      </c>
      <c r="AD64" s="64">
        <v>13.8</v>
      </c>
      <c r="AE64" s="64">
        <v>13.8</v>
      </c>
      <c r="AF64" s="64">
        <v>13.8</v>
      </c>
      <c r="AG64" s="54">
        <v>14</v>
      </c>
      <c r="AH64" s="47">
        <f t="shared" si="2"/>
        <v>13.8</v>
      </c>
      <c r="AI64" s="48">
        <f t="shared" si="3"/>
        <v>6.4</v>
      </c>
      <c r="AK64" s="50"/>
    </row>
    <row r="65" spans="1:40" x14ac:dyDescent="0.25">
      <c r="A65" s="53" t="s">
        <v>73</v>
      </c>
      <c r="B65" s="64">
        <v>9</v>
      </c>
      <c r="C65" s="64">
        <v>9</v>
      </c>
      <c r="D65" s="64">
        <v>9</v>
      </c>
      <c r="E65" s="64">
        <v>9.1999999999999993</v>
      </c>
      <c r="F65" s="64">
        <v>9.1999999999999993</v>
      </c>
      <c r="G65" s="64">
        <v>9.1999999999999993</v>
      </c>
      <c r="H65" s="64">
        <v>9.1999999999999993</v>
      </c>
      <c r="I65" s="64">
        <v>9.1999999999999993</v>
      </c>
      <c r="J65" s="64">
        <v>9.1999999999999993</v>
      </c>
      <c r="K65" s="64">
        <v>9.1999999999999993</v>
      </c>
      <c r="L65" s="64">
        <v>9.1999999999999993</v>
      </c>
      <c r="M65" s="64">
        <v>9.1999999999999993</v>
      </c>
      <c r="N65" s="64">
        <v>9.1999999999999993</v>
      </c>
      <c r="O65" s="64">
        <v>9.1999999999999993</v>
      </c>
      <c r="P65" s="64">
        <v>9.1999999999999993</v>
      </c>
      <c r="Q65" s="64">
        <v>9.1999999999999993</v>
      </c>
      <c r="R65" s="64">
        <v>9.1999999999999993</v>
      </c>
      <c r="S65" s="64">
        <v>9.1999999999999993</v>
      </c>
      <c r="T65" s="64">
        <v>9.1999999999999993</v>
      </c>
      <c r="U65" s="64">
        <v>6.5</v>
      </c>
      <c r="V65" s="64">
        <v>6.5</v>
      </c>
      <c r="W65" s="64">
        <v>6.5</v>
      </c>
      <c r="X65" s="64">
        <v>6.5</v>
      </c>
      <c r="Y65" s="64">
        <v>6.5</v>
      </c>
      <c r="Z65" s="64">
        <v>6.5</v>
      </c>
      <c r="AA65" s="64">
        <v>6.5</v>
      </c>
      <c r="AB65" s="64">
        <v>6.5</v>
      </c>
      <c r="AC65" s="64">
        <v>6.5</v>
      </c>
      <c r="AD65" s="64">
        <v>6.5</v>
      </c>
      <c r="AE65" s="64">
        <v>6.5</v>
      </c>
      <c r="AF65" s="64">
        <v>6.5</v>
      </c>
      <c r="AG65" s="54">
        <v>10.050000000000001</v>
      </c>
      <c r="AH65" s="47">
        <f t="shared" si="2"/>
        <v>9.1999999999999993</v>
      </c>
      <c r="AI65" s="48">
        <f t="shared" si="3"/>
        <v>6.5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9">SUM(B55:B67)</f>
        <v>428.54</v>
      </c>
      <c r="C68" s="60">
        <f t="shared" si="9"/>
        <v>428.54</v>
      </c>
      <c r="D68" s="60">
        <f t="shared" si="9"/>
        <v>409.24000000000007</v>
      </c>
      <c r="E68" s="60">
        <f t="shared" si="9"/>
        <v>423.23999999999995</v>
      </c>
      <c r="F68" s="60">
        <f t="shared" si="9"/>
        <v>393.23999999999995</v>
      </c>
      <c r="G68" s="60">
        <f t="shared" si="9"/>
        <v>393.23999999999995</v>
      </c>
      <c r="H68" s="60">
        <f t="shared" si="9"/>
        <v>393.23999999999995</v>
      </c>
      <c r="I68" s="60">
        <f t="shared" si="9"/>
        <v>419.74</v>
      </c>
      <c r="J68" s="60">
        <f t="shared" si="9"/>
        <v>419.74</v>
      </c>
      <c r="K68" s="60">
        <f t="shared" si="9"/>
        <v>419.74</v>
      </c>
      <c r="L68" s="60">
        <f t="shared" si="9"/>
        <v>416.44000000000005</v>
      </c>
      <c r="M68" s="60">
        <f t="shared" si="9"/>
        <v>427.84000000000009</v>
      </c>
      <c r="N68" s="60">
        <f t="shared" si="9"/>
        <v>434.04000000000008</v>
      </c>
      <c r="O68" s="60">
        <f t="shared" si="9"/>
        <v>435.84000000000009</v>
      </c>
      <c r="P68" s="60">
        <f t="shared" si="9"/>
        <v>431.84000000000009</v>
      </c>
      <c r="Q68" s="60">
        <f t="shared" si="9"/>
        <v>435.84000000000009</v>
      </c>
      <c r="R68" s="60">
        <f t="shared" si="9"/>
        <v>427.94000000000005</v>
      </c>
      <c r="S68" s="60">
        <f t="shared" si="9"/>
        <v>418.94</v>
      </c>
      <c r="T68" s="60">
        <f t="shared" si="9"/>
        <v>417.74</v>
      </c>
      <c r="U68" s="60">
        <f t="shared" si="9"/>
        <v>430.94</v>
      </c>
      <c r="V68" s="60">
        <f t="shared" si="9"/>
        <v>393.94</v>
      </c>
      <c r="W68" s="60">
        <f t="shared" si="9"/>
        <v>409.03999999999996</v>
      </c>
      <c r="X68" s="60">
        <f t="shared" si="9"/>
        <v>404.53999999999996</v>
      </c>
      <c r="Y68" s="60">
        <f t="shared" si="9"/>
        <v>419.14</v>
      </c>
      <c r="Z68" s="60">
        <f t="shared" si="9"/>
        <v>419.14</v>
      </c>
      <c r="AA68" s="60">
        <f t="shared" si="9"/>
        <v>389.14</v>
      </c>
      <c r="AB68" s="60">
        <f t="shared" si="9"/>
        <v>404.14</v>
      </c>
      <c r="AC68" s="60">
        <f t="shared" si="9"/>
        <v>404.94</v>
      </c>
      <c r="AD68" s="60">
        <f t="shared" si="9"/>
        <v>417.94</v>
      </c>
      <c r="AE68" s="60">
        <f t="shared" si="9"/>
        <v>417.94</v>
      </c>
      <c r="AF68" s="60">
        <f t="shared" si="9"/>
        <v>417.94</v>
      </c>
      <c r="AG68" s="61">
        <f t="shared" si="9"/>
        <v>489.91</v>
      </c>
      <c r="AH68" s="47">
        <f t="shared" si="2"/>
        <v>435.84000000000009</v>
      </c>
      <c r="AI68" s="48">
        <f t="shared" si="3"/>
        <v>389.14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/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64"/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66"/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0">M69+M70+M71</f>
        <v>0</v>
      </c>
      <c r="N72" s="60">
        <f t="shared" si="10"/>
        <v>0</v>
      </c>
      <c r="O72" s="60">
        <f t="shared" si="10"/>
        <v>0</v>
      </c>
      <c r="P72" s="60">
        <f t="shared" si="10"/>
        <v>0</v>
      </c>
      <c r="Q72" s="60">
        <f t="shared" si="10"/>
        <v>0</v>
      </c>
      <c r="R72" s="60">
        <f t="shared" si="10"/>
        <v>0</v>
      </c>
      <c r="S72" s="60">
        <f t="shared" si="10"/>
        <v>0</v>
      </c>
      <c r="T72" s="60">
        <f t="shared" si="10"/>
        <v>0</v>
      </c>
      <c r="U72" s="60">
        <f t="shared" si="10"/>
        <v>0</v>
      </c>
      <c r="V72" s="60">
        <f t="shared" si="10"/>
        <v>0</v>
      </c>
      <c r="W72" s="60">
        <f t="shared" si="10"/>
        <v>0</v>
      </c>
      <c r="X72" s="60">
        <f t="shared" si="10"/>
        <v>0</v>
      </c>
      <c r="Y72" s="60">
        <f t="shared" si="10"/>
        <v>0</v>
      </c>
      <c r="Z72" s="60">
        <f t="shared" si="10"/>
        <v>0</v>
      </c>
      <c r="AA72" s="60">
        <f t="shared" si="10"/>
        <v>0</v>
      </c>
      <c r="AB72" s="60">
        <f t="shared" si="10"/>
        <v>0</v>
      </c>
      <c r="AC72" s="60">
        <f t="shared" si="10"/>
        <v>0</v>
      </c>
      <c r="AD72" s="60">
        <f t="shared" si="10"/>
        <v>0</v>
      </c>
      <c r="AE72" s="60">
        <f t="shared" si="10"/>
        <v>0</v>
      </c>
      <c r="AF72" s="60">
        <f t="shared" si="10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10.3</v>
      </c>
      <c r="C73" s="45">
        <v>7.9</v>
      </c>
      <c r="D73" s="45">
        <v>13.7</v>
      </c>
      <c r="E73" s="45">
        <v>0</v>
      </c>
      <c r="F73" s="45">
        <v>21</v>
      </c>
      <c r="G73" s="45">
        <v>43.7</v>
      </c>
      <c r="H73" s="45">
        <v>12.2</v>
      </c>
      <c r="I73" s="45">
        <v>-20</v>
      </c>
      <c r="J73" s="45">
        <v>-32</v>
      </c>
      <c r="K73" s="45">
        <v>-36</v>
      </c>
      <c r="L73" s="45">
        <v>-40</v>
      </c>
      <c r="M73" s="45">
        <v>-18</v>
      </c>
      <c r="N73" s="45">
        <v>22.2</v>
      </c>
      <c r="O73" s="45">
        <v>-7</v>
      </c>
      <c r="P73" s="45">
        <v>-5</v>
      </c>
      <c r="Q73" s="45">
        <v>9.5</v>
      </c>
      <c r="R73" s="45">
        <v>27.1</v>
      </c>
      <c r="S73" s="45">
        <v>20.100000000000001</v>
      </c>
      <c r="T73" s="45">
        <v>20.100000000000001</v>
      </c>
      <c r="U73" s="45">
        <v>-17.8</v>
      </c>
      <c r="V73" s="45">
        <v>-19</v>
      </c>
      <c r="W73" s="45">
        <v>-19</v>
      </c>
      <c r="X73" s="45">
        <v>-19</v>
      </c>
      <c r="Y73" s="45">
        <v>-19</v>
      </c>
      <c r="Z73" s="45">
        <v>-19</v>
      </c>
      <c r="AA73" s="45">
        <v>17</v>
      </c>
      <c r="AB73" s="45">
        <v>0</v>
      </c>
      <c r="AC73" s="45">
        <v>0</v>
      </c>
      <c r="AD73" s="45">
        <v>-7</v>
      </c>
      <c r="AE73" s="45">
        <v>10</v>
      </c>
      <c r="AF73" s="45">
        <v>3</v>
      </c>
      <c r="AG73" s="51"/>
      <c r="AH73" s="47">
        <f t="shared" si="2"/>
        <v>43.7</v>
      </c>
      <c r="AI73" s="48">
        <f t="shared" si="3"/>
        <v>-40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-271</v>
      </c>
      <c r="C75" s="64">
        <v>-270</v>
      </c>
      <c r="D75" s="64">
        <v>-318</v>
      </c>
      <c r="E75" s="64">
        <v>-294</v>
      </c>
      <c r="F75" s="64">
        <v>-342</v>
      </c>
      <c r="G75" s="64">
        <v>-351</v>
      </c>
      <c r="H75" s="64">
        <v>-386</v>
      </c>
      <c r="I75" s="64">
        <v>-368</v>
      </c>
      <c r="J75" s="64">
        <v>-362</v>
      </c>
      <c r="K75" s="64">
        <v>-356</v>
      </c>
      <c r="L75" s="64">
        <v>-348</v>
      </c>
      <c r="M75" s="64">
        <v>-315</v>
      </c>
      <c r="N75" s="64">
        <v>-289</v>
      </c>
      <c r="O75" s="64">
        <v>-279</v>
      </c>
      <c r="P75" s="64">
        <v>-277</v>
      </c>
      <c r="Q75" s="64">
        <v>-284.10000000000002</v>
      </c>
      <c r="R75" s="64">
        <v>-231.9</v>
      </c>
      <c r="S75" s="64">
        <v>-278</v>
      </c>
      <c r="T75" s="64">
        <v>-262</v>
      </c>
      <c r="U75" s="64">
        <v>-276.10000000000002</v>
      </c>
      <c r="V75" s="64">
        <v>-319</v>
      </c>
      <c r="W75" s="64">
        <v>-340</v>
      </c>
      <c r="X75" s="64">
        <v>-356</v>
      </c>
      <c r="Y75" s="64">
        <v>-334</v>
      </c>
      <c r="Z75" s="64">
        <v>-249</v>
      </c>
      <c r="AA75" s="64">
        <v>-244</v>
      </c>
      <c r="AB75" s="64">
        <v>-229</v>
      </c>
      <c r="AC75" s="64">
        <v>-236</v>
      </c>
      <c r="AD75" s="64">
        <v>-247</v>
      </c>
      <c r="AE75" s="64">
        <v>-290</v>
      </c>
      <c r="AF75" s="64">
        <v>-268</v>
      </c>
      <c r="AG75" s="74"/>
      <c r="AH75" s="47">
        <f t="shared" si="2"/>
        <v>-229</v>
      </c>
      <c r="AI75" s="48">
        <f t="shared" si="3"/>
        <v>-386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11">MAX(B77:AF77)</f>
        <v>0</v>
      </c>
      <c r="AI77" s="48">
        <f t="shared" ref="AI77:AI120" si="12">MIN(B77:AF77)</f>
        <v>0</v>
      </c>
      <c r="AK77" s="50"/>
    </row>
    <row r="78" spans="1:40" x14ac:dyDescent="0.25">
      <c r="A78" s="53" t="s">
        <v>86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7</v>
      </c>
      <c r="T78" s="76">
        <v>7</v>
      </c>
      <c r="U78" s="76">
        <v>7</v>
      </c>
      <c r="V78" s="76">
        <v>7</v>
      </c>
      <c r="W78" s="76">
        <v>7</v>
      </c>
      <c r="X78" s="76">
        <v>7</v>
      </c>
      <c r="Y78" s="76">
        <v>7</v>
      </c>
      <c r="Z78" s="76">
        <v>7</v>
      </c>
      <c r="AA78" s="76">
        <v>7</v>
      </c>
      <c r="AB78" s="76">
        <v>7</v>
      </c>
      <c r="AC78" s="76">
        <v>7</v>
      </c>
      <c r="AD78" s="76">
        <v>7</v>
      </c>
      <c r="AE78" s="76">
        <v>7</v>
      </c>
      <c r="AF78" s="76">
        <v>7</v>
      </c>
      <c r="AG78" s="74"/>
      <c r="AH78" s="47">
        <f t="shared" si="11"/>
        <v>7</v>
      </c>
      <c r="AI78" s="48">
        <f t="shared" si="12"/>
        <v>0</v>
      </c>
      <c r="AK78" s="50"/>
    </row>
    <row r="79" spans="1:40" ht="15.75" thickBot="1" x14ac:dyDescent="0.3">
      <c r="A79" s="53" t="s">
        <v>87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11"/>
        <v>0</v>
      </c>
      <c r="AI79" s="48">
        <f t="shared" si="12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11"/>
        <v>0</v>
      </c>
      <c r="AI80" s="48">
        <f t="shared" si="12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11"/>
        <v>0</v>
      </c>
      <c r="AI81" s="48">
        <f t="shared" si="12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11"/>
        <v>0</v>
      </c>
      <c r="AI82" s="48">
        <f t="shared" si="12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11"/>
        <v>0</v>
      </c>
      <c r="AI83" s="48">
        <f t="shared" si="12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13">SUMIF(B73:B83,"&gt;0")</f>
        <v>10.3</v>
      </c>
      <c r="C84" s="60">
        <f t="shared" si="13"/>
        <v>7.9</v>
      </c>
      <c r="D84" s="60">
        <f t="shared" si="13"/>
        <v>13.7</v>
      </c>
      <c r="E84" s="60">
        <f t="shared" si="13"/>
        <v>0</v>
      </c>
      <c r="F84" s="60">
        <f t="shared" si="13"/>
        <v>21</v>
      </c>
      <c r="G84" s="60">
        <f t="shared" si="13"/>
        <v>43.7</v>
      </c>
      <c r="H84" s="60">
        <f t="shared" si="13"/>
        <v>12.2</v>
      </c>
      <c r="I84" s="60">
        <f t="shared" si="13"/>
        <v>0</v>
      </c>
      <c r="J84" s="60">
        <f t="shared" si="13"/>
        <v>0</v>
      </c>
      <c r="K84" s="60">
        <f t="shared" si="13"/>
        <v>0</v>
      </c>
      <c r="L84" s="60">
        <f t="shared" si="13"/>
        <v>0</v>
      </c>
      <c r="M84" s="60">
        <f t="shared" si="13"/>
        <v>0</v>
      </c>
      <c r="N84" s="60">
        <f t="shared" si="13"/>
        <v>22.2</v>
      </c>
      <c r="O84" s="60">
        <f t="shared" si="13"/>
        <v>0</v>
      </c>
      <c r="P84" s="60">
        <f t="shared" si="13"/>
        <v>0</v>
      </c>
      <c r="Q84" s="60">
        <f t="shared" si="13"/>
        <v>9.5</v>
      </c>
      <c r="R84" s="60">
        <f t="shared" si="13"/>
        <v>27.1</v>
      </c>
      <c r="S84" s="60">
        <f t="shared" si="13"/>
        <v>27.1</v>
      </c>
      <c r="T84" s="60">
        <f t="shared" si="13"/>
        <v>27.1</v>
      </c>
      <c r="U84" s="60">
        <f t="shared" si="13"/>
        <v>7</v>
      </c>
      <c r="V84" s="60">
        <f t="shared" si="13"/>
        <v>7</v>
      </c>
      <c r="W84" s="60">
        <f t="shared" si="13"/>
        <v>7</v>
      </c>
      <c r="X84" s="60">
        <f t="shared" si="13"/>
        <v>7</v>
      </c>
      <c r="Y84" s="60">
        <f t="shared" si="13"/>
        <v>7</v>
      </c>
      <c r="Z84" s="60">
        <f t="shared" si="13"/>
        <v>7</v>
      </c>
      <c r="AA84" s="60">
        <f t="shared" si="13"/>
        <v>24</v>
      </c>
      <c r="AB84" s="60">
        <f t="shared" si="13"/>
        <v>7</v>
      </c>
      <c r="AC84" s="60">
        <f t="shared" si="13"/>
        <v>7</v>
      </c>
      <c r="AD84" s="60">
        <f t="shared" si="13"/>
        <v>7</v>
      </c>
      <c r="AE84" s="60">
        <f t="shared" si="13"/>
        <v>17</v>
      </c>
      <c r="AF84" s="60">
        <f t="shared" si="13"/>
        <v>10</v>
      </c>
      <c r="AG84" s="87">
        <f>SUM(AG73:AG83)</f>
        <v>0</v>
      </c>
      <c r="AH84" s="47">
        <f t="shared" si="11"/>
        <v>43.7</v>
      </c>
      <c r="AI84" s="48">
        <f t="shared" si="12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1"/>
        <v>0</v>
      </c>
      <c r="AI85" s="48">
        <f t="shared" si="12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1"/>
        <v>0</v>
      </c>
      <c r="AI86" s="48">
        <f t="shared" si="12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1"/>
        <v>0</v>
      </c>
      <c r="AI87" s="48">
        <f t="shared" si="12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1"/>
        <v>0</v>
      </c>
      <c r="AI88" s="48">
        <f t="shared" si="12"/>
        <v>0</v>
      </c>
    </row>
    <row r="89" spans="1:40" ht="15.75" thickBot="1" x14ac:dyDescent="0.3">
      <c r="A89" s="73" t="s">
        <v>100</v>
      </c>
      <c r="B89" s="94">
        <f t="shared" ref="B89:AG89" si="14">B50+B54+B72+B68+B84+B88</f>
        <v>1993.84</v>
      </c>
      <c r="C89" s="94">
        <f t="shared" si="14"/>
        <v>1998.44</v>
      </c>
      <c r="D89" s="94">
        <f t="shared" si="14"/>
        <v>1955.2400000000002</v>
      </c>
      <c r="E89" s="94">
        <f t="shared" si="14"/>
        <v>1919.14</v>
      </c>
      <c r="F89" s="94">
        <f t="shared" si="14"/>
        <v>1945.3400000000001</v>
      </c>
      <c r="G89" s="94">
        <f t="shared" si="14"/>
        <v>1971.0400000000002</v>
      </c>
      <c r="H89" s="94">
        <f t="shared" si="14"/>
        <v>1939.94</v>
      </c>
      <c r="I89" s="94">
        <f t="shared" si="14"/>
        <v>1949.14</v>
      </c>
      <c r="J89" s="94">
        <f t="shared" si="14"/>
        <v>1958.14</v>
      </c>
      <c r="K89" s="94">
        <f t="shared" si="14"/>
        <v>1965.84</v>
      </c>
      <c r="L89" s="94">
        <f t="shared" si="14"/>
        <v>1964.54</v>
      </c>
      <c r="M89" s="94">
        <f t="shared" si="14"/>
        <v>2013.94</v>
      </c>
      <c r="N89" s="94">
        <f t="shared" si="14"/>
        <v>2022.4400000000003</v>
      </c>
      <c r="O89" s="94">
        <f t="shared" si="14"/>
        <v>2007.0400000000002</v>
      </c>
      <c r="P89" s="94">
        <f t="shared" si="14"/>
        <v>2003.0400000000002</v>
      </c>
      <c r="Q89" s="94">
        <f t="shared" si="14"/>
        <v>2016.5400000000002</v>
      </c>
      <c r="R89" s="94">
        <f t="shared" si="14"/>
        <v>2026.24</v>
      </c>
      <c r="S89" s="94">
        <f t="shared" si="14"/>
        <v>2017.24</v>
      </c>
      <c r="T89" s="94">
        <f t="shared" si="14"/>
        <v>2016.04</v>
      </c>
      <c r="U89" s="94">
        <f t="shared" si="14"/>
        <v>1972.8400000000001</v>
      </c>
      <c r="V89" s="94">
        <f t="shared" si="14"/>
        <v>1936.14</v>
      </c>
      <c r="W89" s="94">
        <f t="shared" si="14"/>
        <v>1944.6399999999999</v>
      </c>
      <c r="X89" s="94">
        <f t="shared" si="14"/>
        <v>1936.1399999999999</v>
      </c>
      <c r="Y89" s="94">
        <f t="shared" si="14"/>
        <v>1969.2399999999998</v>
      </c>
      <c r="Z89" s="94">
        <f t="shared" si="14"/>
        <v>2008.2399999999998</v>
      </c>
      <c r="AA89" s="94">
        <f t="shared" si="14"/>
        <v>2007.2399999999998</v>
      </c>
      <c r="AB89" s="94">
        <f t="shared" si="14"/>
        <v>2005.2399999999998</v>
      </c>
      <c r="AC89" s="94">
        <f t="shared" si="14"/>
        <v>1975.8400000000001</v>
      </c>
      <c r="AD89" s="94">
        <f t="shared" si="14"/>
        <v>1978.3400000000001</v>
      </c>
      <c r="AE89" s="94">
        <f t="shared" si="14"/>
        <v>1993.3400000000001</v>
      </c>
      <c r="AF89" s="94">
        <f t="shared" si="14"/>
        <v>1957.1399999999999</v>
      </c>
      <c r="AG89" s="61">
        <f t="shared" si="14"/>
        <v>2111.5500000000002</v>
      </c>
      <c r="AH89" s="47">
        <f t="shared" si="11"/>
        <v>2026.24</v>
      </c>
      <c r="AI89" s="48">
        <f t="shared" si="12"/>
        <v>1919.14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1"/>
        <v>0</v>
      </c>
      <c r="AI90" s="48">
        <f t="shared" si="12"/>
        <v>0</v>
      </c>
    </row>
    <row r="91" spans="1:40" ht="15.75" thickBot="1" x14ac:dyDescent="0.3">
      <c r="A91" s="73" t="s">
        <v>102</v>
      </c>
      <c r="B91" s="94">
        <f t="shared" ref="B91:AF91" si="15">B89+B90</f>
        <v>1993.84</v>
      </c>
      <c r="C91" s="94">
        <f t="shared" si="15"/>
        <v>1998.44</v>
      </c>
      <c r="D91" s="94">
        <f t="shared" si="15"/>
        <v>1955.2400000000002</v>
      </c>
      <c r="E91" s="94">
        <f t="shared" si="15"/>
        <v>1919.14</v>
      </c>
      <c r="F91" s="94">
        <f t="shared" si="15"/>
        <v>1945.3400000000001</v>
      </c>
      <c r="G91" s="94">
        <f t="shared" si="15"/>
        <v>1971.0400000000002</v>
      </c>
      <c r="H91" s="94">
        <f t="shared" si="15"/>
        <v>1939.94</v>
      </c>
      <c r="I91" s="94">
        <f t="shared" si="15"/>
        <v>1949.14</v>
      </c>
      <c r="J91" s="94">
        <f t="shared" si="15"/>
        <v>1958.14</v>
      </c>
      <c r="K91" s="94">
        <f t="shared" si="15"/>
        <v>1965.84</v>
      </c>
      <c r="L91" s="94">
        <f t="shared" si="15"/>
        <v>1964.54</v>
      </c>
      <c r="M91" s="94">
        <f t="shared" si="15"/>
        <v>2013.94</v>
      </c>
      <c r="N91" s="94">
        <f t="shared" si="15"/>
        <v>2022.4400000000003</v>
      </c>
      <c r="O91" s="94">
        <f t="shared" si="15"/>
        <v>2007.0400000000002</v>
      </c>
      <c r="P91" s="94">
        <f t="shared" si="15"/>
        <v>2003.0400000000002</v>
      </c>
      <c r="Q91" s="94">
        <f t="shared" si="15"/>
        <v>2016.5400000000002</v>
      </c>
      <c r="R91" s="94">
        <f t="shared" si="15"/>
        <v>2026.24</v>
      </c>
      <c r="S91" s="94">
        <f t="shared" si="15"/>
        <v>2017.24</v>
      </c>
      <c r="T91" s="94">
        <f t="shared" si="15"/>
        <v>2016.04</v>
      </c>
      <c r="U91" s="94">
        <f t="shared" si="15"/>
        <v>1972.8400000000001</v>
      </c>
      <c r="V91" s="94">
        <f t="shared" si="15"/>
        <v>1936.14</v>
      </c>
      <c r="W91" s="94">
        <f t="shared" si="15"/>
        <v>1944.6399999999999</v>
      </c>
      <c r="X91" s="94">
        <f t="shared" si="15"/>
        <v>1936.1399999999999</v>
      </c>
      <c r="Y91" s="94">
        <f t="shared" si="15"/>
        <v>1969.2399999999998</v>
      </c>
      <c r="Z91" s="94">
        <f t="shared" si="15"/>
        <v>2008.2399999999998</v>
      </c>
      <c r="AA91" s="94">
        <f t="shared" si="15"/>
        <v>2007.2399999999998</v>
      </c>
      <c r="AB91" s="94">
        <f t="shared" si="15"/>
        <v>2005.2399999999998</v>
      </c>
      <c r="AC91" s="94">
        <f t="shared" si="15"/>
        <v>1975.8400000000001</v>
      </c>
      <c r="AD91" s="94">
        <f t="shared" si="15"/>
        <v>1978.3400000000001</v>
      </c>
      <c r="AE91" s="94">
        <f t="shared" si="15"/>
        <v>1993.3400000000001</v>
      </c>
      <c r="AF91" s="94">
        <f t="shared" si="15"/>
        <v>1957.1399999999999</v>
      </c>
      <c r="AG91" s="87">
        <f>AG88+AG84+AG72+AG68+AG50+AG90</f>
        <v>1573.45</v>
      </c>
      <c r="AH91" s="47">
        <f t="shared" si="11"/>
        <v>2026.24</v>
      </c>
      <c r="AI91" s="48">
        <f t="shared" si="12"/>
        <v>1919.14</v>
      </c>
    </row>
    <row r="92" spans="1:40" ht="15.75" thickBot="1" x14ac:dyDescent="0.3">
      <c r="A92" s="73" t="s">
        <v>103</v>
      </c>
      <c r="B92" s="94">
        <f t="shared" ref="B92:AF92" si="16">B91-B99</f>
        <v>1993.84</v>
      </c>
      <c r="C92" s="94">
        <f t="shared" si="16"/>
        <v>1998.44</v>
      </c>
      <c r="D92" s="94">
        <f t="shared" si="16"/>
        <v>1955.2400000000002</v>
      </c>
      <c r="E92" s="94">
        <f t="shared" si="16"/>
        <v>1919.14</v>
      </c>
      <c r="F92" s="94">
        <f t="shared" si="16"/>
        <v>1945.3400000000001</v>
      </c>
      <c r="G92" s="94">
        <f t="shared" si="16"/>
        <v>1971.0400000000002</v>
      </c>
      <c r="H92" s="94">
        <f t="shared" si="16"/>
        <v>1939.94</v>
      </c>
      <c r="I92" s="94">
        <f t="shared" si="16"/>
        <v>1949.14</v>
      </c>
      <c r="J92" s="94">
        <f t="shared" si="16"/>
        <v>1958.14</v>
      </c>
      <c r="K92" s="94">
        <f t="shared" si="16"/>
        <v>1965.84</v>
      </c>
      <c r="L92" s="94">
        <f t="shared" si="16"/>
        <v>1964.54</v>
      </c>
      <c r="M92" s="94">
        <f t="shared" si="16"/>
        <v>2013.94</v>
      </c>
      <c r="N92" s="94">
        <f t="shared" si="16"/>
        <v>2022.4400000000003</v>
      </c>
      <c r="O92" s="94">
        <f t="shared" si="16"/>
        <v>2007.0400000000002</v>
      </c>
      <c r="P92" s="94">
        <f t="shared" si="16"/>
        <v>2003.0400000000002</v>
      </c>
      <c r="Q92" s="94">
        <f t="shared" si="16"/>
        <v>2016.5400000000002</v>
      </c>
      <c r="R92" s="94">
        <f t="shared" si="16"/>
        <v>2026.24</v>
      </c>
      <c r="S92" s="94">
        <f t="shared" si="16"/>
        <v>2017.24</v>
      </c>
      <c r="T92" s="94">
        <f t="shared" si="16"/>
        <v>2016.04</v>
      </c>
      <c r="U92" s="94">
        <f t="shared" si="16"/>
        <v>1972.8400000000001</v>
      </c>
      <c r="V92" s="94">
        <f t="shared" si="16"/>
        <v>1936.14</v>
      </c>
      <c r="W92" s="94">
        <f t="shared" si="16"/>
        <v>1944.6399999999999</v>
      </c>
      <c r="X92" s="94">
        <f t="shared" si="16"/>
        <v>1936.1399999999999</v>
      </c>
      <c r="Y92" s="94">
        <f t="shared" si="16"/>
        <v>1969.2399999999998</v>
      </c>
      <c r="Z92" s="94">
        <f t="shared" si="16"/>
        <v>2008.2399999999998</v>
      </c>
      <c r="AA92" s="94">
        <f t="shared" si="16"/>
        <v>2007.2399999999998</v>
      </c>
      <c r="AB92" s="94">
        <f t="shared" si="16"/>
        <v>2005.2399999999998</v>
      </c>
      <c r="AC92" s="94">
        <f t="shared" si="16"/>
        <v>1975.8400000000001</v>
      </c>
      <c r="AD92" s="94">
        <f t="shared" si="16"/>
        <v>1978.3400000000001</v>
      </c>
      <c r="AE92" s="94">
        <f t="shared" si="16"/>
        <v>1993.3400000000001</v>
      </c>
      <c r="AF92" s="94">
        <f t="shared" si="16"/>
        <v>1957.1399999999999</v>
      </c>
      <c r="AG92" s="87"/>
      <c r="AH92" s="47">
        <f t="shared" si="11"/>
        <v>2026.24</v>
      </c>
      <c r="AI92" s="48">
        <f t="shared" si="12"/>
        <v>1919.14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1"/>
        <v>0</v>
      </c>
      <c r="AI93" s="48">
        <f t="shared" si="12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1"/>
        <v>0</v>
      </c>
      <c r="AI94" s="48">
        <f t="shared" si="12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1"/>
        <v>0</v>
      </c>
      <c r="AI95" s="48">
        <f t="shared" si="12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1"/>
        <v>0</v>
      </c>
      <c r="AI96" s="48">
        <f t="shared" si="12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1"/>
        <v>0</v>
      </c>
      <c r="AI97" s="48">
        <f t="shared" si="12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1"/>
        <v>0</v>
      </c>
      <c r="AI98" s="48">
        <f t="shared" si="12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11"/>
        <v>0</v>
      </c>
      <c r="AI99" s="48">
        <f t="shared" si="12"/>
        <v>0</v>
      </c>
      <c r="AK99" s="50"/>
    </row>
    <row r="100" spans="1:37" ht="15.75" thickBot="1" x14ac:dyDescent="0.3">
      <c r="A100" s="73" t="s">
        <v>108</v>
      </c>
      <c r="B100" s="60">
        <f t="shared" ref="B100:AF100" si="17">B84-B99</f>
        <v>10.3</v>
      </c>
      <c r="C100" s="60">
        <f t="shared" si="17"/>
        <v>7.9</v>
      </c>
      <c r="D100" s="60">
        <f t="shared" si="17"/>
        <v>13.7</v>
      </c>
      <c r="E100" s="60">
        <f t="shared" si="17"/>
        <v>0</v>
      </c>
      <c r="F100" s="60">
        <f t="shared" si="17"/>
        <v>21</v>
      </c>
      <c r="G100" s="60">
        <f t="shared" si="17"/>
        <v>43.7</v>
      </c>
      <c r="H100" s="60">
        <f t="shared" si="17"/>
        <v>12.2</v>
      </c>
      <c r="I100" s="60">
        <f t="shared" si="17"/>
        <v>0</v>
      </c>
      <c r="J100" s="60">
        <f t="shared" si="17"/>
        <v>0</v>
      </c>
      <c r="K100" s="60">
        <f t="shared" si="17"/>
        <v>0</v>
      </c>
      <c r="L100" s="60">
        <f t="shared" si="17"/>
        <v>0</v>
      </c>
      <c r="M100" s="60">
        <f t="shared" si="17"/>
        <v>0</v>
      </c>
      <c r="N100" s="60">
        <f t="shared" si="17"/>
        <v>22.2</v>
      </c>
      <c r="O100" s="60">
        <f t="shared" si="17"/>
        <v>0</v>
      </c>
      <c r="P100" s="60">
        <f t="shared" si="17"/>
        <v>0</v>
      </c>
      <c r="Q100" s="60">
        <f t="shared" si="17"/>
        <v>9.5</v>
      </c>
      <c r="R100" s="60">
        <f t="shared" si="17"/>
        <v>27.1</v>
      </c>
      <c r="S100" s="60">
        <f t="shared" si="17"/>
        <v>27.1</v>
      </c>
      <c r="T100" s="60">
        <f t="shared" si="17"/>
        <v>27.1</v>
      </c>
      <c r="U100" s="60">
        <f t="shared" si="17"/>
        <v>7</v>
      </c>
      <c r="V100" s="60">
        <f t="shared" si="17"/>
        <v>7</v>
      </c>
      <c r="W100" s="60">
        <f t="shared" si="17"/>
        <v>7</v>
      </c>
      <c r="X100" s="60">
        <f t="shared" si="17"/>
        <v>7</v>
      </c>
      <c r="Y100" s="60">
        <f t="shared" si="17"/>
        <v>7</v>
      </c>
      <c r="Z100" s="60">
        <f t="shared" si="17"/>
        <v>7</v>
      </c>
      <c r="AA100" s="60">
        <f t="shared" si="17"/>
        <v>24</v>
      </c>
      <c r="AB100" s="60">
        <f t="shared" si="17"/>
        <v>7</v>
      </c>
      <c r="AC100" s="60">
        <f t="shared" si="17"/>
        <v>7</v>
      </c>
      <c r="AD100" s="60">
        <f t="shared" si="17"/>
        <v>7</v>
      </c>
      <c r="AE100" s="60">
        <f t="shared" si="17"/>
        <v>17</v>
      </c>
      <c r="AF100" s="60">
        <f t="shared" si="17"/>
        <v>10</v>
      </c>
      <c r="AG100" s="87"/>
      <c r="AH100" s="47">
        <f t="shared" si="11"/>
        <v>43.7</v>
      </c>
      <c r="AI100" s="48">
        <f t="shared" si="12"/>
        <v>0</v>
      </c>
    </row>
    <row r="101" spans="1:37" x14ac:dyDescent="0.25">
      <c r="A101" s="99" t="s">
        <v>109</v>
      </c>
      <c r="B101" s="100">
        <v>50.02</v>
      </c>
      <c r="C101" s="100">
        <v>49.996000000000002</v>
      </c>
      <c r="D101" s="100">
        <v>50.031999999999996</v>
      </c>
      <c r="E101" s="100">
        <v>49.98</v>
      </c>
      <c r="F101" s="100">
        <v>50.09</v>
      </c>
      <c r="G101" s="100">
        <v>49.972999999999999</v>
      </c>
      <c r="H101" s="100">
        <v>50.015000000000001</v>
      </c>
      <c r="I101" s="100">
        <v>49.965000000000003</v>
      </c>
      <c r="J101" s="100">
        <v>49.97</v>
      </c>
      <c r="K101" s="100">
        <v>49.954000000000001</v>
      </c>
      <c r="L101" s="100">
        <v>50.031999999999996</v>
      </c>
      <c r="M101" s="100">
        <v>50.082999999999998</v>
      </c>
      <c r="N101" s="100">
        <v>50.097999999999999</v>
      </c>
      <c r="O101" s="100">
        <v>50.097999999999999</v>
      </c>
      <c r="P101" s="100">
        <v>49.994</v>
      </c>
      <c r="Q101" s="100">
        <v>49.988</v>
      </c>
      <c r="R101" s="100">
        <v>50.061999999999998</v>
      </c>
      <c r="S101" s="100">
        <v>50.143000000000001</v>
      </c>
      <c r="T101" s="100">
        <v>49.927999999999997</v>
      </c>
      <c r="U101" s="100">
        <v>49.975000000000001</v>
      </c>
      <c r="V101" s="100">
        <v>49.893999999999998</v>
      </c>
      <c r="W101" s="100">
        <v>50.095999999999997</v>
      </c>
      <c r="X101" s="100">
        <v>50.042000000000002</v>
      </c>
      <c r="Y101" s="100">
        <v>50.012</v>
      </c>
      <c r="Z101" s="100">
        <v>50.067</v>
      </c>
      <c r="AA101" s="100">
        <v>50.034999999999997</v>
      </c>
      <c r="AB101" s="100">
        <v>50.06</v>
      </c>
      <c r="AC101" s="100">
        <v>50.03</v>
      </c>
      <c r="AD101" s="100">
        <v>49.9</v>
      </c>
      <c r="AE101" s="100">
        <v>50</v>
      </c>
      <c r="AF101" s="100">
        <v>49.93</v>
      </c>
      <c r="AG101" s="101"/>
      <c r="AH101" s="47">
        <f t="shared" si="11"/>
        <v>50.143000000000001</v>
      </c>
      <c r="AI101" s="48">
        <f t="shared" si="12"/>
        <v>49.893999999999998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1"/>
        <v>0</v>
      </c>
      <c r="AI102" s="48">
        <f t="shared" si="12"/>
        <v>0</v>
      </c>
    </row>
    <row r="103" spans="1:37" x14ac:dyDescent="0.25">
      <c r="A103" s="102" t="s">
        <v>111</v>
      </c>
      <c r="B103" s="64">
        <v>128.5</v>
      </c>
      <c r="C103" s="64">
        <v>127.2</v>
      </c>
      <c r="D103" s="64">
        <v>130.1</v>
      </c>
      <c r="E103" s="64">
        <v>129.6</v>
      </c>
      <c r="F103" s="64">
        <v>129.4</v>
      </c>
      <c r="G103" s="64">
        <v>129.80000000000001</v>
      </c>
      <c r="H103" s="64">
        <v>129.9</v>
      </c>
      <c r="I103" s="64">
        <v>129.1</v>
      </c>
      <c r="J103" s="64">
        <v>128.1</v>
      </c>
      <c r="K103" s="64">
        <v>127.5</v>
      </c>
      <c r="L103" s="64">
        <v>126</v>
      </c>
      <c r="M103" s="64">
        <v>125.6</v>
      </c>
      <c r="N103" s="64">
        <v>124.4</v>
      </c>
      <c r="O103" s="64">
        <v>124.4</v>
      </c>
      <c r="P103" s="64">
        <v>125.4</v>
      </c>
      <c r="Q103" s="64">
        <v>124.9</v>
      </c>
      <c r="R103" s="64">
        <v>125.6</v>
      </c>
      <c r="S103" s="64">
        <v>126.6</v>
      </c>
      <c r="T103" s="64">
        <v>125.1</v>
      </c>
      <c r="U103" s="64">
        <v>126.5</v>
      </c>
      <c r="V103" s="64">
        <v>128.19999999999999</v>
      </c>
      <c r="W103" s="64">
        <v>128.9</v>
      </c>
      <c r="X103" s="64">
        <v>129.69999999999999</v>
      </c>
      <c r="Y103" s="64">
        <v>129.1</v>
      </c>
      <c r="Z103" s="64">
        <v>126.7</v>
      </c>
      <c r="AA103" s="64">
        <v>126.5</v>
      </c>
      <c r="AB103" s="64">
        <v>128</v>
      </c>
      <c r="AC103" s="64">
        <v>128.5</v>
      </c>
      <c r="AD103" s="64">
        <v>128</v>
      </c>
      <c r="AE103" s="64">
        <v>128</v>
      </c>
      <c r="AF103" s="64">
        <v>129</v>
      </c>
      <c r="AG103" s="103"/>
      <c r="AH103" s="47">
        <f t="shared" si="11"/>
        <v>130.1</v>
      </c>
      <c r="AI103" s="48">
        <f t="shared" si="12"/>
        <v>124.4</v>
      </c>
    </row>
    <row r="104" spans="1:37" x14ac:dyDescent="0.25">
      <c r="A104" s="102" t="s">
        <v>112</v>
      </c>
      <c r="B104" s="64">
        <v>128</v>
      </c>
      <c r="C104" s="64">
        <v>128</v>
      </c>
      <c r="D104" s="64">
        <v>129.9</v>
      </c>
      <c r="E104" s="64">
        <v>127.7</v>
      </c>
      <c r="F104" s="64">
        <v>128</v>
      </c>
      <c r="G104" s="64">
        <v>129.30000000000001</v>
      </c>
      <c r="H104" s="64">
        <v>130</v>
      </c>
      <c r="I104" s="64">
        <v>129.1</v>
      </c>
      <c r="J104" s="64">
        <v>128.5</v>
      </c>
      <c r="K104" s="64">
        <v>128</v>
      </c>
      <c r="L104" s="64">
        <v>126.4</v>
      </c>
      <c r="M104" s="64">
        <v>125.3</v>
      </c>
      <c r="N104" s="64">
        <v>127.8</v>
      </c>
      <c r="O104" s="64">
        <v>127.8</v>
      </c>
      <c r="P104" s="64">
        <v>128.5</v>
      </c>
      <c r="Q104" s="64">
        <v>128.30000000000001</v>
      </c>
      <c r="R104" s="64">
        <v>128.1</v>
      </c>
      <c r="S104" s="64">
        <v>129.4</v>
      </c>
      <c r="T104" s="64">
        <v>122.5</v>
      </c>
      <c r="U104" s="64">
        <v>128.6</v>
      </c>
      <c r="V104" s="64">
        <v>129.4</v>
      </c>
      <c r="W104" s="64">
        <v>127.8</v>
      </c>
      <c r="X104" s="64">
        <v>132.1</v>
      </c>
      <c r="Y104" s="64">
        <v>127.1</v>
      </c>
      <c r="Z104" s="64">
        <v>127.8</v>
      </c>
      <c r="AA104" s="64">
        <v>128.1</v>
      </c>
      <c r="AB104" s="64">
        <v>129.69999999999999</v>
      </c>
      <c r="AC104" s="64">
        <v>126.1</v>
      </c>
      <c r="AD104" s="64">
        <v>125</v>
      </c>
      <c r="AE104" s="64">
        <v>125</v>
      </c>
      <c r="AF104" s="64">
        <v>128</v>
      </c>
      <c r="AG104" s="103"/>
      <c r="AH104" s="47">
        <f t="shared" si="11"/>
        <v>132.1</v>
      </c>
      <c r="AI104" s="48">
        <f t="shared" si="12"/>
        <v>122.5</v>
      </c>
    </row>
    <row r="105" spans="1:37" x14ac:dyDescent="0.25">
      <c r="A105" s="104" t="s">
        <v>113</v>
      </c>
      <c r="B105" s="64">
        <v>130.9</v>
      </c>
      <c r="C105" s="64">
        <v>129.9</v>
      </c>
      <c r="D105" s="64">
        <v>131.9</v>
      </c>
      <c r="E105" s="64">
        <v>129.1</v>
      </c>
      <c r="F105" s="64">
        <v>128.9</v>
      </c>
      <c r="G105" s="64">
        <v>133.19999999999999</v>
      </c>
      <c r="H105" s="64">
        <v>131.69999999999999</v>
      </c>
      <c r="I105" s="64">
        <v>130.6</v>
      </c>
      <c r="J105" s="64">
        <v>131.4</v>
      </c>
      <c r="K105" s="64">
        <v>131.21</v>
      </c>
      <c r="L105" s="64">
        <v>128.80000000000001</v>
      </c>
      <c r="M105" s="64">
        <v>127.2</v>
      </c>
      <c r="N105" s="64">
        <v>128.19999999999999</v>
      </c>
      <c r="O105" s="64">
        <v>128.19999999999999</v>
      </c>
      <c r="P105" s="64">
        <v>128.30000000000001</v>
      </c>
      <c r="Q105" s="64">
        <v>128.30000000000001</v>
      </c>
      <c r="R105" s="64">
        <v>129.69999999999999</v>
      </c>
      <c r="S105" s="64">
        <v>130.80000000000001</v>
      </c>
      <c r="T105" s="64">
        <v>123.1</v>
      </c>
      <c r="U105" s="64">
        <v>130</v>
      </c>
      <c r="V105" s="64">
        <v>130.69999999999999</v>
      </c>
      <c r="W105" s="64">
        <v>129</v>
      </c>
      <c r="X105" s="64">
        <v>133.30000000000001</v>
      </c>
      <c r="Y105" s="64">
        <v>129.19999999999999</v>
      </c>
      <c r="Z105" s="64">
        <v>129</v>
      </c>
      <c r="AA105" s="64">
        <v>128.69999999999999</v>
      </c>
      <c r="AB105" s="64">
        <v>130.80000000000001</v>
      </c>
      <c r="AC105" s="64">
        <v>128.1</v>
      </c>
      <c r="AD105" s="64">
        <v>127</v>
      </c>
      <c r="AE105" s="64">
        <v>127</v>
      </c>
      <c r="AF105" s="64">
        <v>130</v>
      </c>
      <c r="AG105" s="103"/>
      <c r="AH105" s="47">
        <f t="shared" si="11"/>
        <v>133.30000000000001</v>
      </c>
      <c r="AI105" s="48">
        <f t="shared" si="12"/>
        <v>123.1</v>
      </c>
    </row>
    <row r="106" spans="1:37" x14ac:dyDescent="0.25">
      <c r="A106" s="104" t="s">
        <v>114</v>
      </c>
      <c r="B106" s="105">
        <v>132.30000000000001</v>
      </c>
      <c r="C106" s="105">
        <v>132.9</v>
      </c>
      <c r="D106" s="105">
        <v>133.6</v>
      </c>
      <c r="E106" s="105">
        <v>131.6</v>
      </c>
      <c r="F106" s="105">
        <v>130.6</v>
      </c>
      <c r="G106" s="105">
        <v>129.19999999999999</v>
      </c>
      <c r="H106" s="105">
        <v>130.1</v>
      </c>
      <c r="I106" s="105">
        <v>129.1</v>
      </c>
      <c r="J106" s="105">
        <v>131.80000000000001</v>
      </c>
      <c r="K106" s="105">
        <v>131.6</v>
      </c>
      <c r="L106" s="105">
        <v>130.5</v>
      </c>
      <c r="M106" s="105">
        <v>131.80000000000001</v>
      </c>
      <c r="N106" s="105">
        <v>128.5</v>
      </c>
      <c r="O106" s="105">
        <v>128.5</v>
      </c>
      <c r="P106" s="105">
        <v>130.4</v>
      </c>
      <c r="Q106" s="105">
        <v>133.1</v>
      </c>
      <c r="R106" s="105">
        <v>131.6</v>
      </c>
      <c r="S106" s="105">
        <v>133.4</v>
      </c>
      <c r="T106" s="105">
        <v>128.4</v>
      </c>
      <c r="U106" s="105">
        <v>132.6</v>
      </c>
      <c r="V106" s="105">
        <v>134.19999999999999</v>
      </c>
      <c r="W106" s="105">
        <v>131.30000000000001</v>
      </c>
      <c r="X106" s="105">
        <v>133.19999999999999</v>
      </c>
      <c r="Y106" s="105">
        <v>134.19999999999999</v>
      </c>
      <c r="Z106" s="105">
        <v>132.30000000000001</v>
      </c>
      <c r="AA106" s="105">
        <v>129.30000000000001</v>
      </c>
      <c r="AB106" s="105">
        <v>133.5</v>
      </c>
      <c r="AC106" s="105">
        <v>133.6</v>
      </c>
      <c r="AD106" s="105">
        <v>131.69999999999999</v>
      </c>
      <c r="AE106" s="105">
        <v>131.69999999999999</v>
      </c>
      <c r="AF106" s="105">
        <v>128</v>
      </c>
      <c r="AG106" s="106"/>
      <c r="AH106" s="47">
        <f t="shared" si="11"/>
        <v>134.19999999999999</v>
      </c>
      <c r="AI106" s="48">
        <f t="shared" si="12"/>
        <v>128</v>
      </c>
    </row>
    <row r="107" spans="1:37" x14ac:dyDescent="0.25">
      <c r="A107" s="102" t="s">
        <v>115</v>
      </c>
      <c r="B107" s="64">
        <v>128.80000000000001</v>
      </c>
      <c r="C107" s="64">
        <v>127.4</v>
      </c>
      <c r="D107" s="64">
        <v>126.6</v>
      </c>
      <c r="E107" s="64">
        <v>129.6</v>
      </c>
      <c r="F107" s="64">
        <v>127.8</v>
      </c>
      <c r="G107" s="64">
        <v>124.1</v>
      </c>
      <c r="H107" s="64">
        <v>126.4</v>
      </c>
      <c r="I107" s="64">
        <v>124.4</v>
      </c>
      <c r="J107" s="64">
        <v>132.69999999999999</v>
      </c>
      <c r="K107" s="64">
        <v>129</v>
      </c>
      <c r="L107" s="64">
        <v>125</v>
      </c>
      <c r="M107" s="64">
        <v>129.9</v>
      </c>
      <c r="N107" s="64">
        <v>125.4</v>
      </c>
      <c r="O107" s="64">
        <v>125.4</v>
      </c>
      <c r="P107" s="64">
        <v>130.19999999999999</v>
      </c>
      <c r="Q107" s="64">
        <v>129.4</v>
      </c>
      <c r="R107" s="64">
        <v>130.1</v>
      </c>
      <c r="S107" s="64">
        <v>132.5</v>
      </c>
      <c r="T107" s="64">
        <v>132.9</v>
      </c>
      <c r="U107" s="64">
        <v>132.19999999999999</v>
      </c>
      <c r="V107" s="64">
        <v>137.80000000000001</v>
      </c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103"/>
      <c r="AH107" s="47">
        <f t="shared" si="11"/>
        <v>137.80000000000001</v>
      </c>
      <c r="AI107" s="48">
        <f t="shared" si="12"/>
        <v>124.1</v>
      </c>
    </row>
    <row r="108" spans="1:37" ht="15.75" thickBot="1" x14ac:dyDescent="0.3">
      <c r="A108" s="102" t="s">
        <v>116</v>
      </c>
      <c r="B108" s="91">
        <v>64.599999999999994</v>
      </c>
      <c r="C108" s="91">
        <v>63.9</v>
      </c>
      <c r="D108" s="91">
        <v>65.599999999999994</v>
      </c>
      <c r="E108" s="91">
        <v>64.8</v>
      </c>
      <c r="F108" s="91">
        <v>65.099999999999994</v>
      </c>
      <c r="G108" s="91">
        <v>65.099999999999994</v>
      </c>
      <c r="H108" s="91">
        <v>65</v>
      </c>
      <c r="I108" s="91">
        <v>64.900000000000006</v>
      </c>
      <c r="J108" s="91">
        <v>64.3</v>
      </c>
      <c r="K108" s="91">
        <v>64.099999999999994</v>
      </c>
      <c r="L108" s="91">
        <v>62.8</v>
      </c>
      <c r="M108" s="91">
        <v>63.1</v>
      </c>
      <c r="N108" s="91">
        <v>62.3</v>
      </c>
      <c r="O108" s="91">
        <v>62.3</v>
      </c>
      <c r="P108" s="91">
        <v>62.6</v>
      </c>
      <c r="Q108" s="91">
        <v>62.4</v>
      </c>
      <c r="R108" s="91">
        <v>62.8</v>
      </c>
      <c r="S108" s="91">
        <v>63.2</v>
      </c>
      <c r="T108" s="91">
        <v>62.3</v>
      </c>
      <c r="U108" s="91">
        <v>63.4</v>
      </c>
      <c r="V108" s="91">
        <v>64.2</v>
      </c>
      <c r="W108" s="91">
        <v>64.599999999999994</v>
      </c>
      <c r="X108" s="91">
        <v>64.8</v>
      </c>
      <c r="Y108" s="91">
        <v>64.599999999999994</v>
      </c>
      <c r="Z108" s="91">
        <v>63.6</v>
      </c>
      <c r="AA108" s="91">
        <v>63.5</v>
      </c>
      <c r="AB108" s="91">
        <v>64.3</v>
      </c>
      <c r="AC108" s="91">
        <v>64.099999999999994</v>
      </c>
      <c r="AD108" s="91">
        <v>64.400000000000006</v>
      </c>
      <c r="AE108" s="91">
        <v>64.400000000000006</v>
      </c>
      <c r="AF108" s="91">
        <v>64.7</v>
      </c>
      <c r="AG108" s="107"/>
      <c r="AH108" s="47">
        <f t="shared" si="11"/>
        <v>65.599999999999994</v>
      </c>
      <c r="AI108" s="48">
        <f t="shared" si="12"/>
        <v>62.3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11"/>
        <v>0</v>
      </c>
      <c r="AI109" s="48">
        <f t="shared" si="12"/>
        <v>0</v>
      </c>
    </row>
    <row r="110" spans="1:37" ht="15.75" thickBot="1" x14ac:dyDescent="0.3">
      <c r="A110" s="109" t="s">
        <v>118</v>
      </c>
      <c r="B110" s="110">
        <f t="shared" ref="B110:O110" si="18">SUM(B20,B26,B29:B30,B58,B60:B61,B63,B65,B111:B115,B138,B144,B150,B159,B161,B173,B180,B183:B184,B191,B193,B195,B199:B201,B203:B205,B210,B216:B217,B219:B221,B229,B234)</f>
        <v>27.799999999999972</v>
      </c>
      <c r="C110" s="110">
        <f t="shared" si="18"/>
        <v>98.74</v>
      </c>
      <c r="D110" s="110">
        <f t="shared" si="18"/>
        <v>26.43999999999998</v>
      </c>
      <c r="E110" s="110">
        <f t="shared" si="18"/>
        <v>18.839999999999979</v>
      </c>
      <c r="F110" s="110">
        <f t="shared" si="18"/>
        <v>29.640000000000025</v>
      </c>
      <c r="G110" s="110">
        <f t="shared" si="18"/>
        <v>36.640000000000022</v>
      </c>
      <c r="H110" s="110">
        <f t="shared" si="18"/>
        <v>43.24000000000003</v>
      </c>
      <c r="I110" s="110">
        <f t="shared" si="18"/>
        <v>66.44</v>
      </c>
      <c r="J110" s="110">
        <f t="shared" si="18"/>
        <v>125.63999999999999</v>
      </c>
      <c r="K110" s="110">
        <f t="shared" si="18"/>
        <v>158.83999999999997</v>
      </c>
      <c r="L110" s="110">
        <f t="shared" si="18"/>
        <v>190.14</v>
      </c>
      <c r="M110" s="110">
        <f t="shared" si="18"/>
        <v>211.83999999999997</v>
      </c>
      <c r="N110" s="110">
        <f t="shared" si="18"/>
        <v>165.54</v>
      </c>
      <c r="O110" s="110">
        <f t="shared" si="18"/>
        <v>167.34</v>
      </c>
      <c r="P110" s="110">
        <v>42</v>
      </c>
      <c r="Q110" s="110">
        <f t="shared" ref="Q110:AF110" si="19">SUM(Q20,Q26,Q29:Q30,Q58,Q60:Q61,Q63,Q65,Q111:Q115,Q138,Q144,Q150,Q159,Q161,Q173,Q180,Q183:Q184,Q191,Q193,Q195,Q199:Q201,Q203:Q205,Q210,Q216:Q217,Q219:Q221,Q229,Q234)</f>
        <v>171.9</v>
      </c>
      <c r="R110" s="110">
        <f t="shared" si="19"/>
        <v>162.79999999999995</v>
      </c>
      <c r="S110" s="110">
        <f t="shared" si="19"/>
        <v>162.09999999999997</v>
      </c>
      <c r="T110" s="110">
        <f t="shared" si="19"/>
        <v>150.29999999999995</v>
      </c>
      <c r="U110" s="110">
        <f t="shared" si="19"/>
        <v>155.6</v>
      </c>
      <c r="V110" s="110">
        <f t="shared" si="19"/>
        <v>149.20000000000002</v>
      </c>
      <c r="W110" s="110">
        <f t="shared" si="19"/>
        <v>146.6</v>
      </c>
      <c r="X110" s="110">
        <f t="shared" si="19"/>
        <v>138.30000000000001</v>
      </c>
      <c r="Y110" s="110">
        <f t="shared" si="19"/>
        <v>174.8</v>
      </c>
      <c r="Z110" s="110">
        <f t="shared" si="19"/>
        <v>236.7</v>
      </c>
      <c r="AA110" s="110">
        <f t="shared" si="19"/>
        <v>232</v>
      </c>
      <c r="AB110" s="110">
        <f t="shared" si="19"/>
        <v>197.2</v>
      </c>
      <c r="AC110" s="110">
        <f t="shared" si="19"/>
        <v>181.29999999999995</v>
      </c>
      <c r="AD110" s="110"/>
      <c r="AE110" s="110">
        <f t="shared" si="19"/>
        <v>95.299999999999983</v>
      </c>
      <c r="AF110" s="110">
        <f t="shared" si="19"/>
        <v>54.599999999999994</v>
      </c>
      <c r="AG110" s="111"/>
      <c r="AH110" s="47">
        <f t="shared" si="11"/>
        <v>236.7</v>
      </c>
      <c r="AI110" s="48">
        <f t="shared" si="12"/>
        <v>18.839999999999979</v>
      </c>
    </row>
    <row r="111" spans="1:37" x14ac:dyDescent="0.25">
      <c r="A111" s="99" t="s">
        <v>119</v>
      </c>
      <c r="B111" s="112">
        <v>24.2</v>
      </c>
      <c r="C111" s="112">
        <v>38.700000000000003</v>
      </c>
      <c r="D111" s="112">
        <v>29.6</v>
      </c>
      <c r="E111" s="112">
        <v>20.5</v>
      </c>
      <c r="F111" s="112">
        <v>19.8</v>
      </c>
      <c r="G111" s="112">
        <v>18.899999999999999</v>
      </c>
      <c r="H111" s="112">
        <v>21.3</v>
      </c>
      <c r="I111" s="112">
        <v>23.8</v>
      </c>
      <c r="J111" s="112">
        <v>35</v>
      </c>
      <c r="K111" s="112">
        <v>42.7</v>
      </c>
      <c r="L111" s="112">
        <v>37.9</v>
      </c>
      <c r="M111" s="112">
        <v>58.1</v>
      </c>
      <c r="N111" s="112">
        <v>39.700000000000003</v>
      </c>
      <c r="O111" s="112">
        <v>39.700000000000003</v>
      </c>
      <c r="P111" s="112">
        <v>40.1</v>
      </c>
      <c r="Q111" s="112">
        <v>42.1</v>
      </c>
      <c r="R111" s="112">
        <v>37.299999999999997</v>
      </c>
      <c r="S111" s="112">
        <v>36.1</v>
      </c>
      <c r="T111" s="112">
        <v>41.3</v>
      </c>
      <c r="U111" s="112">
        <v>38.5</v>
      </c>
      <c r="V111" s="112">
        <v>25.9</v>
      </c>
      <c r="W111" s="112">
        <v>28.4</v>
      </c>
      <c r="X111" s="112">
        <v>27.4</v>
      </c>
      <c r="Y111" s="112">
        <v>31.8</v>
      </c>
      <c r="Z111" s="112">
        <v>66.3</v>
      </c>
      <c r="AA111" s="112">
        <v>58.7</v>
      </c>
      <c r="AB111" s="112">
        <v>58</v>
      </c>
      <c r="AC111" s="112">
        <v>31</v>
      </c>
      <c r="AD111" s="112">
        <v>70</v>
      </c>
      <c r="AE111" s="112">
        <v>56</v>
      </c>
      <c r="AF111" s="112">
        <v>42</v>
      </c>
      <c r="AG111" s="113">
        <v>75</v>
      </c>
      <c r="AH111" s="47">
        <f t="shared" si="11"/>
        <v>70</v>
      </c>
      <c r="AI111" s="48">
        <f t="shared" si="12"/>
        <v>18.899999999999999</v>
      </c>
    </row>
    <row r="112" spans="1:37" x14ac:dyDescent="0.25">
      <c r="A112" s="102" t="s">
        <v>120</v>
      </c>
      <c r="B112" s="114">
        <v>40</v>
      </c>
      <c r="C112" s="114">
        <v>61.6</v>
      </c>
      <c r="D112" s="114">
        <v>48.7</v>
      </c>
      <c r="E112" s="114">
        <v>34.799999999999997</v>
      </c>
      <c r="F112" s="114">
        <v>35.9</v>
      </c>
      <c r="G112" s="114">
        <v>31.4</v>
      </c>
      <c r="H112" s="114">
        <v>37.299999999999997</v>
      </c>
      <c r="I112" s="114">
        <v>39.200000000000003</v>
      </c>
      <c r="J112" s="114">
        <v>54.4</v>
      </c>
      <c r="K112" s="114">
        <v>68.099999999999994</v>
      </c>
      <c r="L112" s="114">
        <v>58.9</v>
      </c>
      <c r="M112" s="114">
        <v>89.2</v>
      </c>
      <c r="N112" s="114">
        <v>61.2</v>
      </c>
      <c r="O112" s="114">
        <v>61.2</v>
      </c>
      <c r="P112" s="114">
        <v>61.8</v>
      </c>
      <c r="Q112" s="114">
        <v>64.8</v>
      </c>
      <c r="R112" s="114">
        <v>58.2</v>
      </c>
      <c r="S112" s="114">
        <v>56.5</v>
      </c>
      <c r="T112" s="114">
        <v>64.900000000000006</v>
      </c>
      <c r="U112" s="114">
        <v>55.1</v>
      </c>
      <c r="V112" s="114">
        <v>42.4</v>
      </c>
      <c r="W112" s="114">
        <v>39.299999999999997</v>
      </c>
      <c r="X112" s="114">
        <v>37.299999999999997</v>
      </c>
      <c r="Y112" s="114">
        <v>44.4</v>
      </c>
      <c r="Z112" s="114">
        <v>96.8</v>
      </c>
      <c r="AA112" s="114">
        <v>87.7</v>
      </c>
      <c r="AB112" s="114">
        <v>41</v>
      </c>
      <c r="AC112" s="114">
        <v>48.1</v>
      </c>
      <c r="AD112" s="114">
        <v>46</v>
      </c>
      <c r="AE112" s="114">
        <v>39</v>
      </c>
      <c r="AF112" s="114">
        <v>26</v>
      </c>
      <c r="AG112" s="113">
        <v>240</v>
      </c>
      <c r="AH112" s="47">
        <f t="shared" si="11"/>
        <v>96.8</v>
      </c>
      <c r="AI112" s="48">
        <f t="shared" si="12"/>
        <v>26</v>
      </c>
    </row>
    <row r="113" spans="1:37" x14ac:dyDescent="0.25">
      <c r="A113" s="102" t="s">
        <v>121</v>
      </c>
      <c r="B113" s="114">
        <v>-180</v>
      </c>
      <c r="C113" s="114">
        <v>-148</v>
      </c>
      <c r="D113" s="114">
        <v>-180</v>
      </c>
      <c r="E113" s="114">
        <v>-169.8</v>
      </c>
      <c r="F113" s="114">
        <v>-168</v>
      </c>
      <c r="G113" s="114">
        <v>-155.6</v>
      </c>
      <c r="H113" s="114">
        <v>-159</v>
      </c>
      <c r="I113" s="114">
        <v>-145.6</v>
      </c>
      <c r="J113" s="114">
        <v>-116</v>
      </c>
      <c r="K113" s="114">
        <v>-115.2</v>
      </c>
      <c r="L113" s="114">
        <v>-89.6</v>
      </c>
      <c r="M113" s="114">
        <v>-120</v>
      </c>
      <c r="N113" s="114">
        <v>-120</v>
      </c>
      <c r="O113" s="114">
        <v>-120</v>
      </c>
      <c r="P113" s="114">
        <v>-112</v>
      </c>
      <c r="Q113" s="114">
        <v>-125.5</v>
      </c>
      <c r="R113" s="114">
        <v>-121</v>
      </c>
      <c r="S113" s="114">
        <v>-115</v>
      </c>
      <c r="T113" s="114">
        <v>-127</v>
      </c>
      <c r="U113" s="114">
        <f>-54-58.4</f>
        <v>-112.4</v>
      </c>
      <c r="V113" s="114">
        <v>-73</v>
      </c>
      <c r="W113" s="114">
        <v>-78</v>
      </c>
      <c r="X113" s="114">
        <v>-78</v>
      </c>
      <c r="Y113" s="114">
        <v>-75</v>
      </c>
      <c r="Z113" s="114">
        <v>-140</v>
      </c>
      <c r="AA113" s="114">
        <v>-130</v>
      </c>
      <c r="AB113" s="114">
        <v>-120</v>
      </c>
      <c r="AC113" s="114">
        <f>-57.7-62.1</f>
        <v>-119.80000000000001</v>
      </c>
      <c r="AD113" s="114">
        <v>-166</v>
      </c>
      <c r="AE113" s="114">
        <v>-160</v>
      </c>
      <c r="AF113" s="114">
        <v>-155</v>
      </c>
      <c r="AG113" s="113">
        <v>240</v>
      </c>
      <c r="AH113" s="47">
        <f t="shared" si="11"/>
        <v>-73</v>
      </c>
      <c r="AI113" s="48">
        <f t="shared" si="12"/>
        <v>-180</v>
      </c>
    </row>
    <row r="114" spans="1:37" x14ac:dyDescent="0.25">
      <c r="A114" s="102" t="s">
        <v>122</v>
      </c>
      <c r="B114" s="114">
        <v>-17.7</v>
      </c>
      <c r="C114" s="114">
        <v>-15.8</v>
      </c>
      <c r="D114" s="114">
        <v>-18.399999999999999</v>
      </c>
      <c r="E114" s="114">
        <v>-18.5</v>
      </c>
      <c r="F114" s="114">
        <v>-14.7</v>
      </c>
      <c r="G114" s="114">
        <v>-14.7</v>
      </c>
      <c r="H114" s="114">
        <v>-13</v>
      </c>
      <c r="I114" s="114">
        <v>-7.4</v>
      </c>
      <c r="J114" s="114">
        <v>-4.0999999999999996</v>
      </c>
      <c r="K114" s="114">
        <v>-4.5</v>
      </c>
      <c r="L114" s="114">
        <v>1</v>
      </c>
      <c r="M114" s="114">
        <v>-2</v>
      </c>
      <c r="N114" s="114">
        <v>-4</v>
      </c>
      <c r="O114" s="114">
        <v>-4</v>
      </c>
      <c r="P114" s="114">
        <v>0</v>
      </c>
      <c r="Q114" s="114">
        <v>0</v>
      </c>
      <c r="R114" s="114">
        <v>0.3</v>
      </c>
      <c r="S114" s="114">
        <v>1.2</v>
      </c>
      <c r="T114" s="114">
        <v>-4</v>
      </c>
      <c r="U114" s="114">
        <v>-1.5</v>
      </c>
      <c r="V114" s="114">
        <v>5</v>
      </c>
      <c r="W114" s="114">
        <v>3.6</v>
      </c>
      <c r="X114" s="114">
        <v>2.8</v>
      </c>
      <c r="Y114" s="114">
        <v>6</v>
      </c>
      <c r="Z114" s="114">
        <v>-2</v>
      </c>
      <c r="AA114" s="114">
        <v>-3</v>
      </c>
      <c r="AB114" s="114">
        <v>0</v>
      </c>
      <c r="AC114" s="114">
        <v>2.2999999999999998</v>
      </c>
      <c r="AD114" s="114">
        <v>-5</v>
      </c>
      <c r="AE114" s="114">
        <v>-8</v>
      </c>
      <c r="AF114" s="114">
        <v>-10</v>
      </c>
      <c r="AG114" s="113">
        <v>60</v>
      </c>
      <c r="AH114" s="47">
        <f t="shared" si="11"/>
        <v>6</v>
      </c>
      <c r="AI114" s="48">
        <f t="shared" si="12"/>
        <v>-18.5</v>
      </c>
    </row>
    <row r="115" spans="1:37" x14ac:dyDescent="0.25">
      <c r="A115" s="115" t="s">
        <v>123</v>
      </c>
      <c r="B115" s="116">
        <v>7</v>
      </c>
      <c r="C115" s="116">
        <v>7</v>
      </c>
      <c r="D115" s="116">
        <v>7</v>
      </c>
      <c r="E115" s="116">
        <v>7</v>
      </c>
      <c r="F115" s="116">
        <v>6.8</v>
      </c>
      <c r="G115" s="116">
        <v>6.8</v>
      </c>
      <c r="H115" s="116">
        <v>6.4</v>
      </c>
      <c r="I115" s="116">
        <v>6</v>
      </c>
      <c r="J115" s="116">
        <v>5.9</v>
      </c>
      <c r="K115" s="116">
        <v>6.7</v>
      </c>
      <c r="L115" s="116">
        <v>6.9</v>
      </c>
      <c r="M115" s="116">
        <v>7.5</v>
      </c>
      <c r="N115" s="116">
        <v>18.399999999999999</v>
      </c>
      <c r="O115" s="116">
        <v>18.399999999999999</v>
      </c>
      <c r="P115" s="116">
        <v>19.100000000000001</v>
      </c>
      <c r="Q115" s="116">
        <v>19.399999999999999</v>
      </c>
      <c r="R115" s="116">
        <v>19.2</v>
      </c>
      <c r="S115" s="116">
        <v>23.5</v>
      </c>
      <c r="T115" s="116">
        <v>13</v>
      </c>
      <c r="U115" s="116">
        <v>13.3</v>
      </c>
      <c r="V115" s="116">
        <v>13</v>
      </c>
      <c r="W115" s="116">
        <v>13</v>
      </c>
      <c r="X115" s="116">
        <v>13</v>
      </c>
      <c r="Y115" s="116">
        <v>17</v>
      </c>
      <c r="Z115" s="116">
        <v>60</v>
      </c>
      <c r="AA115" s="116">
        <v>63</v>
      </c>
      <c r="AB115" s="116">
        <v>62.6</v>
      </c>
      <c r="AC115" s="116">
        <v>63.4</v>
      </c>
      <c r="AD115" s="116">
        <v>64</v>
      </c>
      <c r="AE115" s="116">
        <v>12</v>
      </c>
      <c r="AF115" s="116">
        <v>2</v>
      </c>
      <c r="AG115" s="117">
        <v>120</v>
      </c>
      <c r="AH115" s="47">
        <f t="shared" si="11"/>
        <v>64</v>
      </c>
      <c r="AI115" s="48">
        <f t="shared" si="12"/>
        <v>2</v>
      </c>
    </row>
    <row r="116" spans="1:37" x14ac:dyDescent="0.25">
      <c r="A116" s="115" t="s">
        <v>124</v>
      </c>
      <c r="B116" s="116">
        <v>59</v>
      </c>
      <c r="C116" s="116">
        <v>72.8</v>
      </c>
      <c r="D116" s="116">
        <v>56</v>
      </c>
      <c r="E116" s="116">
        <v>61.8</v>
      </c>
      <c r="F116" s="116">
        <v>54</v>
      </c>
      <c r="G116" s="116">
        <v>50.2</v>
      </c>
      <c r="H116" s="116">
        <v>42.7</v>
      </c>
      <c r="I116" s="116">
        <v>61.1</v>
      </c>
      <c r="J116" s="116">
        <v>71.099999999999994</v>
      </c>
      <c r="K116" s="116">
        <v>70.400000000000006</v>
      </c>
      <c r="L116" s="116">
        <v>92.6</v>
      </c>
      <c r="M116" s="116">
        <v>85.1</v>
      </c>
      <c r="N116" s="116">
        <v>94.5</v>
      </c>
      <c r="O116" s="116">
        <v>94.5</v>
      </c>
      <c r="P116" s="116">
        <v>88.2</v>
      </c>
      <c r="Q116" s="116">
        <v>83.1</v>
      </c>
      <c r="R116" s="116">
        <v>91.2</v>
      </c>
      <c r="S116" s="116">
        <v>96</v>
      </c>
      <c r="T116" s="116">
        <v>85</v>
      </c>
      <c r="U116" s="116">
        <v>85.8</v>
      </c>
      <c r="V116" s="116">
        <v>73</v>
      </c>
      <c r="W116" s="116">
        <v>69</v>
      </c>
      <c r="X116" s="116">
        <v>69</v>
      </c>
      <c r="Y116" s="116">
        <v>69</v>
      </c>
      <c r="Z116" s="116">
        <v>63</v>
      </c>
      <c r="AA116" s="116">
        <v>59</v>
      </c>
      <c r="AB116" s="116">
        <v>82</v>
      </c>
      <c r="AC116" s="116">
        <v>76.2</v>
      </c>
      <c r="AD116" s="116">
        <v>53</v>
      </c>
      <c r="AE116" s="116">
        <v>51</v>
      </c>
      <c r="AF116" s="116">
        <v>68</v>
      </c>
      <c r="AG116" s="117"/>
      <c r="AH116" s="47">
        <f t="shared" si="11"/>
        <v>96</v>
      </c>
      <c r="AI116" s="48">
        <f t="shared" si="12"/>
        <v>42.7</v>
      </c>
    </row>
    <row r="117" spans="1:37" x14ac:dyDescent="0.25">
      <c r="A117" s="115" t="s">
        <v>125</v>
      </c>
      <c r="B117" s="116">
        <v>38.200000000000003</v>
      </c>
      <c r="C117" s="116">
        <v>31.2</v>
      </c>
      <c r="D117" s="116">
        <v>26.9</v>
      </c>
      <c r="E117" s="116">
        <v>33.4</v>
      </c>
      <c r="F117" s="116">
        <v>46.2</v>
      </c>
      <c r="G117" s="116">
        <v>44.2</v>
      </c>
      <c r="H117" s="116">
        <v>45.4</v>
      </c>
      <c r="I117" s="116">
        <v>42.1</v>
      </c>
      <c r="J117" s="116">
        <v>47.3</v>
      </c>
      <c r="K117" s="116">
        <v>44.6</v>
      </c>
      <c r="L117" s="116">
        <v>39.200000000000003</v>
      </c>
      <c r="M117" s="116">
        <v>18.600000000000001</v>
      </c>
      <c r="N117" s="116">
        <v>30.5</v>
      </c>
      <c r="O117" s="116">
        <v>30.5</v>
      </c>
      <c r="P117" s="116">
        <v>17.7</v>
      </c>
      <c r="Q117" s="116">
        <v>22.1</v>
      </c>
      <c r="R117" s="116">
        <v>25.2</v>
      </c>
      <c r="S117" s="116">
        <v>2</v>
      </c>
      <c r="T117" s="116">
        <v>-14</v>
      </c>
      <c r="U117" s="116">
        <v>18.399999999999999</v>
      </c>
      <c r="V117" s="116">
        <v>6.5</v>
      </c>
      <c r="W117" s="116">
        <v>0</v>
      </c>
      <c r="X117" s="116"/>
      <c r="Y117" s="116"/>
      <c r="Z117" s="116">
        <v>15.2</v>
      </c>
      <c r="AA117" s="116">
        <v>25</v>
      </c>
      <c r="AB117" s="116">
        <v>30</v>
      </c>
      <c r="AC117" s="116">
        <v>41.3</v>
      </c>
      <c r="AD117" s="116">
        <v>41</v>
      </c>
      <c r="AE117" s="116">
        <v>25</v>
      </c>
      <c r="AF117" s="116">
        <v>46</v>
      </c>
      <c r="AG117" s="118"/>
      <c r="AH117" s="47">
        <f t="shared" si="11"/>
        <v>47.3</v>
      </c>
      <c r="AI117" s="48">
        <f t="shared" si="12"/>
        <v>-14</v>
      </c>
    </row>
    <row r="118" spans="1:37" x14ac:dyDescent="0.25">
      <c r="A118" s="119" t="s">
        <v>126</v>
      </c>
      <c r="B118" s="105">
        <v>31.2</v>
      </c>
      <c r="C118" s="105">
        <v>39.700000000000003</v>
      </c>
      <c r="D118" s="105">
        <v>41.1</v>
      </c>
      <c r="E118" s="105">
        <v>49.2</v>
      </c>
      <c r="F118" s="105">
        <v>50.2</v>
      </c>
      <c r="G118" s="105">
        <v>50</v>
      </c>
      <c r="H118" s="105">
        <v>51.5</v>
      </c>
      <c r="I118" s="105">
        <v>54.3</v>
      </c>
      <c r="J118" s="105">
        <v>52.9</v>
      </c>
      <c r="K118" s="105">
        <v>52.6</v>
      </c>
      <c r="L118" s="105">
        <v>50.9</v>
      </c>
      <c r="M118" s="105">
        <v>47.3</v>
      </c>
      <c r="N118" s="105">
        <v>39.6</v>
      </c>
      <c r="O118" s="105">
        <v>39.6</v>
      </c>
      <c r="P118" s="105">
        <v>38.1</v>
      </c>
      <c r="Q118" s="105">
        <v>37.700000000000003</v>
      </c>
      <c r="R118" s="105">
        <v>29.9</v>
      </c>
      <c r="S118" s="105">
        <v>69</v>
      </c>
      <c r="T118" s="105">
        <v>36</v>
      </c>
      <c r="U118" s="105">
        <v>31.9</v>
      </c>
      <c r="V118" s="105">
        <v>34</v>
      </c>
      <c r="W118" s="105">
        <v>35</v>
      </c>
      <c r="X118" s="105">
        <v>35.200000000000003</v>
      </c>
      <c r="Y118" s="105">
        <v>32</v>
      </c>
      <c r="Z118" s="105">
        <v>21</v>
      </c>
      <c r="AA118" s="105">
        <v>18</v>
      </c>
      <c r="AB118" s="105">
        <v>20</v>
      </c>
      <c r="AC118" s="105">
        <v>21.2</v>
      </c>
      <c r="AD118" s="105">
        <v>23</v>
      </c>
      <c r="AE118" s="105">
        <v>26</v>
      </c>
      <c r="AF118" s="105">
        <v>30</v>
      </c>
      <c r="AG118" s="118"/>
      <c r="AH118" s="47">
        <f t="shared" si="11"/>
        <v>69</v>
      </c>
      <c r="AI118" s="48">
        <f t="shared" si="12"/>
        <v>18</v>
      </c>
    </row>
    <row r="119" spans="1:37" x14ac:dyDescent="0.25">
      <c r="A119" s="120" t="s">
        <v>127</v>
      </c>
      <c r="B119" s="105">
        <v>88.1</v>
      </c>
      <c r="C119" s="105">
        <v>72.7</v>
      </c>
      <c r="D119" s="105">
        <v>88.6</v>
      </c>
      <c r="E119" s="105">
        <v>91</v>
      </c>
      <c r="F119" s="105">
        <v>86</v>
      </c>
      <c r="G119" s="105">
        <v>83</v>
      </c>
      <c r="H119" s="105">
        <v>80.5</v>
      </c>
      <c r="I119" s="105">
        <v>70.5</v>
      </c>
      <c r="J119" s="105">
        <v>54.3</v>
      </c>
      <c r="K119" s="105">
        <v>52.4</v>
      </c>
      <c r="L119" s="105">
        <v>64.3</v>
      </c>
      <c r="M119" s="105">
        <v>94.2</v>
      </c>
      <c r="N119" s="105">
        <v>85.6</v>
      </c>
      <c r="O119" s="105">
        <v>85.6</v>
      </c>
      <c r="P119" s="105">
        <v>86</v>
      </c>
      <c r="Q119" s="105">
        <v>105.4</v>
      </c>
      <c r="R119" s="105">
        <v>98.4</v>
      </c>
      <c r="S119" s="105">
        <v>73</v>
      </c>
      <c r="T119" s="105">
        <v>100</v>
      </c>
      <c r="U119" s="105">
        <v>80.900000000000006</v>
      </c>
      <c r="V119" s="105">
        <v>83</v>
      </c>
      <c r="W119" s="105">
        <v>88</v>
      </c>
      <c r="X119" s="105">
        <v>80</v>
      </c>
      <c r="Y119" s="105">
        <v>82</v>
      </c>
      <c r="Z119" s="105">
        <v>64</v>
      </c>
      <c r="AA119" s="105">
        <v>58.2</v>
      </c>
      <c r="AB119" s="105">
        <v>55</v>
      </c>
      <c r="AC119" s="105">
        <v>57.3</v>
      </c>
      <c r="AD119" s="105">
        <v>82</v>
      </c>
      <c r="AE119" s="105">
        <v>78</v>
      </c>
      <c r="AF119" s="105">
        <v>85</v>
      </c>
      <c r="AG119" s="118"/>
      <c r="AH119" s="47">
        <f t="shared" si="11"/>
        <v>105.4</v>
      </c>
      <c r="AI119" s="48">
        <f t="shared" si="12"/>
        <v>52.4</v>
      </c>
    </row>
    <row r="120" spans="1:37" ht="15.75" thickBot="1" x14ac:dyDescent="0.3">
      <c r="A120" s="119" t="s">
        <v>128</v>
      </c>
      <c r="B120" s="105">
        <v>48.5</v>
      </c>
      <c r="C120" s="105">
        <v>37.799999999999997</v>
      </c>
      <c r="D120" s="105">
        <v>31.8</v>
      </c>
      <c r="E120" s="105">
        <v>36.700000000000003</v>
      </c>
      <c r="F120" s="105">
        <v>22.6</v>
      </c>
      <c r="G120" s="105">
        <v>20.3</v>
      </c>
      <c r="H120" s="105">
        <v>12.3</v>
      </c>
      <c r="I120" s="105">
        <v>6.5</v>
      </c>
      <c r="J120" s="105">
        <v>10.6</v>
      </c>
      <c r="K120" s="105">
        <v>5</v>
      </c>
      <c r="L120" s="105">
        <v>8.9</v>
      </c>
      <c r="M120" s="105">
        <v>14.9</v>
      </c>
      <c r="N120" s="105">
        <v>17.5</v>
      </c>
      <c r="O120" s="105">
        <v>17.5</v>
      </c>
      <c r="P120" s="105">
        <v>25.7</v>
      </c>
      <c r="Q120" s="105">
        <v>22.3</v>
      </c>
      <c r="R120" s="105">
        <v>41.2</v>
      </c>
      <c r="S120" s="105">
        <v>22</v>
      </c>
      <c r="T120" s="105">
        <v>33</v>
      </c>
      <c r="U120" s="105">
        <v>40.6</v>
      </c>
      <c r="V120" s="105">
        <v>19</v>
      </c>
      <c r="W120" s="105">
        <v>21</v>
      </c>
      <c r="X120" s="105">
        <v>13</v>
      </c>
      <c r="Y120" s="105">
        <v>18</v>
      </c>
      <c r="Z120" s="105">
        <v>52</v>
      </c>
      <c r="AA120" s="105">
        <v>52</v>
      </c>
      <c r="AB120" s="105">
        <v>38</v>
      </c>
      <c r="AC120" s="105">
        <v>37.200000000000003</v>
      </c>
      <c r="AD120" s="105">
        <v>48</v>
      </c>
      <c r="AE120" s="105">
        <v>47</v>
      </c>
      <c r="AF120" s="105">
        <v>44</v>
      </c>
      <c r="AG120" s="118"/>
      <c r="AH120" s="47">
        <f t="shared" si="11"/>
        <v>52</v>
      </c>
      <c r="AI120" s="48">
        <f t="shared" si="12"/>
        <v>5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20">SUM(B122:B226)</f>
        <v>0</v>
      </c>
      <c r="C227" s="136">
        <f t="shared" si="20"/>
        <v>0</v>
      </c>
      <c r="D227" s="136">
        <f t="shared" si="20"/>
        <v>0</v>
      </c>
      <c r="E227" s="136">
        <f t="shared" si="20"/>
        <v>0</v>
      </c>
      <c r="F227" s="136">
        <f t="shared" si="20"/>
        <v>0</v>
      </c>
      <c r="G227" s="136">
        <f t="shared" si="20"/>
        <v>0</v>
      </c>
      <c r="H227" s="136">
        <f t="shared" si="20"/>
        <v>0</v>
      </c>
      <c r="I227" s="136">
        <f t="shared" si="20"/>
        <v>0</v>
      </c>
      <c r="J227" s="136">
        <f t="shared" si="20"/>
        <v>0</v>
      </c>
      <c r="K227" s="136">
        <f t="shared" si="20"/>
        <v>0</v>
      </c>
      <c r="L227" s="136">
        <f t="shared" si="20"/>
        <v>0</v>
      </c>
      <c r="M227" s="136">
        <f t="shared" si="20"/>
        <v>0</v>
      </c>
      <c r="N227" s="136">
        <f t="shared" si="20"/>
        <v>0</v>
      </c>
      <c r="O227" s="136">
        <f t="shared" si="20"/>
        <v>0</v>
      </c>
      <c r="P227" s="136">
        <f t="shared" si="20"/>
        <v>0</v>
      </c>
      <c r="Q227" s="136">
        <f t="shared" si="20"/>
        <v>0</v>
      </c>
      <c r="R227" s="136">
        <f t="shared" si="20"/>
        <v>0</v>
      </c>
      <c r="S227" s="136">
        <f t="shared" si="20"/>
        <v>0</v>
      </c>
      <c r="T227" s="136">
        <f t="shared" si="20"/>
        <v>0</v>
      </c>
      <c r="U227" s="136">
        <f t="shared" si="20"/>
        <v>0</v>
      </c>
      <c r="V227" s="136">
        <f t="shared" si="20"/>
        <v>0</v>
      </c>
      <c r="W227" s="136">
        <f t="shared" si="20"/>
        <v>0</v>
      </c>
      <c r="X227" s="136">
        <f t="shared" si="20"/>
        <v>0</v>
      </c>
      <c r="Y227" s="136">
        <f t="shared" si="20"/>
        <v>0</v>
      </c>
      <c r="Z227" s="136">
        <f t="shared" si="20"/>
        <v>0</v>
      </c>
      <c r="AA227" s="136">
        <f t="shared" si="20"/>
        <v>0</v>
      </c>
      <c r="AB227" s="136">
        <f t="shared" si="20"/>
        <v>0</v>
      </c>
      <c r="AC227" s="136">
        <f t="shared" si="20"/>
        <v>0</v>
      </c>
      <c r="AD227" s="136">
        <f t="shared" si="20"/>
        <v>0</v>
      </c>
      <c r="AE227" s="136">
        <f t="shared" si="20"/>
        <v>0</v>
      </c>
      <c r="AF227" s="137">
        <f t="shared" si="20"/>
        <v>0</v>
      </c>
      <c r="AG227" s="138">
        <f t="shared" si="20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21">AF229</f>
        <v>0</v>
      </c>
      <c r="C229" s="140">
        <v>0.3</v>
      </c>
      <c r="D229" s="140">
        <f t="shared" ref="D229:P234" si="22">C229</f>
        <v>0.3</v>
      </c>
      <c r="E229" s="140">
        <f t="shared" si="22"/>
        <v>0.3</v>
      </c>
      <c r="F229" s="140">
        <f t="shared" si="22"/>
        <v>0.3</v>
      </c>
      <c r="G229" s="140">
        <f t="shared" si="22"/>
        <v>0.3</v>
      </c>
      <c r="H229" s="140">
        <f t="shared" si="22"/>
        <v>0.3</v>
      </c>
      <c r="I229" s="140">
        <f t="shared" si="22"/>
        <v>0.3</v>
      </c>
      <c r="J229" s="140">
        <f t="shared" si="22"/>
        <v>0.3</v>
      </c>
      <c r="K229" s="140">
        <f t="shared" si="22"/>
        <v>0.3</v>
      </c>
      <c r="L229" s="140">
        <f t="shared" si="22"/>
        <v>0.3</v>
      </c>
      <c r="M229" s="140">
        <f t="shared" si="22"/>
        <v>0.3</v>
      </c>
      <c r="N229" s="140">
        <f t="shared" si="22"/>
        <v>0.3</v>
      </c>
      <c r="O229" s="140">
        <f t="shared" si="22"/>
        <v>0.3</v>
      </c>
      <c r="P229" s="140">
        <f t="shared" si="22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21"/>
        <v>0</v>
      </c>
      <c r="C230" s="128">
        <v>0.4</v>
      </c>
      <c r="D230" s="128">
        <f t="shared" si="22"/>
        <v>0.4</v>
      </c>
      <c r="E230" s="128">
        <f t="shared" si="22"/>
        <v>0.4</v>
      </c>
      <c r="F230" s="128">
        <f t="shared" si="22"/>
        <v>0.4</v>
      </c>
      <c r="G230" s="128">
        <f t="shared" si="22"/>
        <v>0.4</v>
      </c>
      <c r="H230" s="128">
        <f t="shared" si="22"/>
        <v>0.4</v>
      </c>
      <c r="I230" s="128">
        <f t="shared" si="22"/>
        <v>0.4</v>
      </c>
      <c r="J230" s="128">
        <f t="shared" si="22"/>
        <v>0.4</v>
      </c>
      <c r="K230" s="128">
        <f t="shared" si="22"/>
        <v>0.4</v>
      </c>
      <c r="L230" s="128">
        <f t="shared" si="22"/>
        <v>0.4</v>
      </c>
      <c r="M230" s="128">
        <f t="shared" si="22"/>
        <v>0.4</v>
      </c>
      <c r="N230" s="128">
        <f t="shared" si="22"/>
        <v>0.4</v>
      </c>
      <c r="O230" s="128">
        <f t="shared" si="22"/>
        <v>0.4</v>
      </c>
      <c r="P230" s="128">
        <f t="shared" si="22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21"/>
        <v>0</v>
      </c>
      <c r="C231" s="128">
        <v>1.5</v>
      </c>
      <c r="D231" s="128">
        <f t="shared" si="22"/>
        <v>1.5</v>
      </c>
      <c r="E231" s="128">
        <f t="shared" si="22"/>
        <v>1.5</v>
      </c>
      <c r="F231" s="128">
        <f t="shared" si="22"/>
        <v>1.5</v>
      </c>
      <c r="G231" s="128">
        <f t="shared" si="22"/>
        <v>1.5</v>
      </c>
      <c r="H231" s="128">
        <f t="shared" si="22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22"/>
        <v>123.21900000000009</v>
      </c>
      <c r="K231" s="128">
        <f t="shared" ca="1" si="22"/>
        <v>123.21900000000009</v>
      </c>
      <c r="L231" s="128">
        <f t="shared" ca="1" si="22"/>
        <v>123.21900000000009</v>
      </c>
      <c r="M231" s="128">
        <f t="shared" ca="1" si="22"/>
        <v>119.19900000000008</v>
      </c>
      <c r="N231" s="128">
        <f t="shared" ca="1" si="22"/>
        <v>119.19900000000008</v>
      </c>
      <c r="O231" s="128">
        <f t="shared" ca="1" si="22"/>
        <v>119.19900000000008</v>
      </c>
      <c r="P231" s="128">
        <f t="shared" ca="1" si="22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21"/>
        <v>0</v>
      </c>
      <c r="C232" s="128">
        <v>0.3</v>
      </c>
      <c r="D232" s="128">
        <f t="shared" si="22"/>
        <v>0.3</v>
      </c>
      <c r="E232" s="128">
        <f t="shared" si="22"/>
        <v>0.3</v>
      </c>
      <c r="F232" s="128">
        <f t="shared" si="22"/>
        <v>0.3</v>
      </c>
      <c r="G232" s="128">
        <f t="shared" si="22"/>
        <v>0.3</v>
      </c>
      <c r="H232" s="128">
        <f t="shared" si="22"/>
        <v>0.3</v>
      </c>
      <c r="I232" s="128">
        <f t="shared" si="22"/>
        <v>0.3</v>
      </c>
      <c r="J232" s="128">
        <f t="shared" si="22"/>
        <v>0.3</v>
      </c>
      <c r="K232" s="128">
        <f t="shared" si="22"/>
        <v>0.3</v>
      </c>
      <c r="L232" s="128">
        <f t="shared" si="22"/>
        <v>0.3</v>
      </c>
      <c r="M232" s="128">
        <f t="shared" si="22"/>
        <v>0.3</v>
      </c>
      <c r="N232" s="128">
        <f t="shared" si="22"/>
        <v>0.3</v>
      </c>
      <c r="O232" s="128">
        <f t="shared" si="22"/>
        <v>0.3</v>
      </c>
      <c r="P232" s="128">
        <f t="shared" si="22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21"/>
        <v>0</v>
      </c>
      <c r="C233" s="128">
        <v>0.4</v>
      </c>
      <c r="D233" s="128">
        <f t="shared" si="22"/>
        <v>0.4</v>
      </c>
      <c r="E233" s="128">
        <f t="shared" si="22"/>
        <v>0.4</v>
      </c>
      <c r="F233" s="128">
        <f t="shared" si="22"/>
        <v>0.4</v>
      </c>
      <c r="G233" s="128">
        <f t="shared" si="22"/>
        <v>0.4</v>
      </c>
      <c r="H233" s="128">
        <f t="shared" si="22"/>
        <v>0.4</v>
      </c>
      <c r="I233" s="128">
        <f t="shared" si="22"/>
        <v>0.4</v>
      </c>
      <c r="J233" s="128">
        <f t="shared" si="22"/>
        <v>0.4</v>
      </c>
      <c r="K233" s="128">
        <f t="shared" si="22"/>
        <v>0.4</v>
      </c>
      <c r="L233" s="128">
        <f t="shared" si="22"/>
        <v>0.4</v>
      </c>
      <c r="M233" s="128">
        <f t="shared" si="22"/>
        <v>0.4</v>
      </c>
      <c r="N233" s="128">
        <f t="shared" si="22"/>
        <v>0.4</v>
      </c>
      <c r="O233" s="128">
        <f t="shared" si="22"/>
        <v>0.4</v>
      </c>
      <c r="P233" s="128">
        <f t="shared" si="22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21"/>
        <v>0</v>
      </c>
      <c r="C234" s="132">
        <v>0.64</v>
      </c>
      <c r="D234" s="132">
        <f t="shared" si="22"/>
        <v>0.64</v>
      </c>
      <c r="E234" s="132">
        <f t="shared" si="22"/>
        <v>0.64</v>
      </c>
      <c r="F234" s="132">
        <f t="shared" si="22"/>
        <v>0.64</v>
      </c>
      <c r="G234" s="132">
        <f t="shared" si="22"/>
        <v>0.64</v>
      </c>
      <c r="H234" s="132">
        <f t="shared" si="22"/>
        <v>0.64</v>
      </c>
      <c r="I234" s="132">
        <f t="shared" si="22"/>
        <v>0.64</v>
      </c>
      <c r="J234" s="132">
        <f t="shared" si="22"/>
        <v>0.64</v>
      </c>
      <c r="K234" s="132">
        <f t="shared" si="22"/>
        <v>0.64</v>
      </c>
      <c r="L234" s="132">
        <f t="shared" si="22"/>
        <v>0.64</v>
      </c>
      <c r="M234" s="132">
        <f t="shared" si="22"/>
        <v>0.64</v>
      </c>
      <c r="N234" s="132">
        <f t="shared" si="22"/>
        <v>0.64</v>
      </c>
      <c r="O234" s="132">
        <f t="shared" si="22"/>
        <v>0.64</v>
      </c>
      <c r="P234" s="132">
        <f t="shared" si="22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23">SUM(B229:B234)</f>
        <v>0</v>
      </c>
      <c r="C235" s="136">
        <f t="shared" si="23"/>
        <v>3.54</v>
      </c>
      <c r="D235" s="136">
        <f t="shared" si="23"/>
        <v>3.54</v>
      </c>
      <c r="E235" s="136">
        <f t="shared" si="23"/>
        <v>3.54</v>
      </c>
      <c r="F235" s="136">
        <f t="shared" si="23"/>
        <v>3.54</v>
      </c>
      <c r="G235" s="136">
        <f t="shared" si="23"/>
        <v>3.54</v>
      </c>
      <c r="H235" s="136">
        <f t="shared" si="23"/>
        <v>3.54</v>
      </c>
      <c r="I235" s="136">
        <f t="shared" ca="1" si="23"/>
        <v>121.23900000000009</v>
      </c>
      <c r="J235" s="136">
        <f t="shared" ca="1" si="23"/>
        <v>121.23900000000009</v>
      </c>
      <c r="K235" s="136">
        <f t="shared" ca="1" si="23"/>
        <v>121.23900000000009</v>
      </c>
      <c r="L235" s="136">
        <f t="shared" ca="1" si="23"/>
        <v>125.2590000000001</v>
      </c>
      <c r="M235" s="136">
        <f t="shared" ca="1" si="23"/>
        <v>121.23900000000009</v>
      </c>
      <c r="N235" s="136">
        <f t="shared" ca="1" si="23"/>
        <v>121.23900000000009</v>
      </c>
      <c r="O235" s="136">
        <f t="shared" ca="1" si="23"/>
        <v>121.23900000000009</v>
      </c>
      <c r="P235" s="136">
        <f t="shared" ca="1" si="23"/>
        <v>121.23900000000009</v>
      </c>
      <c r="Q235" s="136">
        <f t="shared" si="23"/>
        <v>0</v>
      </c>
      <c r="R235" s="136">
        <f t="shared" si="23"/>
        <v>0</v>
      </c>
      <c r="S235" s="136">
        <f t="shared" si="23"/>
        <v>0</v>
      </c>
      <c r="T235" s="136">
        <f t="shared" si="23"/>
        <v>0</v>
      </c>
      <c r="U235" s="136">
        <f t="shared" si="23"/>
        <v>0</v>
      </c>
      <c r="V235" s="136">
        <f t="shared" si="23"/>
        <v>0</v>
      </c>
      <c r="W235" s="136">
        <f t="shared" si="23"/>
        <v>0</v>
      </c>
      <c r="X235" s="136">
        <f t="shared" si="23"/>
        <v>0</v>
      </c>
      <c r="Y235" s="136">
        <f t="shared" si="23"/>
        <v>0</v>
      </c>
      <c r="Z235" s="136">
        <f t="shared" si="23"/>
        <v>0</v>
      </c>
      <c r="AA235" s="136">
        <f t="shared" si="23"/>
        <v>0</v>
      </c>
      <c r="AB235" s="136">
        <f t="shared" si="23"/>
        <v>0</v>
      </c>
      <c r="AC235" s="136">
        <f t="shared" si="23"/>
        <v>0</v>
      </c>
      <c r="AD235" s="136">
        <f t="shared" si="23"/>
        <v>0</v>
      </c>
      <c r="AE235" s="136">
        <f t="shared" si="23"/>
        <v>0</v>
      </c>
      <c r="AF235" s="136">
        <f t="shared" si="23"/>
        <v>0</v>
      </c>
      <c r="AG235" s="145">
        <f t="shared" si="23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2022.4400000000003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12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2080/04/12)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2080/04/12)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24">B91</f>
        <v>1993.84</v>
      </c>
      <c r="U249" s="170">
        <f t="shared" si="24"/>
        <v>1998.44</v>
      </c>
      <c r="V249" s="170">
        <f t="shared" si="24"/>
        <v>1955.2400000000002</v>
      </c>
      <c r="W249" s="170">
        <f t="shared" si="24"/>
        <v>1919.14</v>
      </c>
      <c r="X249" s="170">
        <f t="shared" si="24"/>
        <v>1945.3400000000001</v>
      </c>
      <c r="Y249" s="170">
        <f t="shared" si="24"/>
        <v>1971.0400000000002</v>
      </c>
      <c r="Z249" s="170">
        <f t="shared" si="24"/>
        <v>1939.94</v>
      </c>
      <c r="AA249" s="170">
        <f t="shared" si="24"/>
        <v>1949.14</v>
      </c>
      <c r="AB249" s="170">
        <f t="shared" si="24"/>
        <v>1958.14</v>
      </c>
      <c r="AC249" s="170">
        <f t="shared" si="24"/>
        <v>1965.84</v>
      </c>
      <c r="AD249" s="170">
        <f t="shared" si="24"/>
        <v>1964.54</v>
      </c>
      <c r="AE249" s="170">
        <f t="shared" si="24"/>
        <v>2013.94</v>
      </c>
      <c r="AF249" s="170">
        <f t="shared" si="24"/>
        <v>2022.4400000000003</v>
      </c>
      <c r="AG249" s="170">
        <f t="shared" si="24"/>
        <v>2007.0400000000002</v>
      </c>
      <c r="AH249" s="170">
        <f t="shared" si="24"/>
        <v>2003.0400000000002</v>
      </c>
      <c r="AI249" s="170">
        <f t="shared" si="24"/>
        <v>2016.5400000000002</v>
      </c>
      <c r="AJ249" s="170">
        <f t="shared" si="24"/>
        <v>2026.24</v>
      </c>
      <c r="AK249" s="170">
        <f t="shared" si="24"/>
        <v>2017.24</v>
      </c>
      <c r="AL249" s="170">
        <f t="shared" si="24"/>
        <v>2016.04</v>
      </c>
      <c r="AM249" s="170">
        <f t="shared" si="24"/>
        <v>1972.8400000000001</v>
      </c>
      <c r="AN249" s="170">
        <f t="shared" si="24"/>
        <v>1936.14</v>
      </c>
      <c r="AO249" s="170">
        <f t="shared" si="24"/>
        <v>1944.6399999999999</v>
      </c>
      <c r="AP249" s="170">
        <f t="shared" si="24"/>
        <v>1936.1399999999999</v>
      </c>
      <c r="AQ249" s="170">
        <f t="shared" si="24"/>
        <v>1969.2399999999998</v>
      </c>
      <c r="AR249" s="170">
        <f t="shared" si="24"/>
        <v>2008.2399999999998</v>
      </c>
      <c r="AS249" s="170">
        <f t="shared" si="24"/>
        <v>2007.2399999999998</v>
      </c>
      <c r="AT249" s="170">
        <f t="shared" si="24"/>
        <v>2005.2399999999998</v>
      </c>
      <c r="AU249" s="170">
        <f t="shared" si="24"/>
        <v>1975.8400000000001</v>
      </c>
      <c r="AV249" s="170">
        <f t="shared" si="24"/>
        <v>1978.3400000000001</v>
      </c>
      <c r="AW249" s="170">
        <f t="shared" si="24"/>
        <v>1993.3400000000001</v>
      </c>
      <c r="AX249" s="170">
        <f t="shared" si="24"/>
        <v>1957.1399999999999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25">C234</f>
        <v>0.64</v>
      </c>
      <c r="C270" s="173">
        <f t="shared" si="25"/>
        <v>0.64</v>
      </c>
      <c r="D270" s="173">
        <f t="shared" si="25"/>
        <v>0.64</v>
      </c>
      <c r="E270" s="173">
        <f t="shared" si="25"/>
        <v>0.64</v>
      </c>
      <c r="F270" s="173">
        <f t="shared" si="25"/>
        <v>0.64</v>
      </c>
      <c r="G270" s="173">
        <f t="shared" si="25"/>
        <v>0.64</v>
      </c>
      <c r="H270" s="173">
        <f t="shared" si="25"/>
        <v>0.64</v>
      </c>
      <c r="I270" s="173">
        <f t="shared" si="25"/>
        <v>0.64</v>
      </c>
      <c r="J270" s="173">
        <f t="shared" si="25"/>
        <v>0.64</v>
      </c>
      <c r="K270" s="173">
        <f t="shared" si="25"/>
        <v>0.64</v>
      </c>
      <c r="L270" s="173">
        <f t="shared" si="25"/>
        <v>0.64</v>
      </c>
      <c r="M270" s="173">
        <f t="shared" si="25"/>
        <v>0.64</v>
      </c>
      <c r="N270" s="173">
        <f t="shared" si="25"/>
        <v>0.64</v>
      </c>
      <c r="O270" s="173">
        <f t="shared" si="25"/>
        <v>0.64</v>
      </c>
      <c r="P270" s="173">
        <f t="shared" si="25"/>
        <v>0</v>
      </c>
      <c r="Q270" s="173">
        <f t="shared" si="25"/>
        <v>0</v>
      </c>
      <c r="R270" s="173">
        <f t="shared" si="25"/>
        <v>0</v>
      </c>
      <c r="S270" s="173">
        <f t="shared" si="25"/>
        <v>0</v>
      </c>
      <c r="T270" s="173">
        <f t="shared" si="25"/>
        <v>0</v>
      </c>
      <c r="U270" s="173">
        <f t="shared" si="25"/>
        <v>0</v>
      </c>
      <c r="V270" s="173">
        <f t="shared" si="25"/>
        <v>0</v>
      </c>
      <c r="W270" s="173">
        <f t="shared" si="25"/>
        <v>0</v>
      </c>
      <c r="X270" s="173">
        <f t="shared" si="25"/>
        <v>0</v>
      </c>
      <c r="Y270" s="173">
        <f t="shared" si="25"/>
        <v>0</v>
      </c>
      <c r="Z270" s="173">
        <f t="shared" si="25"/>
        <v>0</v>
      </c>
      <c r="AA270" s="173">
        <f t="shared" si="25"/>
        <v>0</v>
      </c>
      <c r="AB270" s="173">
        <f t="shared" si="25"/>
        <v>0</v>
      </c>
      <c r="AC270" s="173">
        <f t="shared" si="25"/>
        <v>0</v>
      </c>
      <c r="AD270" s="173">
        <f t="shared" si="25"/>
        <v>0</v>
      </c>
      <c r="AE270" s="173">
        <f t="shared" si="25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6">IF(B238&lt;100,"",B238-520)</f>
        <v/>
      </c>
      <c r="C271" s="174" t="str">
        <f t="shared" si="26"/>
        <v/>
      </c>
      <c r="D271" s="174" t="str">
        <f t="shared" si="26"/>
        <v/>
      </c>
      <c r="E271" s="174" t="str">
        <f t="shared" si="26"/>
        <v/>
      </c>
      <c r="F271" s="174" t="str">
        <f t="shared" si="26"/>
        <v/>
      </c>
      <c r="G271" s="174" t="str">
        <f t="shared" si="26"/>
        <v/>
      </c>
      <c r="H271" s="174" t="str">
        <f t="shared" si="26"/>
        <v/>
      </c>
      <c r="I271" s="174" t="str">
        <f t="shared" si="26"/>
        <v/>
      </c>
      <c r="J271" s="174" t="str">
        <f t="shared" si="26"/>
        <v/>
      </c>
      <c r="K271" s="174" t="str">
        <f t="shared" si="26"/>
        <v/>
      </c>
      <c r="L271" s="174" t="str">
        <f t="shared" si="26"/>
        <v/>
      </c>
      <c r="M271" s="174" t="str">
        <f t="shared" si="26"/>
        <v/>
      </c>
      <c r="N271" s="174" t="str">
        <f t="shared" si="26"/>
        <v/>
      </c>
      <c r="O271" s="174" t="str">
        <f t="shared" si="26"/>
        <v/>
      </c>
      <c r="P271" s="174" t="str">
        <f t="shared" si="26"/>
        <v/>
      </c>
      <c r="Q271" s="174" t="str">
        <f t="shared" si="26"/>
        <v/>
      </c>
      <c r="R271" s="174" t="str">
        <f t="shared" si="26"/>
        <v/>
      </c>
      <c r="S271" s="174" t="str">
        <f t="shared" si="26"/>
        <v/>
      </c>
      <c r="T271" s="174" t="str">
        <f t="shared" si="26"/>
        <v/>
      </c>
      <c r="U271" s="174" t="str">
        <f t="shared" si="26"/>
        <v/>
      </c>
      <c r="V271" s="174" t="str">
        <f t="shared" si="26"/>
        <v/>
      </c>
      <c r="W271" s="174" t="str">
        <f t="shared" si="26"/>
        <v/>
      </c>
      <c r="X271" s="174" t="str">
        <f t="shared" si="26"/>
        <v/>
      </c>
      <c r="Y271" s="174" t="str">
        <f t="shared" si="26"/>
        <v/>
      </c>
      <c r="Z271" s="174" t="str">
        <f t="shared" si="26"/>
        <v/>
      </c>
      <c r="AA271" s="174" t="str">
        <f t="shared" si="26"/>
        <v/>
      </c>
      <c r="AB271" s="174" t="str">
        <f t="shared" si="26"/>
        <v/>
      </c>
      <c r="AC271" s="174" t="str">
        <f t="shared" si="26"/>
        <v/>
      </c>
      <c r="AD271" s="174" t="str">
        <f t="shared" si="26"/>
        <v/>
      </c>
      <c r="AE271" s="174" t="str">
        <f t="shared" si="26"/>
        <v/>
      </c>
      <c r="AF271" s="174" t="str">
        <f t="shared" si="26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7">IF(B239&lt;100,"",B239-620)</f>
        <v/>
      </c>
      <c r="C272" s="174" t="str">
        <f t="shared" si="27"/>
        <v/>
      </c>
      <c r="D272" s="174" t="str">
        <f t="shared" si="27"/>
        <v/>
      </c>
      <c r="E272" s="174" t="str">
        <f t="shared" si="27"/>
        <v/>
      </c>
      <c r="F272" s="174" t="str">
        <f t="shared" si="27"/>
        <v/>
      </c>
      <c r="G272" s="174" t="str">
        <f t="shared" si="27"/>
        <v/>
      </c>
      <c r="H272" s="174" t="str">
        <f t="shared" si="27"/>
        <v/>
      </c>
      <c r="I272" s="174" t="str">
        <f t="shared" si="27"/>
        <v/>
      </c>
      <c r="J272" s="174" t="str">
        <f t="shared" si="27"/>
        <v/>
      </c>
      <c r="K272" s="174" t="str">
        <f t="shared" si="27"/>
        <v/>
      </c>
      <c r="L272" s="174" t="str">
        <f t="shared" si="27"/>
        <v/>
      </c>
      <c r="M272" s="174" t="str">
        <f t="shared" si="27"/>
        <v/>
      </c>
      <c r="N272" s="174" t="str">
        <f t="shared" si="27"/>
        <v/>
      </c>
      <c r="O272" s="174" t="str">
        <f t="shared" si="27"/>
        <v/>
      </c>
      <c r="P272" s="174" t="str">
        <f t="shared" si="27"/>
        <v/>
      </c>
      <c r="Q272" s="174" t="str">
        <f t="shared" si="27"/>
        <v/>
      </c>
      <c r="R272" s="174" t="str">
        <f t="shared" si="27"/>
        <v/>
      </c>
      <c r="S272" s="174" t="str">
        <f t="shared" si="27"/>
        <v/>
      </c>
      <c r="T272" s="174" t="str">
        <f t="shared" si="27"/>
        <v/>
      </c>
      <c r="U272" s="174" t="str">
        <f t="shared" si="27"/>
        <v/>
      </c>
      <c r="V272" s="174" t="str">
        <f t="shared" si="27"/>
        <v/>
      </c>
      <c r="W272" s="174" t="str">
        <f t="shared" si="27"/>
        <v/>
      </c>
      <c r="X272" s="174" t="str">
        <f t="shared" si="27"/>
        <v/>
      </c>
      <c r="Y272" s="174" t="str">
        <f t="shared" si="27"/>
        <v/>
      </c>
      <c r="Z272" s="174" t="str">
        <f t="shared" si="27"/>
        <v/>
      </c>
      <c r="AA272" s="174" t="str">
        <f t="shared" si="27"/>
        <v/>
      </c>
      <c r="AB272" s="174" t="str">
        <f t="shared" si="27"/>
        <v/>
      </c>
      <c r="AC272" s="174" t="str">
        <f t="shared" si="27"/>
        <v/>
      </c>
      <c r="AD272" s="174" t="str">
        <f t="shared" si="27"/>
        <v/>
      </c>
      <c r="AE272" s="174" t="str">
        <f t="shared" si="27"/>
        <v/>
      </c>
      <c r="AF272" s="174" t="str">
        <f t="shared" si="27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8">IF(B240&lt;100,"",B240-330)</f>
        <v/>
      </c>
      <c r="C273" s="174" t="str">
        <f t="shared" si="28"/>
        <v/>
      </c>
      <c r="D273" s="174" t="str">
        <f t="shared" si="28"/>
        <v/>
      </c>
      <c r="E273" s="174" t="str">
        <f t="shared" si="28"/>
        <v/>
      </c>
      <c r="F273" s="174" t="str">
        <f t="shared" si="28"/>
        <v/>
      </c>
      <c r="G273" s="174" t="str">
        <f t="shared" si="28"/>
        <v/>
      </c>
      <c r="H273" s="174" t="str">
        <f t="shared" si="28"/>
        <v/>
      </c>
      <c r="I273" s="174" t="str">
        <f t="shared" si="28"/>
        <v/>
      </c>
      <c r="J273" s="174" t="str">
        <f t="shared" si="28"/>
        <v/>
      </c>
      <c r="K273" s="174" t="str">
        <f t="shared" si="28"/>
        <v/>
      </c>
      <c r="L273" s="174" t="str">
        <f t="shared" si="28"/>
        <v/>
      </c>
      <c r="M273" s="174" t="str">
        <f t="shared" si="28"/>
        <v/>
      </c>
      <c r="N273" s="174" t="str">
        <f t="shared" si="28"/>
        <v/>
      </c>
      <c r="O273" s="174" t="str">
        <f t="shared" si="28"/>
        <v/>
      </c>
      <c r="P273" s="174" t="str">
        <f t="shared" si="28"/>
        <v/>
      </c>
      <c r="Q273" s="174" t="str">
        <f t="shared" si="28"/>
        <v/>
      </c>
      <c r="R273" s="174" t="str">
        <f t="shared" si="28"/>
        <v/>
      </c>
      <c r="S273" s="174" t="str">
        <f t="shared" si="28"/>
        <v/>
      </c>
      <c r="T273" s="174" t="str">
        <f t="shared" si="28"/>
        <v/>
      </c>
      <c r="U273" s="174" t="str">
        <f t="shared" si="28"/>
        <v/>
      </c>
      <c r="V273" s="174" t="str">
        <f t="shared" si="28"/>
        <v/>
      </c>
      <c r="W273" s="174" t="str">
        <f t="shared" si="28"/>
        <v/>
      </c>
      <c r="X273" s="174" t="str">
        <f t="shared" si="28"/>
        <v/>
      </c>
      <c r="Y273" s="174" t="str">
        <f t="shared" si="28"/>
        <v/>
      </c>
      <c r="Z273" s="174" t="str">
        <f t="shared" si="28"/>
        <v/>
      </c>
      <c r="AA273" s="174" t="str">
        <f t="shared" si="28"/>
        <v/>
      </c>
      <c r="AB273" s="174" t="str">
        <f t="shared" si="28"/>
        <v/>
      </c>
      <c r="AC273" s="174" t="str">
        <f t="shared" si="28"/>
        <v/>
      </c>
      <c r="AD273" s="174" t="str">
        <f t="shared" si="28"/>
        <v/>
      </c>
      <c r="AE273" s="174" t="str">
        <f t="shared" si="28"/>
        <v/>
      </c>
      <c r="AF273" s="174" t="str">
        <f t="shared" si="28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9">IF(B241&lt;100,"",B241-1500)</f>
        <v/>
      </c>
      <c r="C274" s="174" t="str">
        <f t="shared" si="29"/>
        <v/>
      </c>
      <c r="D274" s="174" t="str">
        <f t="shared" si="29"/>
        <v/>
      </c>
      <c r="E274" s="174" t="str">
        <f t="shared" si="29"/>
        <v/>
      </c>
      <c r="F274" s="174" t="str">
        <f t="shared" si="29"/>
        <v/>
      </c>
      <c r="G274" s="174" t="str">
        <f t="shared" si="29"/>
        <v/>
      </c>
      <c r="H274" s="174" t="str">
        <f t="shared" si="29"/>
        <v/>
      </c>
      <c r="I274" s="174" t="str">
        <f t="shared" si="29"/>
        <v/>
      </c>
      <c r="J274" s="174" t="str">
        <f t="shared" si="29"/>
        <v/>
      </c>
      <c r="K274" s="174" t="str">
        <f t="shared" si="29"/>
        <v/>
      </c>
      <c r="L274" s="174" t="str">
        <f t="shared" si="29"/>
        <v/>
      </c>
      <c r="M274" s="174" t="str">
        <f t="shared" si="29"/>
        <v/>
      </c>
      <c r="N274" s="174" t="str">
        <f t="shared" si="29"/>
        <v/>
      </c>
      <c r="O274" s="174" t="str">
        <f t="shared" si="29"/>
        <v/>
      </c>
      <c r="P274" s="174" t="str">
        <f t="shared" si="29"/>
        <v/>
      </c>
      <c r="Q274" s="174" t="str">
        <f t="shared" si="29"/>
        <v/>
      </c>
      <c r="R274" s="174" t="str">
        <f t="shared" si="29"/>
        <v/>
      </c>
      <c r="S274" s="174" t="str">
        <f t="shared" si="29"/>
        <v/>
      </c>
      <c r="T274" s="174" t="str">
        <f t="shared" si="29"/>
        <v/>
      </c>
      <c r="U274" s="174" t="str">
        <f t="shared" si="29"/>
        <v/>
      </c>
      <c r="V274" s="174" t="str">
        <f t="shared" si="29"/>
        <v/>
      </c>
      <c r="W274" s="174" t="str">
        <f t="shared" si="29"/>
        <v/>
      </c>
      <c r="X274" s="174" t="str">
        <f t="shared" si="29"/>
        <v/>
      </c>
      <c r="Y274" s="174" t="str">
        <f t="shared" si="29"/>
        <v/>
      </c>
      <c r="Z274" s="174" t="str">
        <f t="shared" si="29"/>
        <v/>
      </c>
      <c r="AA274" s="174" t="str">
        <f t="shared" si="29"/>
        <v/>
      </c>
      <c r="AB274" s="174" t="str">
        <f t="shared" si="29"/>
        <v/>
      </c>
      <c r="AC274" s="174" t="str">
        <f t="shared" si="29"/>
        <v/>
      </c>
      <c r="AD274" s="174" t="str">
        <f t="shared" si="29"/>
        <v/>
      </c>
      <c r="AE274" s="174" t="str">
        <f t="shared" si="29"/>
        <v/>
      </c>
      <c r="AF274" s="174" t="str">
        <f t="shared" si="29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1757" priority="64">
      <formula>$AH11=0</formula>
    </cfRule>
  </conditionalFormatting>
  <conditionalFormatting sqref="B8 M8 S8 AB8">
    <cfRule type="expression" dxfId="1756" priority="117">
      <formula>C$9&lt;8/24</formula>
    </cfRule>
    <cfRule type="expression" dxfId="1755" priority="116">
      <formula>AND(C$9&gt;=8/24,C$9&lt;14/24)</formula>
    </cfRule>
    <cfRule type="expression" dxfId="1754" priority="115">
      <formula>AND(C$9&gt;=14/24,C$9&lt;20/24)</formula>
    </cfRule>
  </conditionalFormatting>
  <conditionalFormatting sqref="B54:C54">
    <cfRule type="expression" dxfId="1753" priority="38">
      <formula>B$9&gt;=20/24</formula>
    </cfRule>
    <cfRule type="expression" dxfId="1752" priority="39">
      <formula>AND(B$9&gt;=14/24,B$9&lt;20/24)</formula>
    </cfRule>
    <cfRule type="expression" dxfId="1751" priority="40">
      <formula>AND(B$9&gt;=8/24,B$9&lt;14/24)</formula>
    </cfRule>
    <cfRule type="expression" dxfId="1750" priority="41">
      <formula>B$9&lt;8/24</formula>
    </cfRule>
  </conditionalFormatting>
  <conditionalFormatting sqref="B54:C66">
    <cfRule type="expression" dxfId="1749" priority="33">
      <formula>B54&gt;$AG54</formula>
    </cfRule>
  </conditionalFormatting>
  <conditionalFormatting sqref="B55:D59">
    <cfRule type="expression" dxfId="1748" priority="63">
      <formula>B$9&lt;8/24</formula>
    </cfRule>
    <cfRule type="expression" dxfId="1747" priority="62">
      <formula>AND(B$9&gt;=8/24,B$9&lt;14/24)</formula>
    </cfRule>
    <cfRule type="expression" dxfId="1746" priority="61">
      <formula>AND(B$9&gt;=14/24,B$9&lt;20/24)</formula>
    </cfRule>
    <cfRule type="expression" dxfId="1745" priority="60">
      <formula>B$9&gt;=20/24</formula>
    </cfRule>
  </conditionalFormatting>
  <conditionalFormatting sqref="B60:T60">
    <cfRule type="expression" dxfId="1744" priority="52">
      <formula>AND(B$9&gt;=14/24,B$9&lt;20/24)</formula>
    </cfRule>
    <cfRule type="expression" dxfId="1743" priority="51">
      <formula>B$9&gt;=20/24</formula>
    </cfRule>
    <cfRule type="expression" dxfId="1742" priority="54">
      <formula>B$9&lt;8/24</formula>
    </cfRule>
    <cfRule type="expression" dxfId="1741" priority="53">
      <formula>AND(B$9&gt;=8/24,B$9&lt;14/24)</formula>
    </cfRule>
  </conditionalFormatting>
  <conditionalFormatting sqref="B9:AF45">
    <cfRule type="expression" dxfId="1740" priority="23">
      <formula>B$9&gt;=20/24</formula>
    </cfRule>
    <cfRule type="expression" dxfId="1739" priority="24">
      <formula>AND(B$9&gt;=14/24,B$9&lt;20/24)</formula>
    </cfRule>
    <cfRule type="expression" dxfId="1738" priority="25">
      <formula>AND(B$9&gt;=8/24,B$9&lt;14/24)</formula>
    </cfRule>
    <cfRule type="expression" dxfId="1737" priority="26">
      <formula>B$9&lt;8/24</formula>
    </cfRule>
  </conditionalFormatting>
  <conditionalFormatting sqref="B11:AF46">
    <cfRule type="expression" dxfId="1736" priority="22">
      <formula>B11&gt;$AG11</formula>
    </cfRule>
  </conditionalFormatting>
  <conditionalFormatting sqref="B46:AF46">
    <cfRule type="expression" dxfId="1735" priority="21">
      <formula>B$9&lt;8/24</formula>
    </cfRule>
    <cfRule type="expression" dxfId="1734" priority="18">
      <formula>B$9&gt;=20/24</formula>
    </cfRule>
    <cfRule type="expression" dxfId="1733" priority="19">
      <formula>AND(B$9&gt;=14/24,B$9&lt;20/24)</formula>
    </cfRule>
    <cfRule type="expression" dxfId="1732" priority="20">
      <formula>AND(B$9&gt;=8/24,B$9&lt;14/24)</formula>
    </cfRule>
  </conditionalFormatting>
  <conditionalFormatting sqref="B47:AF47">
    <cfRule type="expression" dxfId="1731" priority="32">
      <formula>B47&gt;$AG47</formula>
    </cfRule>
  </conditionalFormatting>
  <conditionalFormatting sqref="B47:AF49">
    <cfRule type="expression" dxfId="1730" priority="31">
      <formula>B$9&lt;8/24</formula>
    </cfRule>
    <cfRule type="expression" dxfId="1729" priority="30">
      <formula>AND(B$9&gt;=8/24,B$9&lt;14/24)</formula>
    </cfRule>
    <cfRule type="expression" dxfId="1728" priority="29">
      <formula>AND(B$9&gt;=14/24,B$9&lt;20/24)</formula>
    </cfRule>
    <cfRule type="expression" dxfId="1727" priority="28">
      <formula>B$9&gt;=20/24</formula>
    </cfRule>
  </conditionalFormatting>
  <conditionalFormatting sqref="B48:AF53">
    <cfRule type="expression" dxfId="1726" priority="27">
      <formula>B48&gt;$AG48</formula>
    </cfRule>
  </conditionalFormatting>
  <conditionalFormatting sqref="B51:AF53">
    <cfRule type="expression" dxfId="1725" priority="48">
      <formula>AND(B$9&gt;=14/24,B$9&lt;20/24)</formula>
    </cfRule>
    <cfRule type="expression" dxfId="1724" priority="49">
      <formula>AND(B$9&gt;=8/24,B$9&lt;14/24)</formula>
    </cfRule>
    <cfRule type="expression" dxfId="1723" priority="50">
      <formula>B$9&lt;8/24</formula>
    </cfRule>
    <cfRule type="expression" dxfId="1722" priority="47">
      <formula>B$9&gt;=20/24</formula>
    </cfRule>
  </conditionalFormatting>
  <conditionalFormatting sqref="B61:AF66">
    <cfRule type="expression" dxfId="1721" priority="35">
      <formula>AND(B$9&gt;=14/24,B$9&lt;20/24)</formula>
    </cfRule>
    <cfRule type="expression" dxfId="1720" priority="36">
      <formula>AND(B$9&gt;=8/24,B$9&lt;14/24)</formula>
    </cfRule>
    <cfRule type="expression" dxfId="1719" priority="37">
      <formula>B$9&lt;8/24</formula>
    </cfRule>
    <cfRule type="expression" dxfId="1718" priority="34">
      <formula>B$9&gt;=20/24</formula>
    </cfRule>
  </conditionalFormatting>
  <conditionalFormatting sqref="B69:AF71">
    <cfRule type="expression" dxfId="1717" priority="58">
      <formula>AND(B$9&gt;=8/24,B$9&lt;14/24)</formula>
    </cfRule>
    <cfRule type="expression" dxfId="1716" priority="59">
      <formula>B$9&lt;8/24</formula>
    </cfRule>
    <cfRule type="expression" dxfId="1715" priority="55">
      <formula>B69&gt;$AG69</formula>
    </cfRule>
    <cfRule type="expression" dxfId="1714" priority="56">
      <formula>B$9&gt;=20/24</formula>
    </cfRule>
    <cfRule type="expression" dxfId="1713" priority="57">
      <formula>AND(B$9&gt;=14/24,B$9&lt;20/24)</formula>
    </cfRule>
  </conditionalFormatting>
  <conditionalFormatting sqref="B73:AF91">
    <cfRule type="expression" dxfId="1712" priority="2">
      <formula>AND(B$9&gt;=14/24,B$9&lt;20/24)</formula>
    </cfRule>
    <cfRule type="expression" dxfId="1711" priority="4">
      <formula>B$9&lt;8/24</formula>
    </cfRule>
    <cfRule type="expression" dxfId="1710" priority="3">
      <formula>AND(B$9&gt;=8/24,B$9&lt;14/24)</formula>
    </cfRule>
    <cfRule type="expression" dxfId="1709" priority="1">
      <formula>B$9&gt;=20/24</formula>
    </cfRule>
  </conditionalFormatting>
  <conditionalFormatting sqref="B111:AF120">
    <cfRule type="expression" dxfId="1708" priority="17">
      <formula>B$9&lt;8/24</formula>
    </cfRule>
    <cfRule type="expression" dxfId="1707" priority="16">
      <formula>AND(B$9&gt;=8/24,B$9&lt;14/24)</formula>
    </cfRule>
    <cfRule type="expression" dxfId="1706" priority="15">
      <formula>AND(B$9&gt;=14/24,B$9&lt;20/24)</formula>
    </cfRule>
    <cfRule type="expression" dxfId="1705" priority="14">
      <formula>B$9&gt;=20/24</formula>
    </cfRule>
  </conditionalFormatting>
  <conditionalFormatting sqref="B227:AF227 D229:AF230 B229:B235 D231:H231 J231:AF231 D232:AF235 U248:AF248">
    <cfRule type="expression" dxfId="1704" priority="108">
      <formula>B$9&gt;=20/24</formula>
    </cfRule>
    <cfRule type="expression" dxfId="1703" priority="110">
      <formula>AND(B$9&gt;=8/24,B$9&lt;14/24)</formula>
    </cfRule>
    <cfRule type="expression" dxfId="1702" priority="111">
      <formula>B$9&lt;8/24</formula>
    </cfRule>
    <cfRule type="expression" dxfId="1701" priority="109">
      <formula>AND(B$9&gt;=14/24,B$9&lt;20/24)</formula>
    </cfRule>
  </conditionalFormatting>
  <conditionalFormatting sqref="B67:AG68 B72:AG72">
    <cfRule type="expression" dxfId="1700" priority="42">
      <formula>B67&gt;$AG67</formula>
    </cfRule>
  </conditionalFormatting>
  <conditionalFormatting sqref="B72:AG72 B93:AF109">
    <cfRule type="expression" dxfId="1699" priority="46">
      <formula>B$9&lt;8/24</formula>
    </cfRule>
    <cfRule type="expression" dxfId="1698" priority="45">
      <formula>AND(B$9&gt;=8/24,B$9&lt;14/24)</formula>
    </cfRule>
    <cfRule type="expression" dxfId="1697" priority="44">
      <formula>AND(B$9&gt;=14/24,B$9&lt;20/24)</formula>
    </cfRule>
    <cfRule type="expression" dxfId="1696" priority="43">
      <formula>B$9&gt;=20/24</formula>
    </cfRule>
  </conditionalFormatting>
  <conditionalFormatting sqref="D55:AF66">
    <cfRule type="expression" dxfId="1695" priority="5">
      <formula>D55&gt;$AG55</formula>
    </cfRule>
  </conditionalFormatting>
  <conditionalFormatting sqref="D54:AG54">
    <cfRule type="expression" dxfId="1694" priority="78">
      <formula>AND(D$9&gt;=14/24,D$9&lt;20/24)</formula>
    </cfRule>
    <cfRule type="expression" dxfId="1693" priority="77">
      <formula>D$9&gt;=20/24</formula>
    </cfRule>
    <cfRule type="expression" dxfId="1692" priority="76">
      <formula>D54&gt;$AG54</formula>
    </cfRule>
    <cfRule type="expression" dxfId="1691" priority="79">
      <formula>AND(D$9&gt;=8/24,D$9&lt;14/24)</formula>
    </cfRule>
    <cfRule type="expression" dxfId="1690" priority="80">
      <formula>D$9&lt;8/24</formula>
    </cfRule>
  </conditionalFormatting>
  <conditionalFormatting sqref="E55:T57">
    <cfRule type="expression" dxfId="1689" priority="89">
      <formula>E$9&gt;=20/24</formula>
    </cfRule>
    <cfRule type="expression" dxfId="1688" priority="90">
      <formula>AND(E$9&gt;=14/24,E$9&lt;20/24)</formula>
    </cfRule>
    <cfRule type="expression" dxfId="1687" priority="91">
      <formula>AND(E$9&gt;=8/24,E$9&lt;14/24)</formula>
    </cfRule>
    <cfRule type="expression" dxfId="1686" priority="92">
      <formula>E$9&lt;8/24</formula>
    </cfRule>
  </conditionalFormatting>
  <conditionalFormatting sqref="M55:T59">
    <cfRule type="expression" dxfId="1685" priority="93">
      <formula>M$9&gt;=20/24</formula>
    </cfRule>
    <cfRule type="expression" dxfId="1684" priority="95">
      <formula>AND(M$9&gt;=8/24,M$9&lt;14/24)</formula>
    </cfRule>
    <cfRule type="expression" dxfId="1683" priority="96">
      <formula>M$9&lt;8/24</formula>
    </cfRule>
    <cfRule type="expression" dxfId="1682" priority="94">
      <formula>AND(M$9&gt;=14/24,M$9&lt;20/24)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681" priority="114">
      <formula>C$9&gt;=20/24</formula>
    </cfRule>
  </conditionalFormatting>
  <conditionalFormatting sqref="S8">
    <cfRule type="expression" dxfId="1680" priority="102">
      <formula>AND(U$9&gt;=14/24,U$9&lt;20/24)</formula>
    </cfRule>
    <cfRule type="expression" dxfId="1679" priority="101">
      <formula>U$9&gt;=20/24</formula>
    </cfRule>
    <cfRule type="expression" dxfId="1678" priority="103">
      <formula>AND(U$9&gt;=8/24,U$9&lt;14/24)</formula>
    </cfRule>
    <cfRule type="expression" dxfId="1677" priority="104">
      <formula>U$9&lt;8/24</formula>
    </cfRule>
  </conditionalFormatting>
  <conditionalFormatting sqref="S55:AF60">
    <cfRule type="expression" dxfId="1676" priority="10">
      <formula>S$9&gt;=20/24</formula>
    </cfRule>
    <cfRule type="expression" dxfId="1675" priority="12">
      <formula>AND(S$9&gt;=8/24,S$9&lt;14/24)</formula>
    </cfRule>
    <cfRule type="expression" dxfId="1674" priority="13">
      <formula>S$9&lt;8/24</formula>
    </cfRule>
    <cfRule type="expression" dxfId="1673" priority="11">
      <formula>AND(S$9&gt;=14/24,S$9&lt;20/24)</formula>
    </cfRule>
  </conditionalFormatting>
  <conditionalFormatting sqref="T248">
    <cfRule type="expression" dxfId="1672" priority="129">
      <formula>AX$9&lt;8/24</formula>
    </cfRule>
    <cfRule type="expression" dxfId="1671" priority="126">
      <formula>AX$9&gt;=20/24</formula>
    </cfRule>
    <cfRule type="expression" dxfId="1670" priority="127">
      <formula>AND(AX$9&gt;=14/24,AX$9&lt;20/24)</formula>
    </cfRule>
    <cfRule type="expression" dxfId="1669" priority="128">
      <formula>AND(AX$9&gt;=8/24,AX$9&lt;14/24)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668" priority="97">
      <formula>AD$9&gt;=20/24</formula>
    </cfRule>
    <cfRule type="expression" dxfId="1667" priority="99">
      <formula>AND(AD$9&gt;=8/24,AD$9&lt;14/24)</formula>
    </cfRule>
    <cfRule type="expression" dxfId="1666" priority="98">
      <formula>AND(AD$9&gt;=14/24,AD$9&lt;20/24)</formula>
    </cfRule>
    <cfRule type="expression" dxfId="1665" priority="100">
      <formula>AD$9&lt;8/24</formula>
    </cfRule>
  </conditionalFormatting>
  <conditionalFormatting sqref="AF61:AF66">
    <cfRule type="expression" dxfId="1664" priority="9">
      <formula>AF$9&lt;8/24</formula>
    </cfRule>
    <cfRule type="expression" dxfId="1663" priority="8">
      <formula>AND(AF$9&gt;=8/24,AF$9&lt;14/24)</formula>
    </cfRule>
    <cfRule type="expression" dxfId="1662" priority="7">
      <formula>AND(AF$9&gt;=14/24,AF$9&lt;20/24)</formula>
    </cfRule>
    <cfRule type="expression" dxfId="1661" priority="6">
      <formula>AF$9&gt;=20/24</formula>
    </cfRule>
  </conditionalFormatting>
  <conditionalFormatting sqref="AG50">
    <cfRule type="expression" dxfId="1660" priority="84">
      <formula>AG50&gt;$AG50</formula>
    </cfRule>
  </conditionalFormatting>
  <conditionalFormatting sqref="AG89">
    <cfRule type="expression" dxfId="1659" priority="85">
      <formula>AG$9&gt;=20/24</formula>
    </cfRule>
    <cfRule type="expression" dxfId="1658" priority="86">
      <formula>AND(AG$9&gt;=14/24,AG$9&lt;20/24)</formula>
    </cfRule>
    <cfRule type="expression" dxfId="1657" priority="87">
      <formula>AND(AG$9&gt;=8/24,AG$9&lt;14/24)</formula>
    </cfRule>
    <cfRule type="expression" dxfId="1656" priority="88">
      <formula>AG$9&lt;8/24</formula>
    </cfRule>
  </conditionalFormatting>
  <conditionalFormatting sqref="AG248">
    <cfRule type="expression" dxfId="1655" priority="118">
      <formula>B$9&gt;=20/24</formula>
    </cfRule>
    <cfRule type="expression" dxfId="1654" priority="121">
      <formula>B$9&lt;8/24</formula>
    </cfRule>
    <cfRule type="expression" dxfId="1653" priority="120">
      <formula>AND(B$9&gt;=8/24,B$9&lt;14/24)</formula>
    </cfRule>
    <cfRule type="expression" dxfId="1652" priority="119">
      <formula>AND(B$9&gt;=14/24,B$9&lt;20/24)</formula>
    </cfRule>
  </conditionalFormatting>
  <conditionalFormatting sqref="AH248:AX248">
    <cfRule type="expression" dxfId="1651" priority="125">
      <formula>AG$9&lt;8/24</formula>
    </cfRule>
    <cfRule type="expression" dxfId="1650" priority="124">
      <formula>AND(AG$9&gt;=8/24,AG$9&lt;14/24)</formula>
    </cfRule>
    <cfRule type="expression" dxfId="1649" priority="123">
      <formula>AND(AG$9&gt;=14/24,AG$9&lt;20/24)</formula>
    </cfRule>
    <cfRule type="expression" dxfId="1648" priority="122">
      <formula>AG$9&gt;=20/24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647" priority="131">
      <formula>AJ$9&gt;=20/24</formula>
    </cfRule>
    <cfRule type="expression" dxfId="1646" priority="132">
      <formula>AND(AJ$9&gt;=14/24,AJ$9&lt;20/24)</formula>
    </cfRule>
    <cfRule type="expression" dxfId="1645" priority="133">
      <formula>AND(AJ$9&gt;=8/24,AJ$9&lt;14/24)</formula>
    </cfRule>
    <cfRule type="expression" dxfId="1644" priority="134">
      <formula>AJ$9&lt;8/24</formula>
    </cfRule>
  </conditionalFormatting>
  <conditionalFormatting sqref="AL80:AN80 AL86:AN86">
    <cfRule type="expression" dxfId="1643" priority="75">
      <formula>AL$9&lt;8/24</formula>
    </cfRule>
    <cfRule type="expression" dxfId="1642" priority="74">
      <formula>AND(AL$9&gt;=8/24,AL$9&lt;14/24)</formula>
    </cfRule>
    <cfRule type="expression" dxfId="1641" priority="73">
      <formula>AND(AL$9&gt;=14/24,AL$9&lt;20/24)</formula>
    </cfRule>
    <cfRule type="expression" dxfId="1640" priority="72">
      <formula>AL$9&gt;=20/24</formula>
    </cfRule>
  </conditionalFormatting>
  <conditionalFormatting sqref="AN81:AN84">
    <cfRule type="expression" dxfId="1639" priority="71">
      <formula>AN$9&lt;8/24</formula>
    </cfRule>
    <cfRule type="expression" dxfId="1638" priority="69">
      <formula>AND(AN$9&gt;=14/24,AN$9&lt;20/24)</formula>
    </cfRule>
    <cfRule type="expression" dxfId="1637" priority="70">
      <formula>AND(AN$9&gt;=8/24,AN$9&lt;14/24)</formula>
    </cfRule>
    <cfRule type="expression" dxfId="1636" priority="68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3748-A228-4F2D-B969-2031E09F474B}">
  <dimension ref="A1:CJ281"/>
  <sheetViews>
    <sheetView zoomScale="106" zoomScaleNormal="106" workbookViewId="0">
      <pane xSplit="1" ySplit="10" topLeftCell="B112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F118" sqref="AF11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" style="1" bestFit="1" customWidth="1"/>
    <col min="12" max="12" width="10.42578125" style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2080/04/13</v>
      </c>
      <c r="C4" s="203"/>
      <c r="D4" s="203"/>
      <c r="E4" s="204" t="str">
        <f ca="1">"2079/"&amp;"12/"&amp;INT(MID(CELL("filename",G6),FIND("]",CELL("filename",G6))+1,200))</f>
        <v>2079/12/13</v>
      </c>
      <c r="F4" s="204"/>
      <c r="G4" s="204"/>
      <c r="H4" s="204" t="str">
        <f ca="1">TEXT(E4,"dddd")</f>
        <v>Wednesday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5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6</v>
      </c>
      <c r="G5" s="30">
        <f t="shared" si="0"/>
        <v>6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11.6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20.399999999999999</v>
      </c>
      <c r="AA5" s="30">
        <f t="shared" si="0"/>
        <v>0</v>
      </c>
      <c r="AB5" s="30">
        <f t="shared" si="0"/>
        <v>10.3</v>
      </c>
      <c r="AC5" s="30">
        <f t="shared" si="0"/>
        <v>6.9</v>
      </c>
      <c r="AD5" s="30">
        <f t="shared" si="0"/>
        <v>0.9</v>
      </c>
      <c r="AE5" s="30">
        <f t="shared" si="0"/>
        <v>0</v>
      </c>
      <c r="AF5" s="30">
        <f>B84</f>
        <v>10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1899MW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1929.1399999999999</v>
      </c>
      <c r="C7" s="35">
        <f t="shared" si="1"/>
        <v>1948.1399999999999</v>
      </c>
      <c r="D7" s="35">
        <f t="shared" si="1"/>
        <v>1943.1399999999999</v>
      </c>
      <c r="E7" s="35">
        <f t="shared" si="1"/>
        <v>1910.2399999999998</v>
      </c>
      <c r="F7" s="35">
        <f t="shared" si="1"/>
        <v>1881.54</v>
      </c>
      <c r="G7" s="35">
        <f t="shared" si="1"/>
        <v>1884.54</v>
      </c>
      <c r="H7" s="35">
        <f t="shared" si="1"/>
        <v>1878.54</v>
      </c>
      <c r="I7" s="35">
        <f t="shared" si="1"/>
        <v>1872.54</v>
      </c>
      <c r="J7" s="35">
        <f t="shared" si="1"/>
        <v>1895.44</v>
      </c>
      <c r="K7" s="35">
        <f t="shared" si="1"/>
        <v>1899.44</v>
      </c>
      <c r="L7" s="35">
        <f t="shared" si="1"/>
        <v>1878.44</v>
      </c>
      <c r="M7" s="35">
        <f t="shared" si="1"/>
        <v>1894.74</v>
      </c>
      <c r="N7" s="35">
        <f>N91</f>
        <v>3.54</v>
      </c>
      <c r="O7" s="35">
        <f t="shared" si="1"/>
        <v>1867.94</v>
      </c>
      <c r="P7" s="35">
        <f t="shared" si="1"/>
        <v>1808.8400000000001</v>
      </c>
      <c r="Q7" s="35">
        <f t="shared" si="1"/>
        <v>1834.5400000000002</v>
      </c>
      <c r="R7" s="35">
        <f t="shared" si="1"/>
        <v>1843.24</v>
      </c>
      <c r="S7" s="35">
        <f t="shared" si="1"/>
        <v>1808.14</v>
      </c>
      <c r="T7" s="35">
        <f t="shared" si="1"/>
        <v>1794.64</v>
      </c>
      <c r="U7" s="35">
        <f t="shared" si="1"/>
        <v>1795.2400000000002</v>
      </c>
      <c r="V7" s="35">
        <f t="shared" si="1"/>
        <v>1808.0400000000002</v>
      </c>
      <c r="W7" s="35">
        <f t="shared" si="1"/>
        <v>1810.24</v>
      </c>
      <c r="X7" s="35">
        <f t="shared" si="1"/>
        <v>1805.44</v>
      </c>
      <c r="Y7" s="35">
        <f t="shared" si="1"/>
        <v>1836.94</v>
      </c>
      <c r="Z7" s="35">
        <f t="shared" si="1"/>
        <v>1876.8400000000001</v>
      </c>
      <c r="AA7" s="35">
        <f t="shared" si="1"/>
        <v>1966.8400000000001</v>
      </c>
      <c r="AB7" s="35">
        <f t="shared" si="1"/>
        <v>1915.94</v>
      </c>
      <c r="AC7" s="35">
        <f t="shared" si="1"/>
        <v>1929.54</v>
      </c>
      <c r="AD7" s="35">
        <f t="shared" si="1"/>
        <v>1922.8400000000001</v>
      </c>
      <c r="AE7" s="35">
        <f t="shared" si="1"/>
        <v>1907.04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90.1</v>
      </c>
      <c r="C11" s="45">
        <v>90.1</v>
      </c>
      <c r="D11" s="45">
        <v>90.1</v>
      </c>
      <c r="E11" s="45">
        <v>90.1</v>
      </c>
      <c r="F11" s="45">
        <v>90.1</v>
      </c>
      <c r="G11" s="45">
        <v>90.1</v>
      </c>
      <c r="H11" s="45">
        <v>90.1</v>
      </c>
      <c r="I11" s="45">
        <v>90.1</v>
      </c>
      <c r="J11" s="45">
        <v>90.1</v>
      </c>
      <c r="K11" s="45">
        <v>90.1</v>
      </c>
      <c r="L11" s="45">
        <v>90.1</v>
      </c>
      <c r="M11" s="45">
        <v>90.1</v>
      </c>
      <c r="N11" s="45"/>
      <c r="O11" s="45">
        <v>90.1</v>
      </c>
      <c r="P11" s="45">
        <v>60</v>
      </c>
      <c r="Q11" s="45">
        <v>60</v>
      </c>
      <c r="R11" s="45">
        <v>60</v>
      </c>
      <c r="S11" s="45">
        <v>60</v>
      </c>
      <c r="T11" s="45">
        <v>60</v>
      </c>
      <c r="U11" s="45">
        <v>86.6</v>
      </c>
      <c r="V11" s="45">
        <v>86.6</v>
      </c>
      <c r="W11" s="45">
        <v>86.6</v>
      </c>
      <c r="X11" s="45">
        <v>86.6</v>
      </c>
      <c r="Y11" s="45">
        <v>86.6</v>
      </c>
      <c r="Z11" s="45">
        <v>86.6</v>
      </c>
      <c r="AA11" s="45">
        <v>86.6</v>
      </c>
      <c r="AB11" s="45">
        <v>86.6</v>
      </c>
      <c r="AC11" s="45">
        <v>87</v>
      </c>
      <c r="AD11" s="45">
        <v>87.1</v>
      </c>
      <c r="AE11" s="45">
        <v>87.1</v>
      </c>
      <c r="AF11" s="45"/>
      <c r="AG11" s="46">
        <v>86</v>
      </c>
      <c r="AH11" s="47">
        <f t="shared" ref="AH11:AH76" si="2">MAX(B11:AF11)</f>
        <v>90.1</v>
      </c>
      <c r="AI11" s="48">
        <f t="shared" ref="AI11:AI76" si="3">MIN(B11:AF11)</f>
        <v>60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13</v>
      </c>
      <c r="C12" s="45">
        <v>13</v>
      </c>
      <c r="D12" s="45">
        <v>13</v>
      </c>
      <c r="E12" s="45">
        <v>13</v>
      </c>
      <c r="F12" s="45">
        <v>13</v>
      </c>
      <c r="G12" s="45">
        <v>13</v>
      </c>
      <c r="H12" s="45">
        <v>13</v>
      </c>
      <c r="I12" s="45">
        <v>13</v>
      </c>
      <c r="J12" s="45">
        <v>13</v>
      </c>
      <c r="K12" s="45">
        <v>13</v>
      </c>
      <c r="L12" s="45">
        <v>13</v>
      </c>
      <c r="M12" s="45">
        <v>13</v>
      </c>
      <c r="N12" s="45"/>
      <c r="O12" s="45">
        <v>0</v>
      </c>
      <c r="P12" s="45">
        <v>8</v>
      </c>
      <c r="Q12" s="45">
        <v>8</v>
      </c>
      <c r="R12" s="45">
        <v>10</v>
      </c>
      <c r="S12" s="45">
        <v>10</v>
      </c>
      <c r="T12" s="45">
        <v>10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9</v>
      </c>
      <c r="AA12" s="45">
        <v>27</v>
      </c>
      <c r="AB12" s="45">
        <v>27</v>
      </c>
      <c r="AC12" s="45">
        <v>27</v>
      </c>
      <c r="AD12" s="45">
        <v>27</v>
      </c>
      <c r="AE12" s="45">
        <v>27</v>
      </c>
      <c r="AF12" s="45"/>
      <c r="AG12" s="49">
        <v>54</v>
      </c>
      <c r="AH12" s="47">
        <f t="shared" si="2"/>
        <v>27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55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>
        <v>55</v>
      </c>
      <c r="K13" s="45">
        <v>55</v>
      </c>
      <c r="L13" s="45">
        <v>55</v>
      </c>
      <c r="M13" s="45">
        <v>55</v>
      </c>
      <c r="N13" s="45"/>
      <c r="O13" s="45">
        <v>55</v>
      </c>
      <c r="P13" s="45">
        <v>55</v>
      </c>
      <c r="Q13" s="45">
        <v>55</v>
      </c>
      <c r="R13" s="45">
        <v>55</v>
      </c>
      <c r="S13" s="45">
        <v>55</v>
      </c>
      <c r="T13" s="45">
        <v>55</v>
      </c>
      <c r="U13" s="45">
        <v>55</v>
      </c>
      <c r="V13" s="45">
        <v>55</v>
      </c>
      <c r="W13" s="45">
        <v>55</v>
      </c>
      <c r="X13" s="45">
        <v>55</v>
      </c>
      <c r="Y13" s="45">
        <v>55</v>
      </c>
      <c r="Z13" s="45">
        <v>55</v>
      </c>
      <c r="AA13" s="45">
        <v>55</v>
      </c>
      <c r="AB13" s="45">
        <v>55</v>
      </c>
      <c r="AC13" s="45">
        <v>55.3</v>
      </c>
      <c r="AD13" s="45">
        <v>55</v>
      </c>
      <c r="AE13" s="45">
        <v>55.3</v>
      </c>
      <c r="AF13" s="45"/>
      <c r="AG13" s="46">
        <v>52.4</v>
      </c>
      <c r="AH13" s="47">
        <f t="shared" si="2"/>
        <v>55.3</v>
      </c>
      <c r="AI13" s="48">
        <f t="shared" si="3"/>
        <v>55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50.5</v>
      </c>
      <c r="C14" s="58">
        <v>50.5</v>
      </c>
      <c r="D14" s="58">
        <v>50.5</v>
      </c>
      <c r="E14" s="58">
        <v>50.5</v>
      </c>
      <c r="F14" s="58">
        <v>50.5</v>
      </c>
      <c r="G14" s="58">
        <v>50.5</v>
      </c>
      <c r="H14" s="58">
        <v>50.5</v>
      </c>
      <c r="I14" s="58">
        <v>50.5</v>
      </c>
      <c r="J14" s="58">
        <v>50.5</v>
      </c>
      <c r="K14" s="58">
        <v>50.5</v>
      </c>
      <c r="L14" s="58">
        <v>50.5</v>
      </c>
      <c r="M14" s="58">
        <v>50.5</v>
      </c>
      <c r="N14" s="58"/>
      <c r="O14" s="58">
        <v>50.5</v>
      </c>
      <c r="P14" s="58">
        <v>50.5</v>
      </c>
      <c r="Q14" s="58">
        <v>50.5</v>
      </c>
      <c r="R14" s="58">
        <v>50.5</v>
      </c>
      <c r="S14" s="58">
        <v>50.5</v>
      </c>
      <c r="T14" s="58">
        <v>50.5</v>
      </c>
      <c r="U14" s="58">
        <v>50.5</v>
      </c>
      <c r="V14" s="58">
        <v>50.5</v>
      </c>
      <c r="W14" s="58">
        <v>50.5</v>
      </c>
      <c r="X14" s="58">
        <v>50.5</v>
      </c>
      <c r="Y14" s="58">
        <v>50.5</v>
      </c>
      <c r="Z14" s="58">
        <v>50.5</v>
      </c>
      <c r="AA14" s="58">
        <v>50.5</v>
      </c>
      <c r="AB14" s="58">
        <v>50.5</v>
      </c>
      <c r="AC14" s="58">
        <v>50.3</v>
      </c>
      <c r="AD14" s="58">
        <v>50.4</v>
      </c>
      <c r="AE14" s="58">
        <v>50.3</v>
      </c>
      <c r="AF14" s="45"/>
      <c r="AG14" s="49">
        <v>50</v>
      </c>
      <c r="AH14" s="47">
        <f t="shared" si="2"/>
        <v>50.5</v>
      </c>
      <c r="AI14" s="48">
        <f t="shared" si="3"/>
        <v>50.3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46.3</v>
      </c>
      <c r="C15" s="45">
        <v>46.3</v>
      </c>
      <c r="D15" s="45">
        <v>46.3</v>
      </c>
      <c r="E15" s="45">
        <v>46.3</v>
      </c>
      <c r="F15" s="45">
        <v>46.3</v>
      </c>
      <c r="G15" s="45">
        <v>46.3</v>
      </c>
      <c r="H15" s="45">
        <v>46.3</v>
      </c>
      <c r="I15" s="45">
        <v>46.3</v>
      </c>
      <c r="J15" s="45">
        <v>46.2</v>
      </c>
      <c r="K15" s="45">
        <v>46.2</v>
      </c>
      <c r="L15" s="45">
        <v>46.2</v>
      </c>
      <c r="M15" s="45">
        <v>46.2</v>
      </c>
      <c r="N15" s="45"/>
      <c r="O15" s="45">
        <v>46.2</v>
      </c>
      <c r="P15" s="45">
        <v>46.2</v>
      </c>
      <c r="Q15" s="45">
        <v>46.2</v>
      </c>
      <c r="R15" s="45">
        <v>46.2</v>
      </c>
      <c r="S15" s="45">
        <v>46.2</v>
      </c>
      <c r="T15" s="45">
        <v>46.2</v>
      </c>
      <c r="U15" s="45">
        <v>46.2</v>
      </c>
      <c r="V15" s="45">
        <v>46.2</v>
      </c>
      <c r="W15" s="45">
        <v>46.2</v>
      </c>
      <c r="X15" s="45">
        <v>46.2</v>
      </c>
      <c r="Y15" s="45">
        <v>46</v>
      </c>
      <c r="Z15" s="45">
        <v>46</v>
      </c>
      <c r="AA15" s="45">
        <v>46</v>
      </c>
      <c r="AB15" s="45">
        <v>46</v>
      </c>
      <c r="AC15" s="45">
        <v>46.3</v>
      </c>
      <c r="AD15" s="45">
        <v>46.3</v>
      </c>
      <c r="AE15" s="45">
        <v>46.1</v>
      </c>
      <c r="AF15" s="45"/>
      <c r="AG15" s="49">
        <v>45</v>
      </c>
      <c r="AH15" s="47">
        <f t="shared" si="2"/>
        <v>46.3</v>
      </c>
      <c r="AI15" s="48">
        <f t="shared" si="3"/>
        <v>46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/>
      <c r="O16" s="45">
        <v>44</v>
      </c>
      <c r="P16" s="45">
        <v>44</v>
      </c>
      <c r="Q16" s="45">
        <v>44</v>
      </c>
      <c r="R16" s="45">
        <v>44</v>
      </c>
      <c r="S16" s="45">
        <v>0</v>
      </c>
      <c r="T16" s="45">
        <v>0</v>
      </c>
      <c r="U16" s="45">
        <v>10</v>
      </c>
      <c r="V16" s="45">
        <v>30</v>
      </c>
      <c r="W16" s="45">
        <v>30</v>
      </c>
      <c r="X16" s="45">
        <v>30</v>
      </c>
      <c r="Y16" s="45">
        <v>30</v>
      </c>
      <c r="Z16" s="45">
        <v>30</v>
      </c>
      <c r="AA16" s="45">
        <v>30</v>
      </c>
      <c r="AB16" s="45">
        <v>30</v>
      </c>
      <c r="AC16" s="45">
        <v>30</v>
      </c>
      <c r="AD16" s="45">
        <v>30</v>
      </c>
      <c r="AE16" s="45">
        <v>30</v>
      </c>
      <c r="AF16" s="45"/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31.5</v>
      </c>
      <c r="C17" s="45">
        <v>31.5</v>
      </c>
      <c r="D17" s="45">
        <v>31.5</v>
      </c>
      <c r="E17" s="45">
        <v>35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28</v>
      </c>
      <c r="N17" s="45"/>
      <c r="O17" s="45">
        <v>32.6</v>
      </c>
      <c r="P17" s="45">
        <v>31.5</v>
      </c>
      <c r="Q17" s="45">
        <v>31.5</v>
      </c>
      <c r="R17" s="45">
        <v>31.5</v>
      </c>
      <c r="S17" s="45">
        <v>31.5</v>
      </c>
      <c r="T17" s="45">
        <v>31.5</v>
      </c>
      <c r="U17" s="45">
        <v>29</v>
      </c>
      <c r="V17" s="45">
        <v>29</v>
      </c>
      <c r="W17" s="45">
        <v>29</v>
      </c>
      <c r="X17" s="45">
        <v>29</v>
      </c>
      <c r="Y17" s="45">
        <v>29</v>
      </c>
      <c r="Z17" s="45">
        <v>29</v>
      </c>
      <c r="AA17" s="45">
        <v>37</v>
      </c>
      <c r="AB17" s="45">
        <v>30</v>
      </c>
      <c r="AC17" s="45">
        <v>30</v>
      </c>
      <c r="AD17" s="45">
        <v>30</v>
      </c>
      <c r="AE17" s="45">
        <v>31</v>
      </c>
      <c r="AF17" s="45"/>
      <c r="AG17" s="49">
        <v>42</v>
      </c>
      <c r="AH17" s="47">
        <f t="shared" si="2"/>
        <v>37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/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/>
      <c r="AG18" s="49">
        <v>38.46</v>
      </c>
      <c r="AH18" s="47">
        <f t="shared" si="2"/>
        <v>38</v>
      </c>
      <c r="AI18" s="48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/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/>
      <c r="AG19" s="49">
        <v>36</v>
      </c>
      <c r="AH19" s="47">
        <f t="shared" si="2"/>
        <v>36</v>
      </c>
      <c r="AI19" s="48">
        <f t="shared" si="3"/>
        <v>36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</v>
      </c>
      <c r="C20" s="45">
        <v>9</v>
      </c>
      <c r="D20" s="45">
        <v>9</v>
      </c>
      <c r="E20" s="45">
        <v>9</v>
      </c>
      <c r="F20" s="45">
        <v>15</v>
      </c>
      <c r="G20" s="45">
        <v>15</v>
      </c>
      <c r="H20" s="45">
        <v>9</v>
      </c>
      <c r="I20" s="45">
        <v>9</v>
      </c>
      <c r="J20" s="45">
        <v>11</v>
      </c>
      <c r="K20" s="45">
        <v>11</v>
      </c>
      <c r="L20" s="45">
        <v>11</v>
      </c>
      <c r="M20" s="45">
        <v>11</v>
      </c>
      <c r="N20" s="45"/>
      <c r="O20" s="45">
        <v>0</v>
      </c>
      <c r="P20" s="45">
        <v>5</v>
      </c>
      <c r="Q20" s="45">
        <v>5</v>
      </c>
      <c r="R20" s="45">
        <v>14.7</v>
      </c>
      <c r="S20" s="45">
        <v>14.7</v>
      </c>
      <c r="T20" s="45">
        <v>14.7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5</v>
      </c>
      <c r="AA20" s="45">
        <v>15</v>
      </c>
      <c r="AB20" s="45">
        <v>15</v>
      </c>
      <c r="AC20" s="45">
        <v>15.4</v>
      </c>
      <c r="AD20" s="45">
        <v>15.4</v>
      </c>
      <c r="AE20" s="45">
        <v>30</v>
      </c>
      <c r="AF20" s="45"/>
      <c r="AG20" s="51">
        <v>30</v>
      </c>
      <c r="AH20" s="47">
        <f t="shared" si="2"/>
        <v>30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20.8</v>
      </c>
      <c r="C21" s="45">
        <v>20.8</v>
      </c>
      <c r="D21" s="45">
        <v>20.8</v>
      </c>
      <c r="E21" s="45">
        <v>20.8</v>
      </c>
      <c r="F21" s="45">
        <v>20.8</v>
      </c>
      <c r="G21" s="45">
        <v>20.8</v>
      </c>
      <c r="H21" s="45">
        <v>20.8</v>
      </c>
      <c r="I21" s="45">
        <v>20.8</v>
      </c>
      <c r="J21" s="45">
        <v>20.8</v>
      </c>
      <c r="K21" s="45">
        <v>20.8</v>
      </c>
      <c r="L21" s="45">
        <v>20.8</v>
      </c>
      <c r="M21" s="45">
        <v>20.8</v>
      </c>
      <c r="N21" s="45"/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20.7</v>
      </c>
      <c r="AB21" s="45">
        <v>20.7</v>
      </c>
      <c r="AC21" s="45">
        <v>20.7</v>
      </c>
      <c r="AD21" s="45">
        <v>20.7</v>
      </c>
      <c r="AE21" s="45">
        <v>20.7</v>
      </c>
      <c r="AF21" s="45"/>
      <c r="AG21" s="49">
        <v>24.2</v>
      </c>
      <c r="AH21" s="47">
        <f t="shared" si="2"/>
        <v>20.8</v>
      </c>
      <c r="AI21" s="48">
        <f t="shared" si="3"/>
        <v>10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21</v>
      </c>
      <c r="C22" s="45">
        <v>21</v>
      </c>
      <c r="D22" s="45">
        <v>21</v>
      </c>
      <c r="E22" s="45">
        <v>21</v>
      </c>
      <c r="F22" s="45">
        <v>21</v>
      </c>
      <c r="G22" s="45">
        <v>21</v>
      </c>
      <c r="H22" s="45">
        <v>21</v>
      </c>
      <c r="I22" s="45">
        <v>21</v>
      </c>
      <c r="J22" s="45">
        <v>21</v>
      </c>
      <c r="K22" s="45">
        <v>21</v>
      </c>
      <c r="L22" s="45">
        <v>21</v>
      </c>
      <c r="M22" s="45">
        <v>21</v>
      </c>
      <c r="N22" s="45"/>
      <c r="O22" s="45">
        <v>10</v>
      </c>
      <c r="P22" s="45">
        <v>10</v>
      </c>
      <c r="Q22" s="45">
        <v>10</v>
      </c>
      <c r="R22" s="45">
        <v>10</v>
      </c>
      <c r="S22" s="45">
        <v>10</v>
      </c>
      <c r="T22" s="45">
        <v>10</v>
      </c>
      <c r="U22" s="45">
        <v>10</v>
      </c>
      <c r="V22" s="45">
        <v>10</v>
      </c>
      <c r="W22" s="45">
        <v>10</v>
      </c>
      <c r="X22" s="45">
        <v>10</v>
      </c>
      <c r="Y22" s="45">
        <v>10</v>
      </c>
      <c r="Z22" s="45">
        <v>10</v>
      </c>
      <c r="AA22" s="45">
        <v>21.4</v>
      </c>
      <c r="AB22" s="45">
        <v>21.4</v>
      </c>
      <c r="AC22" s="45">
        <v>21.4</v>
      </c>
      <c r="AD22" s="45">
        <v>21.4</v>
      </c>
      <c r="AE22" s="45">
        <v>21.4</v>
      </c>
      <c r="AF22" s="45"/>
      <c r="AG22" s="49">
        <v>28</v>
      </c>
      <c r="AH22" s="47">
        <f t="shared" si="2"/>
        <v>21.4</v>
      </c>
      <c r="AI22" s="48">
        <f t="shared" si="3"/>
        <v>10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</v>
      </c>
      <c r="C23" s="45">
        <v>7</v>
      </c>
      <c r="D23" s="45">
        <v>7</v>
      </c>
      <c r="E23" s="45">
        <v>7</v>
      </c>
      <c r="F23" s="45">
        <v>10</v>
      </c>
      <c r="G23" s="45">
        <v>7</v>
      </c>
      <c r="H23" s="45">
        <v>7</v>
      </c>
      <c r="I23" s="45">
        <v>7</v>
      </c>
      <c r="J23" s="45">
        <v>7</v>
      </c>
      <c r="K23" s="45">
        <v>7</v>
      </c>
      <c r="L23" s="45">
        <v>7</v>
      </c>
      <c r="M23" s="45">
        <v>7</v>
      </c>
      <c r="N23" s="45"/>
      <c r="O23" s="45">
        <v>0</v>
      </c>
      <c r="P23" s="45">
        <v>5</v>
      </c>
      <c r="Q23" s="45">
        <v>9</v>
      </c>
      <c r="R23" s="45">
        <v>9</v>
      </c>
      <c r="S23" s="45">
        <v>9</v>
      </c>
      <c r="T23" s="45">
        <v>9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4.5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/>
      <c r="AG23" s="51">
        <v>30</v>
      </c>
      <c r="AH23" s="47">
        <f t="shared" si="2"/>
        <v>18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24.4</v>
      </c>
      <c r="C24" s="45">
        <v>24.4</v>
      </c>
      <c r="D24" s="45">
        <v>24.4</v>
      </c>
      <c r="E24" s="45">
        <v>24.4</v>
      </c>
      <c r="F24" s="45">
        <v>24.4</v>
      </c>
      <c r="G24" s="45">
        <v>24.4</v>
      </c>
      <c r="H24" s="45">
        <v>24.4</v>
      </c>
      <c r="I24" s="45">
        <v>24.4</v>
      </c>
      <c r="J24" s="45">
        <v>24.4</v>
      </c>
      <c r="K24" s="45">
        <v>24.4</v>
      </c>
      <c r="L24" s="45">
        <v>24.4</v>
      </c>
      <c r="M24" s="45">
        <v>24.4</v>
      </c>
      <c r="N24" s="45"/>
      <c r="O24" s="45">
        <v>24.4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24</v>
      </c>
      <c r="W24" s="45">
        <v>26.2</v>
      </c>
      <c r="X24" s="45">
        <v>26.2</v>
      </c>
      <c r="Y24" s="45">
        <v>26.2</v>
      </c>
      <c r="Z24" s="45">
        <v>26</v>
      </c>
      <c r="AA24" s="45">
        <v>26</v>
      </c>
      <c r="AB24" s="45">
        <v>26</v>
      </c>
      <c r="AC24" s="45">
        <v>26</v>
      </c>
      <c r="AD24" s="45">
        <v>26</v>
      </c>
      <c r="AE24" s="45">
        <v>25.9</v>
      </c>
      <c r="AF24" s="45"/>
      <c r="AG24" s="49">
        <v>25</v>
      </c>
      <c r="AH24" s="47">
        <f t="shared" si="2"/>
        <v>26.2</v>
      </c>
      <c r="AI24" s="48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/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/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/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/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6</v>
      </c>
      <c r="C27" s="45">
        <v>6</v>
      </c>
      <c r="D27" s="45">
        <v>6</v>
      </c>
      <c r="E27" s="45">
        <v>6</v>
      </c>
      <c r="F27" s="45">
        <v>6</v>
      </c>
      <c r="G27" s="45">
        <v>6</v>
      </c>
      <c r="H27" s="45">
        <v>6</v>
      </c>
      <c r="I27" s="45">
        <v>6</v>
      </c>
      <c r="J27" s="45">
        <v>6</v>
      </c>
      <c r="K27" s="45">
        <v>6</v>
      </c>
      <c r="L27" s="45">
        <v>6</v>
      </c>
      <c r="M27" s="45">
        <v>6</v>
      </c>
      <c r="N27" s="45"/>
      <c r="O27" s="45">
        <v>0</v>
      </c>
      <c r="P27" s="45">
        <v>5</v>
      </c>
      <c r="Q27" s="45">
        <v>5</v>
      </c>
      <c r="R27" s="45">
        <v>5</v>
      </c>
      <c r="S27" s="45">
        <v>5</v>
      </c>
      <c r="T27" s="45">
        <v>5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4</v>
      </c>
      <c r="AA27" s="45">
        <v>25</v>
      </c>
      <c r="AB27" s="45">
        <v>12.5</v>
      </c>
      <c r="AC27" s="45">
        <v>12.5</v>
      </c>
      <c r="AD27" s="45">
        <v>12.5</v>
      </c>
      <c r="AE27" s="45">
        <v>25</v>
      </c>
      <c r="AF27" s="45"/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25</v>
      </c>
      <c r="C28" s="45">
        <v>25</v>
      </c>
      <c r="D28" s="45">
        <v>25</v>
      </c>
      <c r="E28" s="45">
        <v>25</v>
      </c>
      <c r="F28" s="45">
        <v>25</v>
      </c>
      <c r="G28" s="45">
        <v>25</v>
      </c>
      <c r="H28" s="45">
        <v>25</v>
      </c>
      <c r="I28" s="45">
        <v>25</v>
      </c>
      <c r="J28" s="45">
        <v>25</v>
      </c>
      <c r="K28" s="45">
        <v>25</v>
      </c>
      <c r="L28" s="45">
        <v>25</v>
      </c>
      <c r="M28" s="45">
        <v>25</v>
      </c>
      <c r="N28" s="45"/>
      <c r="O28" s="45">
        <v>25</v>
      </c>
      <c r="P28" s="45">
        <v>25</v>
      </c>
      <c r="Q28" s="45">
        <v>25</v>
      </c>
      <c r="R28" s="45">
        <v>25</v>
      </c>
      <c r="S28" s="45">
        <v>25</v>
      </c>
      <c r="T28" s="45">
        <v>25</v>
      </c>
      <c r="U28" s="45">
        <v>25</v>
      </c>
      <c r="V28" s="45">
        <v>25</v>
      </c>
      <c r="W28" s="45">
        <v>25</v>
      </c>
      <c r="X28" s="45">
        <v>25</v>
      </c>
      <c r="Y28" s="45">
        <v>25</v>
      </c>
      <c r="Z28" s="45">
        <v>25</v>
      </c>
      <c r="AA28" s="45">
        <v>25</v>
      </c>
      <c r="AB28" s="45">
        <v>25</v>
      </c>
      <c r="AC28" s="45">
        <v>25</v>
      </c>
      <c r="AD28" s="45">
        <v>25</v>
      </c>
      <c r="AE28" s="45">
        <v>25</v>
      </c>
      <c r="AF28" s="45"/>
      <c r="AG28" s="49">
        <v>23.5</v>
      </c>
      <c r="AH28" s="47">
        <f t="shared" si="2"/>
        <v>25</v>
      </c>
      <c r="AI28" s="48">
        <f t="shared" si="3"/>
        <v>25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/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/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/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/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/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/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/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/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15</v>
      </c>
      <c r="K33" s="45">
        <v>15</v>
      </c>
      <c r="L33" s="45">
        <v>15</v>
      </c>
      <c r="M33" s="45">
        <v>15</v>
      </c>
      <c r="N33" s="45"/>
      <c r="O33" s="45">
        <v>15</v>
      </c>
      <c r="P33" s="45">
        <v>15</v>
      </c>
      <c r="Q33" s="45">
        <v>15</v>
      </c>
      <c r="R33" s="45">
        <v>15</v>
      </c>
      <c r="S33" s="45">
        <v>15</v>
      </c>
      <c r="T33" s="45">
        <v>15</v>
      </c>
      <c r="U33" s="45">
        <v>15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10</v>
      </c>
      <c r="AB33" s="45">
        <v>10</v>
      </c>
      <c r="AC33" s="45">
        <v>10</v>
      </c>
      <c r="AD33" s="45">
        <v>10</v>
      </c>
      <c r="AE33" s="45">
        <v>15</v>
      </c>
      <c r="AF33" s="45"/>
      <c r="AG33" s="49">
        <v>20</v>
      </c>
      <c r="AH33" s="47">
        <f t="shared" si="2"/>
        <v>15</v>
      </c>
      <c r="AI33" s="48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5</v>
      </c>
      <c r="C34" s="45">
        <v>5</v>
      </c>
      <c r="D34" s="45">
        <v>5</v>
      </c>
      <c r="E34" s="45">
        <v>5</v>
      </c>
      <c r="F34" s="45">
        <v>5</v>
      </c>
      <c r="G34" s="45">
        <v>5</v>
      </c>
      <c r="H34" s="45">
        <v>5</v>
      </c>
      <c r="I34" s="45">
        <v>5</v>
      </c>
      <c r="J34" s="45">
        <v>10</v>
      </c>
      <c r="K34" s="45">
        <v>10</v>
      </c>
      <c r="L34" s="45">
        <v>10</v>
      </c>
      <c r="M34" s="45">
        <v>10</v>
      </c>
      <c r="N34" s="45"/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0</v>
      </c>
      <c r="W34" s="45">
        <v>0</v>
      </c>
      <c r="X34" s="45">
        <v>0</v>
      </c>
      <c r="Y34" s="45">
        <v>0</v>
      </c>
      <c r="Z34" s="45">
        <v>5</v>
      </c>
      <c r="AA34" s="45">
        <v>5</v>
      </c>
      <c r="AB34" s="45">
        <v>0</v>
      </c>
      <c r="AC34" s="45">
        <v>0</v>
      </c>
      <c r="AD34" s="45">
        <v>0</v>
      </c>
      <c r="AE34" s="45">
        <v>5</v>
      </c>
      <c r="AF34" s="45"/>
      <c r="AG34" s="49">
        <v>18</v>
      </c>
      <c r="AH34" s="47">
        <f t="shared" si="2"/>
        <v>10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/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/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/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/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/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/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/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/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6</v>
      </c>
      <c r="C39" s="45">
        <v>6</v>
      </c>
      <c r="D39" s="45">
        <v>6</v>
      </c>
      <c r="E39" s="45">
        <v>6</v>
      </c>
      <c r="F39" s="45">
        <v>6</v>
      </c>
      <c r="G39" s="45">
        <v>6</v>
      </c>
      <c r="H39" s="45">
        <v>6</v>
      </c>
      <c r="I39" s="45">
        <v>6</v>
      </c>
      <c r="J39" s="45">
        <v>12</v>
      </c>
      <c r="K39" s="45">
        <v>12</v>
      </c>
      <c r="L39" s="45">
        <v>6</v>
      </c>
      <c r="M39" s="45">
        <v>6</v>
      </c>
      <c r="N39" s="45"/>
      <c r="O39" s="45">
        <v>0</v>
      </c>
      <c r="P39" s="45">
        <v>3</v>
      </c>
      <c r="Q39" s="45">
        <v>3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2</v>
      </c>
      <c r="AA39" s="45">
        <v>12</v>
      </c>
      <c r="AB39" s="45">
        <v>6</v>
      </c>
      <c r="AC39" s="45">
        <v>6</v>
      </c>
      <c r="AD39" s="45">
        <v>6</v>
      </c>
      <c r="AE39" s="45">
        <v>6</v>
      </c>
      <c r="AF39" s="45"/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7.9</v>
      </c>
      <c r="C40" s="45">
        <v>7.9</v>
      </c>
      <c r="D40" s="45">
        <v>7.9</v>
      </c>
      <c r="E40" s="45">
        <v>7.9</v>
      </c>
      <c r="F40" s="45">
        <v>7.9</v>
      </c>
      <c r="G40" s="45">
        <v>7.9</v>
      </c>
      <c r="H40" s="45">
        <v>7.9</v>
      </c>
      <c r="I40" s="45">
        <v>7.9</v>
      </c>
      <c r="J40" s="45">
        <v>7.9</v>
      </c>
      <c r="K40" s="45">
        <v>7.9</v>
      </c>
      <c r="L40" s="45">
        <v>7.9</v>
      </c>
      <c r="M40" s="45">
        <v>7.9</v>
      </c>
      <c r="N40" s="45"/>
      <c r="O40" s="45">
        <v>7.9</v>
      </c>
      <c r="P40" s="45">
        <v>7.9</v>
      </c>
      <c r="Q40" s="45">
        <v>7.9</v>
      </c>
      <c r="R40" s="45">
        <v>7.9</v>
      </c>
      <c r="S40" s="45">
        <v>7.9</v>
      </c>
      <c r="T40" s="45">
        <v>7.9</v>
      </c>
      <c r="U40" s="45">
        <v>7.9</v>
      </c>
      <c r="V40" s="45">
        <v>7.9</v>
      </c>
      <c r="W40" s="45">
        <v>7.9</v>
      </c>
      <c r="X40" s="45">
        <v>7.9</v>
      </c>
      <c r="Y40" s="45">
        <v>7.9</v>
      </c>
      <c r="Z40" s="45">
        <v>7.9</v>
      </c>
      <c r="AA40" s="45">
        <v>7.9</v>
      </c>
      <c r="AB40" s="45">
        <v>7.9</v>
      </c>
      <c r="AC40" s="45">
        <v>7.9</v>
      </c>
      <c r="AD40" s="45">
        <v>7.9</v>
      </c>
      <c r="AE40" s="45">
        <v>4</v>
      </c>
      <c r="AF40" s="45"/>
      <c r="AG40" s="49">
        <v>12</v>
      </c>
      <c r="AH40" s="47">
        <f t="shared" si="2"/>
        <v>7.9</v>
      </c>
      <c r="AI40" s="48">
        <f t="shared" si="3"/>
        <v>4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6</v>
      </c>
      <c r="C41" s="45">
        <v>6</v>
      </c>
      <c r="D41" s="45">
        <v>6</v>
      </c>
      <c r="E41" s="45">
        <v>6</v>
      </c>
      <c r="F41" s="45">
        <v>6</v>
      </c>
      <c r="G41" s="45">
        <v>6</v>
      </c>
      <c r="H41" s="45">
        <v>6</v>
      </c>
      <c r="I41" s="45">
        <v>6</v>
      </c>
      <c r="J41" s="45">
        <v>6</v>
      </c>
      <c r="K41" s="45">
        <v>6</v>
      </c>
      <c r="L41" s="45">
        <v>6</v>
      </c>
      <c r="M41" s="45">
        <v>6</v>
      </c>
      <c r="N41" s="45"/>
      <c r="O41" s="45">
        <v>6</v>
      </c>
      <c r="P41" s="45">
        <v>6</v>
      </c>
      <c r="Q41" s="45">
        <v>6</v>
      </c>
      <c r="R41" s="45">
        <v>6</v>
      </c>
      <c r="S41" s="45">
        <v>3.5</v>
      </c>
      <c r="T41" s="45">
        <v>3.5</v>
      </c>
      <c r="U41" s="45">
        <v>3.5</v>
      </c>
      <c r="V41" s="45">
        <v>3.5</v>
      </c>
      <c r="W41" s="45">
        <v>3.5</v>
      </c>
      <c r="X41" s="45">
        <v>3.5</v>
      </c>
      <c r="Y41" s="45">
        <v>3.5</v>
      </c>
      <c r="Z41" s="45">
        <v>3</v>
      </c>
      <c r="AA41" s="45">
        <v>3</v>
      </c>
      <c r="AB41" s="45">
        <v>3</v>
      </c>
      <c r="AC41" s="45">
        <v>3</v>
      </c>
      <c r="AD41" s="45">
        <v>3</v>
      </c>
      <c r="AE41" s="45">
        <v>3</v>
      </c>
      <c r="AF41" s="45"/>
      <c r="AG41" s="49">
        <v>12</v>
      </c>
      <c r="AH41" s="47">
        <f t="shared" si="2"/>
        <v>6</v>
      </c>
      <c r="AI41" s="48">
        <f t="shared" si="3"/>
        <v>3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/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/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</v>
      </c>
      <c r="C43" s="45">
        <v>11</v>
      </c>
      <c r="D43" s="45">
        <v>11</v>
      </c>
      <c r="E43" s="45">
        <v>11</v>
      </c>
      <c r="F43" s="45">
        <v>11</v>
      </c>
      <c r="G43" s="45">
        <v>11</v>
      </c>
      <c r="H43" s="45">
        <v>11</v>
      </c>
      <c r="I43" s="45">
        <v>11</v>
      </c>
      <c r="J43" s="45">
        <v>11</v>
      </c>
      <c r="K43" s="45">
        <v>11</v>
      </c>
      <c r="L43" s="45">
        <v>11</v>
      </c>
      <c r="M43" s="45">
        <v>11</v>
      </c>
      <c r="N43" s="45"/>
      <c r="O43" s="45">
        <v>11</v>
      </c>
      <c r="P43" s="45">
        <v>11</v>
      </c>
      <c r="Q43" s="45">
        <v>11</v>
      </c>
      <c r="R43" s="45">
        <v>11</v>
      </c>
      <c r="S43" s="45">
        <v>11</v>
      </c>
      <c r="T43" s="45">
        <v>11</v>
      </c>
      <c r="U43" s="45">
        <v>11</v>
      </c>
      <c r="V43" s="45">
        <v>11</v>
      </c>
      <c r="W43" s="45">
        <v>11</v>
      </c>
      <c r="X43" s="45">
        <v>11</v>
      </c>
      <c r="Y43" s="45">
        <v>11</v>
      </c>
      <c r="Z43" s="45">
        <v>11</v>
      </c>
      <c r="AA43" s="45">
        <v>11</v>
      </c>
      <c r="AB43" s="45">
        <v>11</v>
      </c>
      <c r="AC43" s="45">
        <v>11</v>
      </c>
      <c r="AD43" s="45">
        <v>11</v>
      </c>
      <c r="AE43" s="45">
        <v>11</v>
      </c>
      <c r="AF43" s="45"/>
      <c r="AG43" s="51">
        <v>11.88</v>
      </c>
      <c r="AH43" s="47">
        <f t="shared" si="2"/>
        <v>11</v>
      </c>
      <c r="AI43" s="48">
        <f t="shared" si="3"/>
        <v>11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/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/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/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/>
      <c r="AG45" s="54">
        <v>10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/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/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/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/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/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/>
      <c r="AG48" s="54">
        <v>85</v>
      </c>
      <c r="AH48" s="47">
        <f t="shared" si="2"/>
        <v>300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>
        <v>107</v>
      </c>
      <c r="C49" s="56">
        <v>107</v>
      </c>
      <c r="D49" s="56">
        <v>107</v>
      </c>
      <c r="E49" s="56">
        <v>107</v>
      </c>
      <c r="F49" s="56">
        <v>107</v>
      </c>
      <c r="G49" s="56">
        <v>107</v>
      </c>
      <c r="H49" s="56">
        <v>107</v>
      </c>
      <c r="I49" s="56">
        <v>107</v>
      </c>
      <c r="J49" s="56">
        <v>107</v>
      </c>
      <c r="K49" s="56">
        <v>107</v>
      </c>
      <c r="L49" s="56">
        <v>107</v>
      </c>
      <c r="M49" s="56">
        <v>107</v>
      </c>
      <c r="N49" s="58"/>
      <c r="O49" s="58">
        <v>107</v>
      </c>
      <c r="P49" s="58">
        <v>107</v>
      </c>
      <c r="Q49" s="58">
        <v>107</v>
      </c>
      <c r="R49" s="58">
        <v>107</v>
      </c>
      <c r="S49" s="58">
        <v>100.1</v>
      </c>
      <c r="T49" s="58">
        <v>99.5</v>
      </c>
      <c r="U49" s="58">
        <v>106</v>
      </c>
      <c r="V49" s="58">
        <f>24.6+83.8</f>
        <v>108.4</v>
      </c>
      <c r="W49" s="58">
        <v>107</v>
      </c>
      <c r="X49" s="56">
        <v>106.8</v>
      </c>
      <c r="Y49" s="56">
        <v>106.8</v>
      </c>
      <c r="Z49" s="56">
        <v>104.4</v>
      </c>
      <c r="AA49" s="56">
        <v>103.7</v>
      </c>
      <c r="AB49" s="56">
        <v>103.7</v>
      </c>
      <c r="AC49" s="56">
        <f>23.9+82.6</f>
        <v>106.5</v>
      </c>
      <c r="AD49" s="56">
        <f>24.3+83.4</f>
        <v>107.7</v>
      </c>
      <c r="AE49" s="56">
        <f>24.3+83.4</f>
        <v>107.7</v>
      </c>
      <c r="AF49" s="56"/>
      <c r="AG49" s="54">
        <v>240</v>
      </c>
      <c r="AH49" s="47">
        <f t="shared" si="2"/>
        <v>108.4</v>
      </c>
      <c r="AI49" s="48">
        <f t="shared" si="3"/>
        <v>99.5</v>
      </c>
      <c r="AK49" s="50"/>
    </row>
    <row r="50" spans="1:41" ht="15.75" thickBot="1" x14ac:dyDescent="0.3">
      <c r="A50" s="59" t="s">
        <v>58</v>
      </c>
      <c r="B50" s="60">
        <v>1006.1999999999999</v>
      </c>
      <c r="C50" s="60">
        <f t="shared" ref="C50:AF50" si="4">SUM(C11:C48)</f>
        <v>1006.1999999999999</v>
      </c>
      <c r="D50" s="60">
        <f t="shared" si="4"/>
        <v>1006.1999999999999</v>
      </c>
      <c r="E50" s="60">
        <f t="shared" si="4"/>
        <v>1009.6999999999999</v>
      </c>
      <c r="F50" s="60">
        <f t="shared" si="4"/>
        <v>983.69999999999993</v>
      </c>
      <c r="G50" s="60">
        <f t="shared" si="4"/>
        <v>980.69999999999993</v>
      </c>
      <c r="H50" s="60">
        <f t="shared" ref="H50:J50" si="5">SUM(H11:H48)</f>
        <v>974.69999999999993</v>
      </c>
      <c r="I50" s="60">
        <f t="shared" si="5"/>
        <v>974.69999999999993</v>
      </c>
      <c r="J50" s="60">
        <f t="shared" si="5"/>
        <v>997.6</v>
      </c>
      <c r="K50" s="60">
        <f t="shared" si="4"/>
        <v>997.6</v>
      </c>
      <c r="L50" s="60">
        <f t="shared" si="4"/>
        <v>991.6</v>
      </c>
      <c r="M50" s="60">
        <f t="shared" si="4"/>
        <v>1019.6</v>
      </c>
      <c r="N50" s="60">
        <f t="shared" si="4"/>
        <v>0</v>
      </c>
      <c r="O50" s="60">
        <f t="shared" si="4"/>
        <v>959.4</v>
      </c>
      <c r="P50" s="60">
        <f t="shared" si="4"/>
        <v>929.80000000000007</v>
      </c>
      <c r="Q50" s="60">
        <f t="shared" si="4"/>
        <v>933.80000000000007</v>
      </c>
      <c r="R50" s="60">
        <f t="shared" si="4"/>
        <v>942.5</v>
      </c>
      <c r="S50" s="60">
        <f t="shared" si="4"/>
        <v>896</v>
      </c>
      <c r="T50" s="60">
        <f t="shared" si="4"/>
        <v>896</v>
      </c>
      <c r="U50" s="60">
        <f t="shared" si="4"/>
        <v>891.4</v>
      </c>
      <c r="V50" s="60">
        <f t="shared" si="4"/>
        <v>915.4</v>
      </c>
      <c r="W50" s="60">
        <f t="shared" si="4"/>
        <v>917.6</v>
      </c>
      <c r="X50" s="60">
        <f t="shared" si="4"/>
        <v>917.6</v>
      </c>
      <c r="Y50" s="60">
        <f t="shared" si="4"/>
        <v>917.4</v>
      </c>
      <c r="Z50" s="60">
        <f t="shared" si="4"/>
        <v>946.2</v>
      </c>
      <c r="AA50" s="60">
        <f t="shared" si="4"/>
        <v>1015.8000000000001</v>
      </c>
      <c r="AB50" s="60">
        <f t="shared" si="4"/>
        <v>985.30000000000007</v>
      </c>
      <c r="AC50" s="60">
        <f t="shared" ref="AC50" si="6">SUM(AC11:AC48)</f>
        <v>986.5</v>
      </c>
      <c r="AD50" s="60">
        <f t="shared" si="4"/>
        <v>986.4</v>
      </c>
      <c r="AE50" s="60">
        <f t="shared" ref="AE50" si="7">SUM(AE11:AE48)</f>
        <v>1020.5</v>
      </c>
      <c r="AF50" s="60">
        <f t="shared" si="4"/>
        <v>0</v>
      </c>
      <c r="AG50" s="61">
        <f>SUM(AG13:AG48)</f>
        <v>922.14</v>
      </c>
      <c r="AH50" s="47">
        <f t="shared" si="2"/>
        <v>1020.5</v>
      </c>
      <c r="AI50" s="48">
        <f t="shared" si="3"/>
        <v>0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175"/>
      <c r="O51" s="175">
        <v>456</v>
      </c>
      <c r="P51" s="175">
        <v>456</v>
      </c>
      <c r="Q51" s="175">
        <v>456</v>
      </c>
      <c r="R51" s="175">
        <v>456</v>
      </c>
      <c r="S51" s="175">
        <v>456</v>
      </c>
      <c r="T51" s="175">
        <v>456</v>
      </c>
      <c r="U51" s="175">
        <v>456</v>
      </c>
      <c r="V51" s="175">
        <v>456</v>
      </c>
      <c r="W51" s="175">
        <v>456</v>
      </c>
      <c r="X51" s="17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/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/>
      <c r="O52" s="64">
        <v>40</v>
      </c>
      <c r="P52" s="64">
        <v>40</v>
      </c>
      <c r="Q52" s="64">
        <v>40</v>
      </c>
      <c r="R52" s="64">
        <v>40</v>
      </c>
      <c r="S52" s="64">
        <v>40</v>
      </c>
      <c r="T52" s="64">
        <v>40</v>
      </c>
      <c r="U52" s="64">
        <v>40</v>
      </c>
      <c r="V52" s="64">
        <v>40</v>
      </c>
      <c r="W52" s="64">
        <v>40</v>
      </c>
      <c r="X52" s="64">
        <v>40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55</v>
      </c>
      <c r="AF52" s="64"/>
      <c r="AG52" s="54">
        <v>60</v>
      </c>
      <c r="AH52" s="47">
        <f t="shared" si="2"/>
        <v>60</v>
      </c>
      <c r="AI52" s="48">
        <f t="shared" si="3"/>
        <v>40</v>
      </c>
      <c r="AK52" s="50"/>
    </row>
    <row r="53" spans="1:41" ht="15.75" thickBot="1" x14ac:dyDescent="0.3">
      <c r="A53" s="65" t="s">
        <v>61</v>
      </c>
      <c r="B53" s="66">
        <v>12</v>
      </c>
      <c r="C53" s="66">
        <v>12</v>
      </c>
      <c r="D53" s="66">
        <v>12</v>
      </c>
      <c r="E53" s="66">
        <v>12</v>
      </c>
      <c r="F53" s="66">
        <v>12</v>
      </c>
      <c r="G53" s="66">
        <v>12</v>
      </c>
      <c r="H53" s="66">
        <v>12</v>
      </c>
      <c r="I53" s="66">
        <v>12</v>
      </c>
      <c r="J53" s="66">
        <v>12</v>
      </c>
      <c r="K53" s="66">
        <v>12</v>
      </c>
      <c r="L53" s="66">
        <v>12</v>
      </c>
      <c r="M53" s="66">
        <v>12</v>
      </c>
      <c r="N53" s="66"/>
      <c r="O53" s="66">
        <v>12</v>
      </c>
      <c r="P53" s="66">
        <v>22</v>
      </c>
      <c r="Q53" s="66">
        <v>22</v>
      </c>
      <c r="R53" s="66">
        <v>22</v>
      </c>
      <c r="S53" s="66">
        <v>22</v>
      </c>
      <c r="T53" s="66">
        <v>22</v>
      </c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66">
        <v>22</v>
      </c>
      <c r="AB53" s="66">
        <v>22</v>
      </c>
      <c r="AC53" s="66">
        <v>22.5</v>
      </c>
      <c r="AD53" s="66">
        <v>22.4</v>
      </c>
      <c r="AE53" s="66">
        <v>10.1</v>
      </c>
      <c r="AF53" s="66"/>
      <c r="AG53" s="67">
        <v>22.1</v>
      </c>
      <c r="AH53" s="47">
        <f t="shared" si="2"/>
        <v>22.5</v>
      </c>
      <c r="AI53" s="48">
        <f t="shared" si="3"/>
        <v>10.1</v>
      </c>
      <c r="AK53" s="50"/>
    </row>
    <row r="54" spans="1:41" ht="15.75" thickBot="1" x14ac:dyDescent="0.3">
      <c r="A54" s="68" t="s">
        <v>62</v>
      </c>
      <c r="B54" s="60">
        <v>523</v>
      </c>
      <c r="C54" s="60">
        <f t="shared" ref="C54:AG54" si="8">SUM(C51:C53)</f>
        <v>523</v>
      </c>
      <c r="D54" s="60">
        <f t="shared" si="8"/>
        <v>523</v>
      </c>
      <c r="E54" s="60">
        <f t="shared" si="8"/>
        <v>523</v>
      </c>
      <c r="F54" s="60">
        <f t="shared" si="8"/>
        <v>523</v>
      </c>
      <c r="G54" s="60">
        <f t="shared" si="8"/>
        <v>523</v>
      </c>
      <c r="H54" s="60">
        <f t="shared" ref="H54:J54" si="9">SUM(H51:H53)</f>
        <v>523</v>
      </c>
      <c r="I54" s="60">
        <f t="shared" si="9"/>
        <v>523</v>
      </c>
      <c r="J54" s="60">
        <f t="shared" si="9"/>
        <v>523</v>
      </c>
      <c r="K54" s="60">
        <f t="shared" si="8"/>
        <v>523</v>
      </c>
      <c r="L54" s="60">
        <f t="shared" si="8"/>
        <v>523</v>
      </c>
      <c r="M54" s="60">
        <f t="shared" si="8"/>
        <v>523</v>
      </c>
      <c r="N54" s="60">
        <f t="shared" si="8"/>
        <v>0</v>
      </c>
      <c r="O54" s="60">
        <f t="shared" si="8"/>
        <v>508</v>
      </c>
      <c r="P54" s="60">
        <f t="shared" si="8"/>
        <v>518</v>
      </c>
      <c r="Q54" s="60">
        <f t="shared" si="8"/>
        <v>518</v>
      </c>
      <c r="R54" s="60">
        <f t="shared" si="8"/>
        <v>518</v>
      </c>
      <c r="S54" s="60">
        <f t="shared" si="8"/>
        <v>518</v>
      </c>
      <c r="T54" s="60">
        <f t="shared" si="8"/>
        <v>518</v>
      </c>
      <c r="U54" s="60">
        <f t="shared" si="8"/>
        <v>518</v>
      </c>
      <c r="V54" s="60">
        <f t="shared" si="8"/>
        <v>518</v>
      </c>
      <c r="W54" s="60">
        <f t="shared" si="8"/>
        <v>518</v>
      </c>
      <c r="X54" s="60">
        <f t="shared" si="8"/>
        <v>518</v>
      </c>
      <c r="Y54" s="60">
        <f t="shared" si="8"/>
        <v>538</v>
      </c>
      <c r="Z54" s="60">
        <f t="shared" si="8"/>
        <v>538</v>
      </c>
      <c r="AA54" s="60">
        <f t="shared" si="8"/>
        <v>538</v>
      </c>
      <c r="AB54" s="60">
        <f t="shared" si="8"/>
        <v>538</v>
      </c>
      <c r="AC54" s="60">
        <f t="shared" ref="AC54" si="10">SUM(AC51:AC53)</f>
        <v>538.5</v>
      </c>
      <c r="AD54" s="60">
        <f t="shared" si="8"/>
        <v>538.4</v>
      </c>
      <c r="AE54" s="60">
        <f t="shared" ref="AE54" si="11">SUM(AE51:AE53)</f>
        <v>521.1</v>
      </c>
      <c r="AF54" s="60">
        <f t="shared" si="8"/>
        <v>0</v>
      </c>
      <c r="AG54" s="61">
        <f t="shared" si="8"/>
        <v>538.1</v>
      </c>
      <c r="AH54" s="47">
        <f t="shared" si="2"/>
        <v>538.5</v>
      </c>
      <c r="AI54" s="48">
        <f t="shared" si="3"/>
        <v>0</v>
      </c>
      <c r="AK54" s="50"/>
    </row>
    <row r="55" spans="1:41" x14ac:dyDescent="0.25">
      <c r="A55" s="44" t="s">
        <v>63</v>
      </c>
      <c r="B55" s="45">
        <v>135.19999999999999</v>
      </c>
      <c r="C55" s="45">
        <v>136</v>
      </c>
      <c r="D55" s="45">
        <v>136</v>
      </c>
      <c r="E55" s="45">
        <v>134</v>
      </c>
      <c r="F55" s="45">
        <v>134</v>
      </c>
      <c r="G55" s="45">
        <v>134</v>
      </c>
      <c r="H55" s="45">
        <v>134</v>
      </c>
      <c r="I55" s="45">
        <v>134</v>
      </c>
      <c r="J55" s="45">
        <v>134</v>
      </c>
      <c r="K55" s="45">
        <v>134</v>
      </c>
      <c r="L55" s="45">
        <v>134</v>
      </c>
      <c r="M55" s="45">
        <v>134</v>
      </c>
      <c r="N55" s="45"/>
      <c r="O55" s="45">
        <v>132.6</v>
      </c>
      <c r="P55" s="45">
        <v>133.5</v>
      </c>
      <c r="Q55" s="45">
        <v>133.5</v>
      </c>
      <c r="R55" s="45">
        <v>133.5</v>
      </c>
      <c r="S55" s="45">
        <v>133.5</v>
      </c>
      <c r="T55" s="45">
        <v>133.5</v>
      </c>
      <c r="U55" s="45">
        <v>134</v>
      </c>
      <c r="V55" s="45">
        <v>134.5</v>
      </c>
      <c r="W55" s="45">
        <v>134.5</v>
      </c>
      <c r="X55" s="45">
        <v>134.5</v>
      </c>
      <c r="Y55" s="45">
        <v>134.69999999999999</v>
      </c>
      <c r="Z55" s="45">
        <v>134.69999999999999</v>
      </c>
      <c r="AA55" s="45">
        <v>134.69999999999999</v>
      </c>
      <c r="AB55" s="45">
        <v>134.69999999999999</v>
      </c>
      <c r="AC55" s="45">
        <v>135.30000000000001</v>
      </c>
      <c r="AD55" s="45">
        <v>135</v>
      </c>
      <c r="AE55" s="45">
        <v>134.6</v>
      </c>
      <c r="AF55" s="45"/>
      <c r="AG55" s="51">
        <v>144</v>
      </c>
      <c r="AH55" s="47">
        <f t="shared" si="2"/>
        <v>136</v>
      </c>
      <c r="AI55" s="48">
        <f t="shared" si="3"/>
        <v>132.6</v>
      </c>
      <c r="AK55" s="50"/>
    </row>
    <row r="56" spans="1:41" x14ac:dyDescent="0.25">
      <c r="A56" s="53" t="s">
        <v>64</v>
      </c>
      <c r="B56" s="64">
        <v>69.7</v>
      </c>
      <c r="C56" s="64">
        <v>69.7</v>
      </c>
      <c r="D56" s="64">
        <v>69.7</v>
      </c>
      <c r="E56" s="64">
        <v>69.7</v>
      </c>
      <c r="F56" s="64">
        <v>67</v>
      </c>
      <c r="G56" s="64">
        <v>67</v>
      </c>
      <c r="H56" s="64">
        <v>67</v>
      </c>
      <c r="I56" s="64">
        <v>67</v>
      </c>
      <c r="J56" s="64">
        <v>67</v>
      </c>
      <c r="K56" s="64">
        <v>67</v>
      </c>
      <c r="L56" s="64">
        <v>67</v>
      </c>
      <c r="M56" s="64">
        <v>67</v>
      </c>
      <c r="N56" s="64"/>
      <c r="O56" s="64">
        <v>70.3</v>
      </c>
      <c r="P56" s="64">
        <v>69</v>
      </c>
      <c r="Q56" s="64">
        <v>69</v>
      </c>
      <c r="R56" s="64">
        <v>69</v>
      </c>
      <c r="S56" s="64">
        <v>69</v>
      </c>
      <c r="T56" s="64">
        <v>69</v>
      </c>
      <c r="U56" s="64">
        <v>69</v>
      </c>
      <c r="V56" s="45">
        <v>53</v>
      </c>
      <c r="W56" s="45">
        <v>53</v>
      </c>
      <c r="X56" s="45">
        <v>60</v>
      </c>
      <c r="Y56" s="45">
        <v>69</v>
      </c>
      <c r="Z56" s="45">
        <v>70</v>
      </c>
      <c r="AA56" s="45">
        <v>70</v>
      </c>
      <c r="AB56" s="45">
        <v>70</v>
      </c>
      <c r="AC56" s="45">
        <v>71.400000000000006</v>
      </c>
      <c r="AD56" s="64">
        <v>70.7</v>
      </c>
      <c r="AE56" s="64">
        <v>71</v>
      </c>
      <c r="AF56" s="45"/>
      <c r="AG56" s="54">
        <v>70</v>
      </c>
      <c r="AH56" s="47">
        <f t="shared" si="2"/>
        <v>71.400000000000006</v>
      </c>
      <c r="AI56" s="48">
        <f t="shared" si="3"/>
        <v>53</v>
      </c>
      <c r="AK56" s="50"/>
    </row>
    <row r="57" spans="1:41" x14ac:dyDescent="0.25">
      <c r="A57" s="53" t="s">
        <v>65</v>
      </c>
      <c r="B57" s="64">
        <v>60</v>
      </c>
      <c r="C57" s="64">
        <v>60</v>
      </c>
      <c r="D57" s="64">
        <v>60</v>
      </c>
      <c r="E57" s="64">
        <v>60</v>
      </c>
      <c r="F57" s="64">
        <v>60</v>
      </c>
      <c r="G57" s="64">
        <v>60</v>
      </c>
      <c r="H57" s="64">
        <v>60</v>
      </c>
      <c r="I57" s="64">
        <v>60</v>
      </c>
      <c r="J57" s="64">
        <v>60</v>
      </c>
      <c r="K57" s="64">
        <v>64</v>
      </c>
      <c r="L57" s="64">
        <v>64</v>
      </c>
      <c r="M57" s="64">
        <v>64</v>
      </c>
      <c r="N57" s="64"/>
      <c r="O57" s="64">
        <v>64.900000000000006</v>
      </c>
      <c r="P57" s="64">
        <v>55.3</v>
      </c>
      <c r="Q57" s="64">
        <v>65</v>
      </c>
      <c r="R57" s="64">
        <v>65</v>
      </c>
      <c r="S57" s="64">
        <v>65</v>
      </c>
      <c r="T57" s="64">
        <v>56</v>
      </c>
      <c r="U57" s="64">
        <v>65</v>
      </c>
      <c r="V57" s="45">
        <v>60.8</v>
      </c>
      <c r="W57" s="45">
        <v>60.8</v>
      </c>
      <c r="X57" s="45">
        <v>62</v>
      </c>
      <c r="Y57" s="45">
        <v>65.5</v>
      </c>
      <c r="Z57" s="45">
        <v>65.5</v>
      </c>
      <c r="AA57" s="45">
        <v>65.5</v>
      </c>
      <c r="AB57" s="45">
        <v>65.5</v>
      </c>
      <c r="AC57" s="45">
        <v>65.3</v>
      </c>
      <c r="AD57" s="64">
        <v>64.3</v>
      </c>
      <c r="AE57" s="64">
        <v>64.5</v>
      </c>
      <c r="AF57" s="45"/>
      <c r="AG57" s="54">
        <v>69</v>
      </c>
      <c r="AH57" s="47">
        <f t="shared" si="2"/>
        <v>65.5</v>
      </c>
      <c r="AI57" s="48">
        <f t="shared" si="3"/>
        <v>55.3</v>
      </c>
      <c r="AK57" s="50"/>
    </row>
    <row r="58" spans="1:41" x14ac:dyDescent="0.25">
      <c r="A58" s="53" t="s">
        <v>66</v>
      </c>
      <c r="B58" s="64">
        <v>61.4</v>
      </c>
      <c r="C58" s="64">
        <v>61.4</v>
      </c>
      <c r="D58" s="64">
        <v>61.4</v>
      </c>
      <c r="E58" s="64">
        <v>55</v>
      </c>
      <c r="F58" s="64">
        <v>55</v>
      </c>
      <c r="G58" s="64">
        <v>55</v>
      </c>
      <c r="H58" s="64">
        <v>55</v>
      </c>
      <c r="I58" s="64">
        <v>55</v>
      </c>
      <c r="J58" s="64">
        <v>55</v>
      </c>
      <c r="K58" s="64">
        <v>55</v>
      </c>
      <c r="L58" s="64">
        <v>40</v>
      </c>
      <c r="M58" s="64">
        <v>50</v>
      </c>
      <c r="N58" s="64"/>
      <c r="O58" s="64">
        <v>58</v>
      </c>
      <c r="P58" s="64">
        <v>50</v>
      </c>
      <c r="Q58" s="64">
        <v>62</v>
      </c>
      <c r="R58" s="64">
        <v>62</v>
      </c>
      <c r="S58" s="64">
        <v>62</v>
      </c>
      <c r="T58" s="64">
        <v>62</v>
      </c>
      <c r="U58" s="64">
        <v>51</v>
      </c>
      <c r="V58" s="45">
        <v>59.5</v>
      </c>
      <c r="W58" s="45">
        <v>59.5</v>
      </c>
      <c r="X58" s="45">
        <v>60.9</v>
      </c>
      <c r="Y58" s="45">
        <v>61.4</v>
      </c>
      <c r="Z58" s="45">
        <v>61.4</v>
      </c>
      <c r="AA58" s="45">
        <v>61.4</v>
      </c>
      <c r="AB58" s="45">
        <v>61.4</v>
      </c>
      <c r="AC58" s="45">
        <v>61.4</v>
      </c>
      <c r="AD58" s="64">
        <v>62</v>
      </c>
      <c r="AE58" s="64">
        <v>30.5</v>
      </c>
      <c r="AF58" s="45"/>
      <c r="AG58" s="54">
        <v>60</v>
      </c>
      <c r="AH58" s="47">
        <f t="shared" si="2"/>
        <v>62</v>
      </c>
      <c r="AI58" s="48">
        <f t="shared" si="3"/>
        <v>30.5</v>
      </c>
      <c r="AK58" s="50"/>
    </row>
    <row r="59" spans="1:41" x14ac:dyDescent="0.25">
      <c r="A59" s="53" t="s">
        <v>67</v>
      </c>
      <c r="B59" s="64">
        <v>28</v>
      </c>
      <c r="C59" s="64">
        <v>28</v>
      </c>
      <c r="D59" s="64">
        <v>28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/>
      <c r="O59" s="64">
        <v>30</v>
      </c>
      <c r="P59" s="64">
        <v>20</v>
      </c>
      <c r="Q59" s="64">
        <v>20</v>
      </c>
      <c r="R59" s="64">
        <v>20</v>
      </c>
      <c r="S59" s="64">
        <v>28</v>
      </c>
      <c r="T59" s="64">
        <v>28</v>
      </c>
      <c r="U59" s="64">
        <v>28</v>
      </c>
      <c r="V59" s="64">
        <v>28</v>
      </c>
      <c r="W59" s="64">
        <v>28</v>
      </c>
      <c r="X59" s="64">
        <v>28</v>
      </c>
      <c r="Y59" s="45">
        <v>28</v>
      </c>
      <c r="Z59" s="45">
        <v>28</v>
      </c>
      <c r="AA59" s="45">
        <v>28</v>
      </c>
      <c r="AB59" s="45">
        <v>28</v>
      </c>
      <c r="AC59" s="45">
        <v>28</v>
      </c>
      <c r="AD59" s="64">
        <v>28</v>
      </c>
      <c r="AE59" s="64">
        <v>28</v>
      </c>
      <c r="AF59" s="45"/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/>
      <c r="O60" s="64">
        <v>0</v>
      </c>
      <c r="P60" s="64">
        <v>7.6</v>
      </c>
      <c r="Q60" s="64">
        <v>7.6</v>
      </c>
      <c r="R60" s="64">
        <v>7.6</v>
      </c>
      <c r="S60" s="64">
        <v>11</v>
      </c>
      <c r="T60" s="64">
        <v>6.5</v>
      </c>
      <c r="U60" s="64">
        <v>5.9</v>
      </c>
      <c r="V60" s="64">
        <v>5.9</v>
      </c>
      <c r="W60" s="64">
        <v>5.9</v>
      </c>
      <c r="X60" s="64">
        <v>1.5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64">
        <v>0</v>
      </c>
      <c r="AE60" s="64">
        <v>0</v>
      </c>
      <c r="AF60" s="45"/>
      <c r="AG60" s="54">
        <v>25</v>
      </c>
      <c r="AH60" s="47">
        <f t="shared" si="2"/>
        <v>11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0</v>
      </c>
      <c r="N61" s="64"/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/>
      <c r="AG61" s="54">
        <v>24</v>
      </c>
      <c r="AH61" s="47">
        <f t="shared" si="2"/>
        <v>15</v>
      </c>
      <c r="AI61" s="48">
        <f t="shared" si="3"/>
        <v>0</v>
      </c>
      <c r="AK61" s="50"/>
    </row>
    <row r="62" spans="1:41" x14ac:dyDescent="0.25">
      <c r="A62" s="53" t="s">
        <v>70</v>
      </c>
      <c r="B62" s="64">
        <v>3.1</v>
      </c>
      <c r="C62" s="64">
        <v>3.1</v>
      </c>
      <c r="D62" s="64">
        <v>3.1</v>
      </c>
      <c r="E62" s="64">
        <v>3.1</v>
      </c>
      <c r="F62" s="64">
        <v>3.1</v>
      </c>
      <c r="G62" s="64">
        <v>3.1</v>
      </c>
      <c r="H62" s="64">
        <v>3.1</v>
      </c>
      <c r="I62" s="64">
        <v>3.1</v>
      </c>
      <c r="J62" s="64">
        <v>3.1</v>
      </c>
      <c r="K62" s="64">
        <v>3.1</v>
      </c>
      <c r="L62" s="64">
        <v>3.1</v>
      </c>
      <c r="M62" s="64">
        <v>3.1</v>
      </c>
      <c r="N62" s="64"/>
      <c r="O62" s="64">
        <v>3.1</v>
      </c>
      <c r="P62" s="64">
        <v>3.1</v>
      </c>
      <c r="Q62" s="64">
        <v>3.1</v>
      </c>
      <c r="R62" s="64">
        <v>3.1</v>
      </c>
      <c r="S62" s="64">
        <v>3.1</v>
      </c>
      <c r="T62" s="64">
        <v>3.1</v>
      </c>
      <c r="U62" s="64">
        <v>3.1</v>
      </c>
      <c r="V62" s="64">
        <v>3.1</v>
      </c>
      <c r="W62" s="64">
        <v>3.1</v>
      </c>
      <c r="X62" s="64">
        <v>3.1</v>
      </c>
      <c r="Y62" s="64">
        <v>3.1</v>
      </c>
      <c r="Z62" s="64">
        <v>3.1</v>
      </c>
      <c r="AA62" s="64">
        <v>3.1</v>
      </c>
      <c r="AB62" s="64">
        <v>3.1</v>
      </c>
      <c r="AC62" s="64">
        <v>3.1</v>
      </c>
      <c r="AD62" s="64">
        <v>3.1</v>
      </c>
      <c r="AE62" s="64">
        <v>3.1</v>
      </c>
      <c r="AF62" s="64"/>
      <c r="AG62" s="54">
        <v>15</v>
      </c>
      <c r="AH62" s="47">
        <f t="shared" si="2"/>
        <v>3.1</v>
      </c>
      <c r="AI62" s="48">
        <f t="shared" si="3"/>
        <v>3.1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10.7</v>
      </c>
      <c r="C63" s="64">
        <v>10.7</v>
      </c>
      <c r="D63" s="64">
        <v>10.7</v>
      </c>
      <c r="E63" s="64">
        <v>10.7</v>
      </c>
      <c r="F63" s="64">
        <v>10.7</v>
      </c>
      <c r="G63" s="64">
        <v>10.7</v>
      </c>
      <c r="H63" s="64">
        <v>10.7</v>
      </c>
      <c r="I63" s="64">
        <v>10.7</v>
      </c>
      <c r="J63" s="64">
        <v>10.7</v>
      </c>
      <c r="K63" s="64">
        <v>10.7</v>
      </c>
      <c r="L63" s="64">
        <v>10.7</v>
      </c>
      <c r="M63" s="64">
        <v>4</v>
      </c>
      <c r="N63" s="64"/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/>
      <c r="AG63" s="54">
        <v>14.1</v>
      </c>
      <c r="AH63" s="47">
        <f t="shared" si="2"/>
        <v>10.7</v>
      </c>
      <c r="AI63" s="48">
        <f t="shared" si="3"/>
        <v>0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13.8</v>
      </c>
      <c r="C64" s="64">
        <v>13.8</v>
      </c>
      <c r="D64" s="64">
        <v>13.8</v>
      </c>
      <c r="E64" s="64">
        <v>13.8</v>
      </c>
      <c r="F64" s="64">
        <v>13.8</v>
      </c>
      <c r="G64" s="64">
        <v>13.8</v>
      </c>
      <c r="H64" s="64">
        <v>13.8</v>
      </c>
      <c r="I64" s="64">
        <v>13.8</v>
      </c>
      <c r="J64" s="64">
        <v>13.8</v>
      </c>
      <c r="K64" s="64">
        <v>13.8</v>
      </c>
      <c r="L64" s="64">
        <v>13.8</v>
      </c>
      <c r="M64" s="64">
        <v>13.8</v>
      </c>
      <c r="N64" s="64"/>
      <c r="O64" s="64">
        <v>13.8</v>
      </c>
      <c r="P64" s="64">
        <v>6.3</v>
      </c>
      <c r="Q64" s="64">
        <v>6.3</v>
      </c>
      <c r="R64" s="64">
        <v>6.3</v>
      </c>
      <c r="S64" s="64">
        <v>6.3</v>
      </c>
      <c r="T64" s="64">
        <v>6.3</v>
      </c>
      <c r="U64" s="64">
        <v>13.6</v>
      </c>
      <c r="V64" s="64">
        <v>13.6</v>
      </c>
      <c r="W64" s="64">
        <v>13.6</v>
      </c>
      <c r="X64" s="64">
        <v>3.6</v>
      </c>
      <c r="Y64" s="64">
        <v>3.6</v>
      </c>
      <c r="Z64" s="64">
        <v>13.7</v>
      </c>
      <c r="AA64" s="64">
        <v>13.7</v>
      </c>
      <c r="AB64" s="64">
        <v>13.7</v>
      </c>
      <c r="AC64" s="64">
        <v>13.5</v>
      </c>
      <c r="AD64" s="64">
        <v>8.8000000000000007</v>
      </c>
      <c r="AE64" s="64">
        <v>13.6</v>
      </c>
      <c r="AF64" s="64"/>
      <c r="AG64" s="54">
        <v>14</v>
      </c>
      <c r="AH64" s="47">
        <f t="shared" si="2"/>
        <v>13.8</v>
      </c>
      <c r="AI64" s="48">
        <f t="shared" si="3"/>
        <v>3.6</v>
      </c>
      <c r="AK64" s="50"/>
    </row>
    <row r="65" spans="1:40" x14ac:dyDescent="0.25">
      <c r="A65" s="53" t="s">
        <v>73</v>
      </c>
      <c r="B65" s="64">
        <v>6.5</v>
      </c>
      <c r="C65" s="64">
        <v>6.5</v>
      </c>
      <c r="D65" s="64">
        <v>6.5</v>
      </c>
      <c r="E65" s="64">
        <v>6.5</v>
      </c>
      <c r="F65" s="64">
        <v>6.5</v>
      </c>
      <c r="G65" s="64">
        <v>6.5</v>
      </c>
      <c r="H65" s="64">
        <v>6.5</v>
      </c>
      <c r="I65" s="64">
        <v>6.5</v>
      </c>
      <c r="J65" s="64">
        <v>6.5</v>
      </c>
      <c r="K65" s="64">
        <v>6.5</v>
      </c>
      <c r="L65" s="64">
        <v>6.5</v>
      </c>
      <c r="M65" s="64">
        <v>6.5</v>
      </c>
      <c r="N65" s="64"/>
      <c r="O65" s="64">
        <v>6.5</v>
      </c>
      <c r="P65" s="64">
        <v>6.5</v>
      </c>
      <c r="Q65" s="64">
        <v>6.5</v>
      </c>
      <c r="R65" s="64">
        <v>6.5</v>
      </c>
      <c r="S65" s="64">
        <v>6.5</v>
      </c>
      <c r="T65" s="64">
        <v>6.5</v>
      </c>
      <c r="U65" s="64">
        <v>6.5</v>
      </c>
      <c r="V65" s="64">
        <v>6.5</v>
      </c>
      <c r="W65" s="64">
        <v>6.5</v>
      </c>
      <c r="X65" s="64">
        <v>6.5</v>
      </c>
      <c r="Y65" s="64">
        <v>6.5</v>
      </c>
      <c r="Z65" s="64">
        <v>6.5</v>
      </c>
      <c r="AA65" s="64">
        <v>6.5</v>
      </c>
      <c r="AB65" s="64">
        <v>6.5</v>
      </c>
      <c r="AC65" s="64">
        <v>6.5</v>
      </c>
      <c r="AD65" s="64">
        <v>9.5</v>
      </c>
      <c r="AE65" s="64">
        <v>9.5</v>
      </c>
      <c r="AF65" s="64"/>
      <c r="AG65" s="54">
        <v>10.050000000000001</v>
      </c>
      <c r="AH65" s="47">
        <f t="shared" si="2"/>
        <v>9.5</v>
      </c>
      <c r="AI65" s="48">
        <f t="shared" si="3"/>
        <v>6.5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/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/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v>389.94</v>
      </c>
      <c r="C68" s="60">
        <f t="shared" ref="C68:AG68" si="12">SUM(C55:C67)</f>
        <v>413.94</v>
      </c>
      <c r="D68" s="60">
        <f t="shared" si="12"/>
        <v>413.94</v>
      </c>
      <c r="E68" s="60">
        <f t="shared" si="12"/>
        <v>377.54</v>
      </c>
      <c r="F68" s="60">
        <f t="shared" si="12"/>
        <v>374.84000000000003</v>
      </c>
      <c r="G68" s="60">
        <f t="shared" si="12"/>
        <v>374.84000000000003</v>
      </c>
      <c r="H68" s="60">
        <f t="shared" ref="H68:J68" si="13">SUM(H55:H67)</f>
        <v>374.84000000000003</v>
      </c>
      <c r="I68" s="60">
        <f t="shared" si="13"/>
        <v>374.84000000000003</v>
      </c>
      <c r="J68" s="60">
        <f t="shared" si="13"/>
        <v>374.84000000000003</v>
      </c>
      <c r="K68" s="60">
        <f t="shared" si="12"/>
        <v>378.84000000000003</v>
      </c>
      <c r="L68" s="60">
        <f t="shared" si="12"/>
        <v>363.84000000000003</v>
      </c>
      <c r="M68" s="60">
        <f t="shared" si="12"/>
        <v>352.14000000000004</v>
      </c>
      <c r="N68" s="60">
        <f t="shared" si="12"/>
        <v>3.54</v>
      </c>
      <c r="O68" s="60">
        <f t="shared" si="12"/>
        <v>388.94</v>
      </c>
      <c r="P68" s="60">
        <f t="shared" si="12"/>
        <v>361.04000000000008</v>
      </c>
      <c r="Q68" s="60">
        <f t="shared" si="12"/>
        <v>382.74000000000007</v>
      </c>
      <c r="R68" s="60">
        <f t="shared" si="12"/>
        <v>382.74000000000007</v>
      </c>
      <c r="S68" s="60">
        <f t="shared" si="12"/>
        <v>394.14000000000004</v>
      </c>
      <c r="T68" s="60">
        <f t="shared" si="12"/>
        <v>380.64000000000004</v>
      </c>
      <c r="U68" s="60">
        <f t="shared" si="12"/>
        <v>385.84000000000003</v>
      </c>
      <c r="V68" s="60">
        <f t="shared" si="12"/>
        <v>374.64000000000004</v>
      </c>
      <c r="W68" s="60">
        <f t="shared" si="12"/>
        <v>374.64000000000004</v>
      </c>
      <c r="X68" s="60">
        <f t="shared" si="12"/>
        <v>369.84000000000003</v>
      </c>
      <c r="Y68" s="60">
        <f t="shared" si="12"/>
        <v>381.54</v>
      </c>
      <c r="Z68" s="60">
        <f t="shared" si="12"/>
        <v>392.64</v>
      </c>
      <c r="AA68" s="60">
        <f t="shared" si="12"/>
        <v>392.64</v>
      </c>
      <c r="AB68" s="60">
        <f t="shared" si="12"/>
        <v>392.64</v>
      </c>
      <c r="AC68" s="60">
        <f t="shared" ref="AC68" si="14">SUM(AC55:AC67)</f>
        <v>394.24</v>
      </c>
      <c r="AD68" s="60">
        <f t="shared" si="12"/>
        <v>391.14000000000004</v>
      </c>
      <c r="AE68" s="60">
        <f t="shared" si="12"/>
        <v>364.54000000000008</v>
      </c>
      <c r="AF68" s="60">
        <f t="shared" si="12"/>
        <v>3.54</v>
      </c>
      <c r="AG68" s="61">
        <f t="shared" si="12"/>
        <v>489.91</v>
      </c>
      <c r="AH68" s="47">
        <f t="shared" si="2"/>
        <v>413.94</v>
      </c>
      <c r="AI68" s="48">
        <f t="shared" si="3"/>
        <v>3.54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/>
      <c r="T69" s="45"/>
      <c r="U69" s="45"/>
      <c r="V69" s="45"/>
      <c r="W69" s="45"/>
      <c r="X69" s="45"/>
      <c r="Y69" s="45"/>
      <c r="Z69" s="45"/>
      <c r="AA69" s="45"/>
      <c r="AB69" s="45">
        <v>0</v>
      </c>
      <c r="AC69" s="45">
        <v>0</v>
      </c>
      <c r="AD69" s="45">
        <v>0</v>
      </c>
      <c r="AE69" s="45">
        <v>0</v>
      </c>
      <c r="AF69" s="45"/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64"/>
      <c r="T70" s="64"/>
      <c r="U70" s="64"/>
      <c r="V70" s="64"/>
      <c r="W70" s="64"/>
      <c r="X70" s="64"/>
      <c r="Y70" s="64"/>
      <c r="Z70" s="64"/>
      <c r="AA70" s="64"/>
      <c r="AB70" s="64">
        <v>0</v>
      </c>
      <c r="AC70" s="64">
        <v>0</v>
      </c>
      <c r="AD70" s="64">
        <v>0</v>
      </c>
      <c r="AE70" s="64">
        <v>0</v>
      </c>
      <c r="AF70" s="64"/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>
        <v>0</v>
      </c>
      <c r="AC71" s="66">
        <v>0</v>
      </c>
      <c r="AD71" s="66">
        <v>0</v>
      </c>
      <c r="AE71" s="66">
        <v>0</v>
      </c>
      <c r="AF71" s="66"/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5">M69+M70+M71</f>
        <v>0</v>
      </c>
      <c r="N72" s="60">
        <f t="shared" si="15"/>
        <v>0</v>
      </c>
      <c r="O72" s="60">
        <f t="shared" si="15"/>
        <v>0</v>
      </c>
      <c r="P72" s="60">
        <f t="shared" si="15"/>
        <v>0</v>
      </c>
      <c r="Q72" s="60">
        <f t="shared" si="15"/>
        <v>0</v>
      </c>
      <c r="R72" s="60">
        <f t="shared" si="15"/>
        <v>0</v>
      </c>
      <c r="S72" s="60">
        <f t="shared" si="15"/>
        <v>0</v>
      </c>
      <c r="T72" s="60">
        <f t="shared" si="15"/>
        <v>0</v>
      </c>
      <c r="U72" s="60">
        <f t="shared" si="15"/>
        <v>0</v>
      </c>
      <c r="V72" s="60">
        <f t="shared" si="15"/>
        <v>0</v>
      </c>
      <c r="W72" s="60">
        <f t="shared" si="15"/>
        <v>0</v>
      </c>
      <c r="X72" s="60">
        <f t="shared" si="15"/>
        <v>0</v>
      </c>
      <c r="Y72" s="60">
        <f t="shared" si="15"/>
        <v>0</v>
      </c>
      <c r="Z72" s="60">
        <f t="shared" si="15"/>
        <v>0</v>
      </c>
      <c r="AA72" s="60">
        <f t="shared" si="15"/>
        <v>0</v>
      </c>
      <c r="AB72" s="60">
        <f t="shared" si="15"/>
        <v>0</v>
      </c>
      <c r="AC72" s="60">
        <f t="shared" si="15"/>
        <v>0</v>
      </c>
      <c r="AD72" s="60">
        <f t="shared" si="15"/>
        <v>0</v>
      </c>
      <c r="AE72" s="60">
        <f t="shared" si="15"/>
        <v>0</v>
      </c>
      <c r="AF72" s="60">
        <f t="shared" si="15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5</v>
      </c>
      <c r="C73" s="45">
        <v>5</v>
      </c>
      <c r="D73" s="45">
        <v>0</v>
      </c>
      <c r="E73" s="45">
        <v>-8</v>
      </c>
      <c r="F73" s="45">
        <v>-2.5</v>
      </c>
      <c r="G73" s="45">
        <v>6</v>
      </c>
      <c r="H73" s="45">
        <v>6</v>
      </c>
      <c r="I73" s="45">
        <v>0</v>
      </c>
      <c r="J73" s="45">
        <v>-2</v>
      </c>
      <c r="K73" s="45">
        <v>-10</v>
      </c>
      <c r="L73" s="45">
        <v>-20</v>
      </c>
      <c r="M73" s="45">
        <v>-3.4</v>
      </c>
      <c r="N73" s="45"/>
      <c r="O73" s="45">
        <v>11.6</v>
      </c>
      <c r="P73" s="45">
        <v>-38</v>
      </c>
      <c r="Q73" s="45">
        <v>-7.5</v>
      </c>
      <c r="R73" s="45">
        <v>-10.5</v>
      </c>
      <c r="S73" s="45">
        <v>-19.8</v>
      </c>
      <c r="T73" s="45">
        <v>-8.9</v>
      </c>
      <c r="U73" s="45">
        <v>-10.5</v>
      </c>
      <c r="V73" s="45">
        <v>-12.7</v>
      </c>
      <c r="W73" s="45">
        <v>-5.6</v>
      </c>
      <c r="X73" s="45">
        <v>-8</v>
      </c>
      <c r="Y73" s="45">
        <v>-16.5</v>
      </c>
      <c r="Z73" s="45">
        <v>-16.3</v>
      </c>
      <c r="AA73" s="45">
        <v>20.399999999999999</v>
      </c>
      <c r="AB73" s="45">
        <v>-2.1</v>
      </c>
      <c r="AC73" s="45">
        <v>10.3</v>
      </c>
      <c r="AD73" s="45">
        <v>6.9</v>
      </c>
      <c r="AE73" s="45">
        <v>0.9</v>
      </c>
      <c r="AF73" s="45"/>
      <c r="AG73" s="51"/>
      <c r="AH73" s="47">
        <f t="shared" si="2"/>
        <v>20.399999999999999</v>
      </c>
      <c r="AI73" s="48">
        <f t="shared" si="3"/>
        <v>-38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/>
      <c r="O74" s="64">
        <v>0</v>
      </c>
      <c r="P74" s="64">
        <v>0</v>
      </c>
      <c r="Q74" s="64">
        <v>0</v>
      </c>
      <c r="R74" s="64">
        <v>0</v>
      </c>
      <c r="S74" s="64"/>
      <c r="T74" s="64"/>
      <c r="U74" s="64"/>
      <c r="V74" s="64"/>
      <c r="W74" s="64"/>
      <c r="X74" s="64"/>
      <c r="Y74" s="64"/>
      <c r="Z74" s="64"/>
      <c r="AA74" s="64"/>
      <c r="AB74" s="64">
        <v>0</v>
      </c>
      <c r="AC74" s="64">
        <v>0</v>
      </c>
      <c r="AD74" s="64">
        <v>0</v>
      </c>
      <c r="AE74" s="64">
        <v>0</v>
      </c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-260</v>
      </c>
      <c r="C75" s="64">
        <v>-300</v>
      </c>
      <c r="D75" s="64">
        <v>-313</v>
      </c>
      <c r="E75" s="64">
        <v>-325</v>
      </c>
      <c r="F75" s="64">
        <v>-355</v>
      </c>
      <c r="G75" s="64">
        <v>-350</v>
      </c>
      <c r="H75" s="64">
        <v>-370</v>
      </c>
      <c r="I75" s="64">
        <v>-440</v>
      </c>
      <c r="J75" s="64">
        <v>-414</v>
      </c>
      <c r="K75" s="64">
        <v>-410</v>
      </c>
      <c r="L75" s="64">
        <v>-390</v>
      </c>
      <c r="M75" s="64">
        <v>-389</v>
      </c>
      <c r="N75" s="64"/>
      <c r="O75" s="64">
        <v>-355</v>
      </c>
      <c r="P75" s="64">
        <v>-403</v>
      </c>
      <c r="Q75" s="64">
        <v>-377</v>
      </c>
      <c r="R75" s="64">
        <v>-380</v>
      </c>
      <c r="S75" s="64">
        <v>-364</v>
      </c>
      <c r="T75" s="64">
        <v>-396</v>
      </c>
      <c r="U75" s="64">
        <v>-399</v>
      </c>
      <c r="V75" s="64">
        <v>-412.2</v>
      </c>
      <c r="W75" s="64">
        <v>-376</v>
      </c>
      <c r="X75" s="64">
        <v>-386</v>
      </c>
      <c r="Y75" s="64">
        <v>-383.3</v>
      </c>
      <c r="Z75" s="64">
        <v>-321</v>
      </c>
      <c r="AA75" s="64">
        <v>-323</v>
      </c>
      <c r="AB75" s="64">
        <v>-270.60000000000002</v>
      </c>
      <c r="AC75" s="64">
        <v>-278.2</v>
      </c>
      <c r="AD75" s="64">
        <v>-294</v>
      </c>
      <c r="AE75" s="64">
        <v>-335</v>
      </c>
      <c r="AF75" s="64"/>
      <c r="AG75" s="74"/>
      <c r="AH75" s="47">
        <f t="shared" si="2"/>
        <v>-260</v>
      </c>
      <c r="AI75" s="48">
        <f t="shared" si="3"/>
        <v>-440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75"/>
      <c r="O76" s="75">
        <v>0</v>
      </c>
      <c r="P76" s="75">
        <v>0</v>
      </c>
      <c r="Q76" s="75">
        <v>0</v>
      </c>
      <c r="R76" s="75">
        <v>0</v>
      </c>
      <c r="S76" s="75"/>
      <c r="T76" s="75"/>
      <c r="U76" s="75"/>
      <c r="V76" s="75"/>
      <c r="W76" s="75"/>
      <c r="X76" s="75"/>
      <c r="Y76" s="75"/>
      <c r="Z76" s="75"/>
      <c r="AA76" s="75"/>
      <c r="AB76" s="75">
        <v>0</v>
      </c>
      <c r="AC76" s="75">
        <v>0</v>
      </c>
      <c r="AD76" s="64">
        <v>0</v>
      </c>
      <c r="AE76" s="75">
        <v>0</v>
      </c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/>
      <c r="O77" s="45">
        <v>0</v>
      </c>
      <c r="P77" s="45">
        <v>0</v>
      </c>
      <c r="Q77" s="45">
        <v>0</v>
      </c>
      <c r="R77" s="45">
        <v>0</v>
      </c>
      <c r="S77" s="45"/>
      <c r="T77" s="45"/>
      <c r="U77" s="45"/>
      <c r="V77" s="45"/>
      <c r="W77" s="45"/>
      <c r="X77" s="45"/>
      <c r="Y77" s="45"/>
      <c r="Z77" s="45"/>
      <c r="AA77" s="45"/>
      <c r="AB77" s="45">
        <v>0</v>
      </c>
      <c r="AC77" s="45">
        <v>0</v>
      </c>
      <c r="AD77" s="45">
        <v>0</v>
      </c>
      <c r="AE77" s="75">
        <v>0</v>
      </c>
      <c r="AF77" s="45"/>
      <c r="AG77" s="74"/>
      <c r="AH77" s="47">
        <f t="shared" ref="AH77:AH120" si="16">MAX(B77:AF77)</f>
        <v>0</v>
      </c>
      <c r="AI77" s="48">
        <f t="shared" ref="AI77:AI120" si="17">MIN(B77:AF77)</f>
        <v>0</v>
      </c>
      <c r="AK77" s="50"/>
    </row>
    <row r="78" spans="1:40" x14ac:dyDescent="0.25">
      <c r="A78" s="53" t="s">
        <v>86</v>
      </c>
      <c r="B78" s="45">
        <v>5</v>
      </c>
      <c r="C78" s="45">
        <v>0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76"/>
      <c r="O78" s="76">
        <v>0</v>
      </c>
      <c r="P78" s="76">
        <v>0</v>
      </c>
      <c r="Q78" s="76">
        <v>0</v>
      </c>
      <c r="R78" s="76">
        <v>0</v>
      </c>
      <c r="S78" s="76"/>
      <c r="T78" s="76"/>
      <c r="U78" s="76"/>
      <c r="V78" s="76"/>
      <c r="W78" s="76"/>
      <c r="X78" s="76"/>
      <c r="Y78" s="76"/>
      <c r="Z78" s="76"/>
      <c r="AA78" s="76"/>
      <c r="AB78" s="76">
        <v>0</v>
      </c>
      <c r="AC78" s="45">
        <v>0</v>
      </c>
      <c r="AD78" s="45">
        <v>0</v>
      </c>
      <c r="AE78" s="75">
        <v>0</v>
      </c>
      <c r="AF78" s="76"/>
      <c r="AG78" s="74"/>
      <c r="AH78" s="47">
        <f t="shared" si="16"/>
        <v>5</v>
      </c>
      <c r="AI78" s="48">
        <f t="shared" si="17"/>
        <v>0</v>
      </c>
      <c r="AK78" s="50"/>
    </row>
    <row r="79" spans="1:40" ht="15.75" thickBot="1" x14ac:dyDescent="0.3">
      <c r="A79" s="53" t="s">
        <v>87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76"/>
      <c r="O79" s="76">
        <v>0</v>
      </c>
      <c r="P79" s="76">
        <v>0</v>
      </c>
      <c r="Q79" s="76">
        <v>0</v>
      </c>
      <c r="R79" s="76">
        <v>0</v>
      </c>
      <c r="S79" s="76"/>
      <c r="T79" s="76"/>
      <c r="U79" s="76"/>
      <c r="V79" s="76"/>
      <c r="W79" s="76"/>
      <c r="X79" s="76"/>
      <c r="Y79" s="76"/>
      <c r="Z79" s="76"/>
      <c r="AA79" s="76"/>
      <c r="AB79" s="76">
        <v>0</v>
      </c>
      <c r="AC79" s="45">
        <v>0</v>
      </c>
      <c r="AD79" s="45">
        <v>0</v>
      </c>
      <c r="AE79" s="75">
        <v>0</v>
      </c>
      <c r="AF79" s="76"/>
      <c r="AG79" s="74"/>
      <c r="AH79" s="47">
        <f t="shared" si="16"/>
        <v>0</v>
      </c>
      <c r="AI79" s="48">
        <f t="shared" si="17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76"/>
      <c r="O80" s="76">
        <v>0</v>
      </c>
      <c r="P80" s="76">
        <v>0</v>
      </c>
      <c r="Q80" s="76">
        <v>0</v>
      </c>
      <c r="R80" s="76">
        <v>0</v>
      </c>
      <c r="S80" s="76"/>
      <c r="T80" s="76"/>
      <c r="U80" s="76"/>
      <c r="V80" s="76"/>
      <c r="W80" s="76"/>
      <c r="X80" s="76"/>
      <c r="Y80" s="76"/>
      <c r="Z80" s="76"/>
      <c r="AA80" s="76"/>
      <c r="AB80" s="76">
        <v>0</v>
      </c>
      <c r="AC80" s="45">
        <v>0</v>
      </c>
      <c r="AD80" s="45">
        <v>0</v>
      </c>
      <c r="AE80" s="75">
        <v>0</v>
      </c>
      <c r="AF80" s="76"/>
      <c r="AG80" s="74"/>
      <c r="AH80" s="47">
        <f t="shared" si="16"/>
        <v>0</v>
      </c>
      <c r="AI80" s="48">
        <f t="shared" si="17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76"/>
      <c r="O81" s="76">
        <v>0</v>
      </c>
      <c r="P81" s="76">
        <v>0</v>
      </c>
      <c r="Q81" s="76">
        <v>0</v>
      </c>
      <c r="R81" s="76">
        <v>0</v>
      </c>
      <c r="S81" s="76"/>
      <c r="T81" s="76"/>
      <c r="U81" s="76"/>
      <c r="V81" s="76"/>
      <c r="W81" s="76"/>
      <c r="X81" s="76"/>
      <c r="Y81" s="76"/>
      <c r="Z81" s="76"/>
      <c r="AA81" s="76"/>
      <c r="AB81" s="76">
        <v>0</v>
      </c>
      <c r="AC81" s="45">
        <v>0</v>
      </c>
      <c r="AD81" s="45">
        <v>0</v>
      </c>
      <c r="AE81" s="75">
        <v>0</v>
      </c>
      <c r="AF81" s="76"/>
      <c r="AG81" s="74"/>
      <c r="AH81" s="47">
        <f t="shared" si="16"/>
        <v>0</v>
      </c>
      <c r="AI81" s="48">
        <f t="shared" si="17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76"/>
      <c r="O82" s="76">
        <v>0</v>
      </c>
      <c r="P82" s="76">
        <v>0</v>
      </c>
      <c r="Q82" s="76">
        <v>0</v>
      </c>
      <c r="R82" s="76">
        <v>0</v>
      </c>
      <c r="S82" s="76"/>
      <c r="T82" s="76"/>
      <c r="U82" s="76"/>
      <c r="V82" s="76"/>
      <c r="W82" s="76"/>
      <c r="X82" s="76"/>
      <c r="Y82" s="76"/>
      <c r="Z82" s="76"/>
      <c r="AA82" s="76"/>
      <c r="AB82" s="76">
        <v>0</v>
      </c>
      <c r="AC82" s="45">
        <v>0</v>
      </c>
      <c r="AD82" s="45">
        <v>0</v>
      </c>
      <c r="AE82" s="75">
        <v>0</v>
      </c>
      <c r="AF82" s="76"/>
      <c r="AG82" s="84"/>
      <c r="AH82" s="47">
        <f t="shared" si="16"/>
        <v>0</v>
      </c>
      <c r="AI82" s="48">
        <f t="shared" si="17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76"/>
      <c r="O83" s="76">
        <v>0</v>
      </c>
      <c r="P83" s="76">
        <v>0</v>
      </c>
      <c r="Q83" s="76">
        <v>0</v>
      </c>
      <c r="R83" s="76">
        <v>0</v>
      </c>
      <c r="S83" s="76"/>
      <c r="T83" s="76"/>
      <c r="U83" s="76"/>
      <c r="V83" s="76"/>
      <c r="W83" s="76"/>
      <c r="X83" s="76"/>
      <c r="Y83" s="76"/>
      <c r="Z83" s="76"/>
      <c r="AA83" s="76"/>
      <c r="AB83" s="76">
        <v>0</v>
      </c>
      <c r="AC83" s="45">
        <v>0</v>
      </c>
      <c r="AD83" s="45">
        <v>0</v>
      </c>
      <c r="AE83" s="75">
        <v>0</v>
      </c>
      <c r="AF83" s="76"/>
      <c r="AG83" s="84"/>
      <c r="AH83" s="47">
        <f t="shared" si="16"/>
        <v>0</v>
      </c>
      <c r="AI83" s="48">
        <f t="shared" si="17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v>10</v>
      </c>
      <c r="C84" s="60">
        <f t="shared" ref="C84:AF84" si="18">SUMIF(C73:C83,"&gt;0")</f>
        <v>5</v>
      </c>
      <c r="D84" s="60">
        <f t="shared" si="18"/>
        <v>0</v>
      </c>
      <c r="E84" s="60">
        <f t="shared" si="18"/>
        <v>0</v>
      </c>
      <c r="F84" s="60">
        <f t="shared" si="18"/>
        <v>0</v>
      </c>
      <c r="G84" s="60">
        <f t="shared" si="18"/>
        <v>6</v>
      </c>
      <c r="H84" s="60">
        <f t="shared" ref="H84:J84" si="19">SUMIF(H73:H83,"&gt;0")</f>
        <v>6</v>
      </c>
      <c r="I84" s="60">
        <f t="shared" si="19"/>
        <v>0</v>
      </c>
      <c r="J84" s="60">
        <f t="shared" si="19"/>
        <v>0</v>
      </c>
      <c r="K84" s="60">
        <f t="shared" si="18"/>
        <v>0</v>
      </c>
      <c r="L84" s="60">
        <f t="shared" si="18"/>
        <v>0</v>
      </c>
      <c r="M84" s="60">
        <f t="shared" si="18"/>
        <v>0</v>
      </c>
      <c r="N84" s="60">
        <f t="shared" si="18"/>
        <v>0</v>
      </c>
      <c r="O84" s="60">
        <f t="shared" si="18"/>
        <v>11.6</v>
      </c>
      <c r="P84" s="60">
        <f t="shared" si="18"/>
        <v>0</v>
      </c>
      <c r="Q84" s="60">
        <f t="shared" si="18"/>
        <v>0</v>
      </c>
      <c r="R84" s="60">
        <f t="shared" si="18"/>
        <v>0</v>
      </c>
      <c r="S84" s="60">
        <f t="shared" si="18"/>
        <v>0</v>
      </c>
      <c r="T84" s="60">
        <f t="shared" si="18"/>
        <v>0</v>
      </c>
      <c r="U84" s="60">
        <f t="shared" si="18"/>
        <v>0</v>
      </c>
      <c r="V84" s="60">
        <f t="shared" si="18"/>
        <v>0</v>
      </c>
      <c r="W84" s="60">
        <f t="shared" si="18"/>
        <v>0</v>
      </c>
      <c r="X84" s="60">
        <f t="shared" si="18"/>
        <v>0</v>
      </c>
      <c r="Y84" s="60">
        <f t="shared" si="18"/>
        <v>0</v>
      </c>
      <c r="Z84" s="60">
        <f t="shared" si="18"/>
        <v>0</v>
      </c>
      <c r="AA84" s="60">
        <f t="shared" si="18"/>
        <v>20.399999999999999</v>
      </c>
      <c r="AB84" s="60">
        <f t="shared" si="18"/>
        <v>0</v>
      </c>
      <c r="AC84" s="60">
        <f t="shared" si="18"/>
        <v>10.3</v>
      </c>
      <c r="AD84" s="60">
        <f t="shared" si="18"/>
        <v>6.9</v>
      </c>
      <c r="AE84" s="60">
        <f t="shared" si="18"/>
        <v>0.9</v>
      </c>
      <c r="AF84" s="60">
        <f t="shared" si="18"/>
        <v>0</v>
      </c>
      <c r="AG84" s="87">
        <f>SUM(AG73:AG83)</f>
        <v>0</v>
      </c>
      <c r="AH84" s="47">
        <f t="shared" si="16"/>
        <v>20.399999999999999</v>
      </c>
      <c r="AI84" s="48">
        <f t="shared" si="17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6"/>
        <v>0</v>
      </c>
      <c r="AI85" s="48">
        <f t="shared" si="17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6"/>
        <v>0</v>
      </c>
      <c r="AI86" s="48">
        <f t="shared" si="17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6"/>
        <v>0</v>
      </c>
      <c r="AI87" s="48">
        <f t="shared" si="17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6"/>
        <v>0</v>
      </c>
      <c r="AI88" s="48">
        <f t="shared" si="17"/>
        <v>0</v>
      </c>
    </row>
    <row r="89" spans="1:40" ht="15.75" thickBot="1" x14ac:dyDescent="0.3">
      <c r="A89" s="73" t="s">
        <v>100</v>
      </c>
      <c r="B89" s="94">
        <v>1929.1399999999999</v>
      </c>
      <c r="C89" s="94">
        <f t="shared" ref="C89:AG89" si="20">C50+C54+C72+C68+C84+C88</f>
        <v>1948.1399999999999</v>
      </c>
      <c r="D89" s="94">
        <f t="shared" si="20"/>
        <v>1943.1399999999999</v>
      </c>
      <c r="E89" s="94">
        <f t="shared" si="20"/>
        <v>1910.2399999999998</v>
      </c>
      <c r="F89" s="94">
        <f t="shared" si="20"/>
        <v>1881.54</v>
      </c>
      <c r="G89" s="94">
        <f t="shared" si="20"/>
        <v>1884.54</v>
      </c>
      <c r="H89" s="94">
        <f t="shared" ref="H89:J89" si="21">H50+H54+H72+H68+H84+H88</f>
        <v>1878.54</v>
      </c>
      <c r="I89" s="94">
        <f t="shared" si="21"/>
        <v>1872.54</v>
      </c>
      <c r="J89" s="94">
        <f t="shared" si="21"/>
        <v>1895.44</v>
      </c>
      <c r="K89" s="94">
        <f t="shared" si="20"/>
        <v>1899.44</v>
      </c>
      <c r="L89" s="94">
        <f t="shared" si="20"/>
        <v>1878.44</v>
      </c>
      <c r="M89" s="94">
        <f t="shared" si="20"/>
        <v>1894.74</v>
      </c>
      <c r="N89" s="94">
        <f t="shared" si="20"/>
        <v>3.54</v>
      </c>
      <c r="O89" s="94">
        <f t="shared" si="20"/>
        <v>1867.94</v>
      </c>
      <c r="P89" s="94">
        <f t="shared" si="20"/>
        <v>1808.8400000000001</v>
      </c>
      <c r="Q89" s="94">
        <f t="shared" si="20"/>
        <v>1834.5400000000002</v>
      </c>
      <c r="R89" s="94">
        <f t="shared" si="20"/>
        <v>1843.24</v>
      </c>
      <c r="S89" s="94">
        <f t="shared" si="20"/>
        <v>1808.14</v>
      </c>
      <c r="T89" s="94">
        <f t="shared" si="20"/>
        <v>1794.64</v>
      </c>
      <c r="U89" s="94">
        <f t="shared" si="20"/>
        <v>1795.2400000000002</v>
      </c>
      <c r="V89" s="94">
        <f t="shared" si="20"/>
        <v>1808.0400000000002</v>
      </c>
      <c r="W89" s="94">
        <f t="shared" si="20"/>
        <v>1810.24</v>
      </c>
      <c r="X89" s="94">
        <f t="shared" si="20"/>
        <v>1805.44</v>
      </c>
      <c r="Y89" s="94">
        <f t="shared" si="20"/>
        <v>1836.94</v>
      </c>
      <c r="Z89" s="94">
        <f t="shared" si="20"/>
        <v>1876.8400000000001</v>
      </c>
      <c r="AA89" s="94">
        <f t="shared" si="20"/>
        <v>1966.8400000000001</v>
      </c>
      <c r="AB89" s="94">
        <f t="shared" si="20"/>
        <v>1915.94</v>
      </c>
      <c r="AC89" s="94">
        <f t="shared" si="20"/>
        <v>1929.54</v>
      </c>
      <c r="AD89" s="94">
        <f t="shared" si="20"/>
        <v>1922.8400000000001</v>
      </c>
      <c r="AE89" s="94">
        <f t="shared" si="20"/>
        <v>1907.04</v>
      </c>
      <c r="AF89" s="94">
        <f t="shared" si="20"/>
        <v>3.54</v>
      </c>
      <c r="AG89" s="61">
        <f t="shared" si="20"/>
        <v>2111.5500000000002</v>
      </c>
      <c r="AH89" s="47">
        <f t="shared" si="16"/>
        <v>1966.8400000000001</v>
      </c>
      <c r="AI89" s="48">
        <f t="shared" si="17"/>
        <v>3.54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6"/>
        <v>0</v>
      </c>
      <c r="AI90" s="48">
        <f t="shared" si="17"/>
        <v>0</v>
      </c>
    </row>
    <row r="91" spans="1:40" ht="15.75" thickBot="1" x14ac:dyDescent="0.3">
      <c r="A91" s="73" t="s">
        <v>102</v>
      </c>
      <c r="B91" s="94">
        <v>1929.1399999999999</v>
      </c>
      <c r="C91" s="94">
        <f t="shared" ref="C91:AF91" si="22">C89+C90</f>
        <v>1948.1399999999999</v>
      </c>
      <c r="D91" s="94">
        <f t="shared" si="22"/>
        <v>1943.1399999999999</v>
      </c>
      <c r="E91" s="94">
        <f t="shared" si="22"/>
        <v>1910.2399999999998</v>
      </c>
      <c r="F91" s="94">
        <f t="shared" si="22"/>
        <v>1881.54</v>
      </c>
      <c r="G91" s="94">
        <f t="shared" si="22"/>
        <v>1884.54</v>
      </c>
      <c r="H91" s="94">
        <f t="shared" ref="H91:J91" si="23">H89+H90</f>
        <v>1878.54</v>
      </c>
      <c r="I91" s="94">
        <f t="shared" si="23"/>
        <v>1872.54</v>
      </c>
      <c r="J91" s="94">
        <f t="shared" si="23"/>
        <v>1895.44</v>
      </c>
      <c r="K91" s="94">
        <f t="shared" si="22"/>
        <v>1899.44</v>
      </c>
      <c r="L91" s="94">
        <f t="shared" si="22"/>
        <v>1878.44</v>
      </c>
      <c r="M91" s="94">
        <f t="shared" si="22"/>
        <v>1894.74</v>
      </c>
      <c r="N91" s="94">
        <f t="shared" si="22"/>
        <v>3.54</v>
      </c>
      <c r="O91" s="94">
        <f t="shared" si="22"/>
        <v>1867.94</v>
      </c>
      <c r="P91" s="94">
        <f t="shared" si="22"/>
        <v>1808.8400000000001</v>
      </c>
      <c r="Q91" s="94">
        <f t="shared" si="22"/>
        <v>1834.5400000000002</v>
      </c>
      <c r="R91" s="94">
        <f t="shared" si="22"/>
        <v>1843.24</v>
      </c>
      <c r="S91" s="94">
        <f t="shared" si="22"/>
        <v>1808.14</v>
      </c>
      <c r="T91" s="94">
        <f t="shared" si="22"/>
        <v>1794.64</v>
      </c>
      <c r="U91" s="94">
        <f t="shared" si="22"/>
        <v>1795.2400000000002</v>
      </c>
      <c r="V91" s="94">
        <f t="shared" si="22"/>
        <v>1808.0400000000002</v>
      </c>
      <c r="W91" s="94">
        <f t="shared" si="22"/>
        <v>1810.24</v>
      </c>
      <c r="X91" s="94">
        <f t="shared" si="22"/>
        <v>1805.44</v>
      </c>
      <c r="Y91" s="94">
        <f t="shared" si="22"/>
        <v>1836.94</v>
      </c>
      <c r="Z91" s="94">
        <f t="shared" si="22"/>
        <v>1876.8400000000001</v>
      </c>
      <c r="AA91" s="94">
        <f t="shared" si="22"/>
        <v>1966.8400000000001</v>
      </c>
      <c r="AB91" s="94">
        <f t="shared" si="22"/>
        <v>1915.94</v>
      </c>
      <c r="AC91" s="94">
        <f t="shared" si="22"/>
        <v>1929.54</v>
      </c>
      <c r="AD91" s="94">
        <f t="shared" si="22"/>
        <v>1922.8400000000001</v>
      </c>
      <c r="AE91" s="94">
        <f t="shared" si="22"/>
        <v>1907.04</v>
      </c>
      <c r="AF91" s="94">
        <f t="shared" si="22"/>
        <v>3.54</v>
      </c>
      <c r="AG91" s="87">
        <f>AG88+AG84+AG72+AG68+AG50+AG90</f>
        <v>1573.45</v>
      </c>
      <c r="AH91" s="47">
        <f t="shared" si="16"/>
        <v>1966.8400000000001</v>
      </c>
      <c r="AI91" s="48">
        <f t="shared" si="17"/>
        <v>3.54</v>
      </c>
    </row>
    <row r="92" spans="1:40" ht="15.75" thickBot="1" x14ac:dyDescent="0.3">
      <c r="A92" s="73" t="s">
        <v>103</v>
      </c>
      <c r="B92" s="94">
        <v>1929.1399999999999</v>
      </c>
      <c r="C92" s="94">
        <f t="shared" ref="C92:AF92" si="24">C91-C99</f>
        <v>1948.1399999999999</v>
      </c>
      <c r="D92" s="94">
        <f t="shared" si="24"/>
        <v>1943.1399999999999</v>
      </c>
      <c r="E92" s="94">
        <f t="shared" si="24"/>
        <v>1910.2399999999998</v>
      </c>
      <c r="F92" s="94">
        <f t="shared" si="24"/>
        <v>1881.54</v>
      </c>
      <c r="G92" s="94">
        <f t="shared" si="24"/>
        <v>1884.54</v>
      </c>
      <c r="H92" s="94">
        <f t="shared" ref="H92:J92" si="25">H91-H99</f>
        <v>1878.54</v>
      </c>
      <c r="I92" s="94">
        <f t="shared" si="25"/>
        <v>1872.54</v>
      </c>
      <c r="J92" s="94">
        <f t="shared" si="25"/>
        <v>1895.44</v>
      </c>
      <c r="K92" s="94">
        <f t="shared" si="24"/>
        <v>1899.44</v>
      </c>
      <c r="L92" s="94">
        <f t="shared" si="24"/>
        <v>1878.44</v>
      </c>
      <c r="M92" s="94">
        <f t="shared" si="24"/>
        <v>1894.74</v>
      </c>
      <c r="N92" s="94">
        <f t="shared" si="24"/>
        <v>3.54</v>
      </c>
      <c r="O92" s="94">
        <f t="shared" si="24"/>
        <v>1867.94</v>
      </c>
      <c r="P92" s="94">
        <f t="shared" si="24"/>
        <v>1808.8400000000001</v>
      </c>
      <c r="Q92" s="94">
        <f t="shared" si="24"/>
        <v>1834.5400000000002</v>
      </c>
      <c r="R92" s="94">
        <f t="shared" si="24"/>
        <v>1843.24</v>
      </c>
      <c r="S92" s="94">
        <f t="shared" si="24"/>
        <v>1808.14</v>
      </c>
      <c r="T92" s="94">
        <f t="shared" si="24"/>
        <v>1794.64</v>
      </c>
      <c r="U92" s="94">
        <f t="shared" si="24"/>
        <v>1795.2400000000002</v>
      </c>
      <c r="V92" s="94">
        <f t="shared" si="24"/>
        <v>1808.0400000000002</v>
      </c>
      <c r="W92" s="94">
        <f t="shared" si="24"/>
        <v>1810.24</v>
      </c>
      <c r="X92" s="94">
        <f t="shared" si="24"/>
        <v>1805.44</v>
      </c>
      <c r="Y92" s="94">
        <f t="shared" si="24"/>
        <v>1836.94</v>
      </c>
      <c r="Z92" s="94">
        <f t="shared" si="24"/>
        <v>1876.8400000000001</v>
      </c>
      <c r="AA92" s="94">
        <f t="shared" si="24"/>
        <v>1966.8400000000001</v>
      </c>
      <c r="AB92" s="94">
        <f t="shared" si="24"/>
        <v>1915.94</v>
      </c>
      <c r="AC92" s="94">
        <f t="shared" si="24"/>
        <v>1929.54</v>
      </c>
      <c r="AD92" s="94">
        <f t="shared" si="24"/>
        <v>1922.8400000000001</v>
      </c>
      <c r="AE92" s="94">
        <f t="shared" si="24"/>
        <v>1907.04</v>
      </c>
      <c r="AF92" s="94">
        <f t="shared" si="24"/>
        <v>3.54</v>
      </c>
      <c r="AG92" s="87"/>
      <c r="AH92" s="47">
        <f t="shared" si="16"/>
        <v>1966.8400000000001</v>
      </c>
      <c r="AI92" s="48">
        <f t="shared" si="17"/>
        <v>3.54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6"/>
        <v>0</v>
      </c>
      <c r="AI93" s="48">
        <f t="shared" si="17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6"/>
        <v>0</v>
      </c>
      <c r="AI94" s="48">
        <f t="shared" si="17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6"/>
        <v>0</v>
      </c>
      <c r="AI95" s="48">
        <f t="shared" si="17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6"/>
        <v>0</v>
      </c>
      <c r="AI96" s="48">
        <f t="shared" si="17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6"/>
        <v>0</v>
      </c>
      <c r="AI97" s="48">
        <f t="shared" si="17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6"/>
        <v>0</v>
      </c>
      <c r="AI98" s="48">
        <f t="shared" si="17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16"/>
        <v>0</v>
      </c>
      <c r="AI99" s="48">
        <f t="shared" si="17"/>
        <v>0</v>
      </c>
      <c r="AK99" s="50"/>
    </row>
    <row r="100" spans="1:37" ht="15.75" thickBot="1" x14ac:dyDescent="0.3">
      <c r="A100" s="73" t="s">
        <v>108</v>
      </c>
      <c r="B100" s="60">
        <v>10</v>
      </c>
      <c r="C100" s="60">
        <f t="shared" ref="C100:AF100" si="26">C84-C99</f>
        <v>5</v>
      </c>
      <c r="D100" s="60">
        <f t="shared" si="26"/>
        <v>0</v>
      </c>
      <c r="E100" s="60">
        <f t="shared" si="26"/>
        <v>0</v>
      </c>
      <c r="F100" s="60">
        <f t="shared" si="26"/>
        <v>0</v>
      </c>
      <c r="G100" s="60">
        <f t="shared" si="26"/>
        <v>6</v>
      </c>
      <c r="H100" s="60">
        <f t="shared" si="26"/>
        <v>6</v>
      </c>
      <c r="I100" s="60">
        <f t="shared" si="26"/>
        <v>0</v>
      </c>
      <c r="J100" s="60">
        <f t="shared" si="26"/>
        <v>0</v>
      </c>
      <c r="K100" s="60">
        <f t="shared" si="26"/>
        <v>0</v>
      </c>
      <c r="L100" s="60">
        <f t="shared" si="26"/>
        <v>0</v>
      </c>
      <c r="M100" s="60">
        <f t="shared" si="26"/>
        <v>0</v>
      </c>
      <c r="N100" s="60">
        <f t="shared" si="26"/>
        <v>0</v>
      </c>
      <c r="O100" s="60">
        <f t="shared" si="26"/>
        <v>11.6</v>
      </c>
      <c r="P100" s="60">
        <f t="shared" si="26"/>
        <v>0</v>
      </c>
      <c r="Q100" s="60">
        <f t="shared" si="26"/>
        <v>0</v>
      </c>
      <c r="R100" s="60">
        <f t="shared" si="26"/>
        <v>0</v>
      </c>
      <c r="S100" s="60">
        <f t="shared" si="26"/>
        <v>0</v>
      </c>
      <c r="T100" s="60">
        <f t="shared" si="26"/>
        <v>0</v>
      </c>
      <c r="U100" s="60">
        <f t="shared" si="26"/>
        <v>0</v>
      </c>
      <c r="V100" s="60">
        <f t="shared" si="26"/>
        <v>0</v>
      </c>
      <c r="W100" s="60">
        <f t="shared" si="26"/>
        <v>0</v>
      </c>
      <c r="X100" s="60">
        <f t="shared" si="26"/>
        <v>0</v>
      </c>
      <c r="Y100" s="60">
        <f t="shared" si="26"/>
        <v>0</v>
      </c>
      <c r="Z100" s="60">
        <f t="shared" si="26"/>
        <v>0</v>
      </c>
      <c r="AA100" s="60">
        <f t="shared" si="26"/>
        <v>20.399999999999999</v>
      </c>
      <c r="AB100" s="60">
        <f t="shared" si="26"/>
        <v>0</v>
      </c>
      <c r="AC100" s="60">
        <f t="shared" si="26"/>
        <v>10.3</v>
      </c>
      <c r="AD100" s="60">
        <f t="shared" si="26"/>
        <v>6.9</v>
      </c>
      <c r="AE100" s="60">
        <f t="shared" si="26"/>
        <v>0.9</v>
      </c>
      <c r="AF100" s="60">
        <f t="shared" si="26"/>
        <v>0</v>
      </c>
      <c r="AG100" s="87"/>
      <c r="AH100" s="47">
        <f t="shared" si="16"/>
        <v>20.399999999999999</v>
      </c>
      <c r="AI100" s="48">
        <f t="shared" si="17"/>
        <v>0</v>
      </c>
    </row>
    <row r="101" spans="1:37" x14ac:dyDescent="0.25">
      <c r="A101" s="99" t="s">
        <v>109</v>
      </c>
      <c r="B101" s="100">
        <v>50.02</v>
      </c>
      <c r="C101" s="100">
        <v>49.94</v>
      </c>
      <c r="D101" s="100">
        <v>49.96</v>
      </c>
      <c r="E101" s="100">
        <v>49.97</v>
      </c>
      <c r="F101" s="100">
        <v>50.06</v>
      </c>
      <c r="G101" s="100">
        <v>50.06</v>
      </c>
      <c r="H101" s="100">
        <v>49.9</v>
      </c>
      <c r="I101" s="100">
        <v>49.87</v>
      </c>
      <c r="J101" s="100">
        <v>49.91</v>
      </c>
      <c r="K101" s="100">
        <v>50.02</v>
      </c>
      <c r="L101" s="100">
        <v>49.94</v>
      </c>
      <c r="M101" s="100">
        <v>50.009</v>
      </c>
      <c r="N101" s="100"/>
      <c r="O101" s="100">
        <v>49.954000000000001</v>
      </c>
      <c r="P101" s="100">
        <v>50</v>
      </c>
      <c r="Q101" s="100">
        <v>50.149000000000001</v>
      </c>
      <c r="R101" s="100">
        <v>50.084000000000003</v>
      </c>
      <c r="S101" s="100">
        <v>50.167999999999999</v>
      </c>
      <c r="T101" s="100">
        <v>49.901000000000003</v>
      </c>
      <c r="U101" s="100">
        <v>49.988</v>
      </c>
      <c r="V101" s="100">
        <v>49.96</v>
      </c>
      <c r="W101" s="100">
        <v>50</v>
      </c>
      <c r="X101" s="100">
        <v>49.920999999999999</v>
      </c>
      <c r="Y101" s="100">
        <v>49.935000000000002</v>
      </c>
      <c r="Z101" s="100">
        <v>49.91</v>
      </c>
      <c r="AA101" s="100">
        <v>49.968000000000004</v>
      </c>
      <c r="AB101" s="100">
        <v>49.875</v>
      </c>
      <c r="AC101" s="100">
        <v>50.03</v>
      </c>
      <c r="AD101" s="100">
        <v>50.02</v>
      </c>
      <c r="AE101" s="100">
        <v>50.01</v>
      </c>
      <c r="AF101" s="100"/>
      <c r="AG101" s="101"/>
      <c r="AH101" s="47">
        <f t="shared" si="16"/>
        <v>50.167999999999999</v>
      </c>
      <c r="AI101" s="48">
        <f t="shared" si="17"/>
        <v>49.87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6"/>
        <v>0</v>
      </c>
      <c r="AI102" s="48">
        <f t="shared" si="17"/>
        <v>0</v>
      </c>
    </row>
    <row r="103" spans="1:37" x14ac:dyDescent="0.25">
      <c r="A103" s="102" t="s">
        <v>111</v>
      </c>
      <c r="B103" s="64">
        <v>130</v>
      </c>
      <c r="C103" s="64">
        <v>129.4</v>
      </c>
      <c r="D103" s="64">
        <v>130</v>
      </c>
      <c r="E103" s="64">
        <v>130.80000000000001</v>
      </c>
      <c r="F103" s="64">
        <v>131.4</v>
      </c>
      <c r="G103" s="64">
        <v>130.4</v>
      </c>
      <c r="H103" s="64">
        <v>129</v>
      </c>
      <c r="I103" s="64">
        <v>128.30000000000001</v>
      </c>
      <c r="J103" s="64">
        <v>128.30000000000001</v>
      </c>
      <c r="K103" s="64">
        <v>128.30000000000001</v>
      </c>
      <c r="L103" s="64">
        <v>128.69999999999999</v>
      </c>
      <c r="M103" s="64">
        <v>127.7</v>
      </c>
      <c r="N103" s="64"/>
      <c r="O103" s="64">
        <v>122.7</v>
      </c>
      <c r="P103" s="64">
        <v>122.7</v>
      </c>
      <c r="Q103" s="64">
        <v>126.8</v>
      </c>
      <c r="R103" s="64">
        <v>127.2</v>
      </c>
      <c r="S103" s="64">
        <v>126.1</v>
      </c>
      <c r="T103" s="64">
        <v>128.69999999999999</v>
      </c>
      <c r="U103" s="64">
        <v>129</v>
      </c>
      <c r="V103" s="64">
        <v>128.4</v>
      </c>
      <c r="W103" s="64">
        <v>128.5</v>
      </c>
      <c r="X103" s="64">
        <v>129.4</v>
      </c>
      <c r="Y103" s="64">
        <v>128.80000000000001</v>
      </c>
      <c r="Z103" s="64">
        <v>127.2</v>
      </c>
      <c r="AA103" s="64">
        <v>126.6</v>
      </c>
      <c r="AB103" s="64">
        <v>128.30000000000001</v>
      </c>
      <c r="AC103" s="64">
        <v>128</v>
      </c>
      <c r="AD103" s="64">
        <v>128.19999999999999</v>
      </c>
      <c r="AE103" s="64">
        <v>128.80000000000001</v>
      </c>
      <c r="AF103" s="64"/>
      <c r="AG103" s="103"/>
      <c r="AH103" s="47">
        <f t="shared" si="16"/>
        <v>131.4</v>
      </c>
      <c r="AI103" s="48">
        <f t="shared" si="17"/>
        <v>122.7</v>
      </c>
    </row>
    <row r="104" spans="1:37" x14ac:dyDescent="0.25">
      <c r="A104" s="102" t="s">
        <v>112</v>
      </c>
      <c r="B104" s="64">
        <v>129</v>
      </c>
      <c r="C104" s="64">
        <v>127.6</v>
      </c>
      <c r="D104" s="64">
        <v>128</v>
      </c>
      <c r="E104" s="64">
        <v>129.4</v>
      </c>
      <c r="F104" s="64">
        <v>128.4</v>
      </c>
      <c r="G104" s="64">
        <v>129.5</v>
      </c>
      <c r="H104" s="64">
        <v>129.5</v>
      </c>
      <c r="I104" s="64">
        <v>125.7</v>
      </c>
      <c r="J104" s="64">
        <v>126.1</v>
      </c>
      <c r="K104" s="64">
        <v>129.80000000000001</v>
      </c>
      <c r="L104" s="64">
        <v>129.80000000000001</v>
      </c>
      <c r="M104" s="64">
        <v>128.80000000000001</v>
      </c>
      <c r="N104" s="64"/>
      <c r="O104" s="64">
        <v>128.1</v>
      </c>
      <c r="P104" s="64">
        <v>128.1</v>
      </c>
      <c r="Q104" s="64">
        <v>129.69999999999999</v>
      </c>
      <c r="R104" s="64">
        <v>128.5</v>
      </c>
      <c r="S104" s="64">
        <v>126.9</v>
      </c>
      <c r="T104" s="64">
        <v>128.19999999999999</v>
      </c>
      <c r="U104" s="64">
        <v>129.5</v>
      </c>
      <c r="V104" s="64">
        <v>130.19999999999999</v>
      </c>
      <c r="W104" s="64">
        <v>129.69999999999999</v>
      </c>
      <c r="X104" s="64">
        <v>129.5</v>
      </c>
      <c r="Y104" s="64">
        <v>127.3</v>
      </c>
      <c r="Z104" s="64">
        <v>127.6</v>
      </c>
      <c r="AA104" s="64">
        <v>126.6</v>
      </c>
      <c r="AB104" s="64">
        <v>125.8</v>
      </c>
      <c r="AC104" s="64">
        <v>125.1</v>
      </c>
      <c r="AD104" s="64">
        <v>129.19999999999999</v>
      </c>
      <c r="AE104" s="64">
        <v>128.69999999999999</v>
      </c>
      <c r="AF104" s="64"/>
      <c r="AG104" s="103"/>
      <c r="AH104" s="47">
        <f t="shared" si="16"/>
        <v>130.19999999999999</v>
      </c>
      <c r="AI104" s="48">
        <f t="shared" si="17"/>
        <v>125.1</v>
      </c>
    </row>
    <row r="105" spans="1:37" x14ac:dyDescent="0.25">
      <c r="A105" s="104" t="s">
        <v>113</v>
      </c>
      <c r="B105" s="64">
        <v>132</v>
      </c>
      <c r="C105" s="64">
        <v>131.6</v>
      </c>
      <c r="D105" s="64">
        <v>131</v>
      </c>
      <c r="E105" s="64">
        <v>130.19999999999999</v>
      </c>
      <c r="F105" s="64">
        <v>129.9</v>
      </c>
      <c r="G105" s="64">
        <v>132.5</v>
      </c>
      <c r="H105" s="64">
        <v>132.5</v>
      </c>
      <c r="I105" s="64">
        <v>127.8</v>
      </c>
      <c r="J105" s="64">
        <v>128.19999999999999</v>
      </c>
      <c r="K105" s="64">
        <v>132.30000000000001</v>
      </c>
      <c r="L105" s="64">
        <v>132.30000000000001</v>
      </c>
      <c r="M105" s="64">
        <v>131.19999999999999</v>
      </c>
      <c r="N105" s="64"/>
      <c r="O105" s="64">
        <v>130.9</v>
      </c>
      <c r="P105" s="64">
        <v>130.9</v>
      </c>
      <c r="Q105" s="64">
        <v>132.9</v>
      </c>
      <c r="R105" s="64">
        <v>132.69999999999999</v>
      </c>
      <c r="S105" s="64">
        <v>129.69999999999999</v>
      </c>
      <c r="T105" s="64">
        <v>131.1</v>
      </c>
      <c r="U105" s="64">
        <v>132.1</v>
      </c>
      <c r="V105" s="64">
        <v>133.1</v>
      </c>
      <c r="W105" s="64">
        <v>132.4</v>
      </c>
      <c r="X105" s="64">
        <v>132.19999999999999</v>
      </c>
      <c r="Y105" s="64">
        <v>129.1</v>
      </c>
      <c r="Z105" s="64">
        <v>128.80000000000001</v>
      </c>
      <c r="AA105" s="64">
        <v>130</v>
      </c>
      <c r="AB105" s="64">
        <v>128.9</v>
      </c>
      <c r="AC105" s="64">
        <v>128.19999999999999</v>
      </c>
      <c r="AD105" s="64">
        <v>131.4</v>
      </c>
      <c r="AE105" s="64">
        <v>131.4</v>
      </c>
      <c r="AF105" s="64"/>
      <c r="AG105" s="103"/>
      <c r="AH105" s="47">
        <f t="shared" si="16"/>
        <v>133.1</v>
      </c>
      <c r="AI105" s="48">
        <f t="shared" si="17"/>
        <v>127.8</v>
      </c>
    </row>
    <row r="106" spans="1:37" x14ac:dyDescent="0.25">
      <c r="A106" s="104" t="s">
        <v>114</v>
      </c>
      <c r="B106" s="105">
        <v>133</v>
      </c>
      <c r="C106" s="105">
        <v>130.9</v>
      </c>
      <c r="D106" s="105">
        <v>131</v>
      </c>
      <c r="E106" s="105">
        <v>132</v>
      </c>
      <c r="F106" s="105">
        <v>130.5</v>
      </c>
      <c r="G106" s="105">
        <v>129.1</v>
      </c>
      <c r="H106" s="105">
        <v>129.1</v>
      </c>
      <c r="I106" s="105">
        <v>130.80000000000001</v>
      </c>
      <c r="J106" s="105">
        <v>131.19999999999999</v>
      </c>
      <c r="K106" s="105">
        <v>134.1</v>
      </c>
      <c r="L106" s="105">
        <v>134.1</v>
      </c>
      <c r="M106" s="105">
        <v>133.1</v>
      </c>
      <c r="N106" s="105"/>
      <c r="O106" s="105">
        <v>133.30000000000001</v>
      </c>
      <c r="P106" s="105">
        <v>133.30000000000001</v>
      </c>
      <c r="Q106" s="105">
        <v>131.80000000000001</v>
      </c>
      <c r="R106" s="105">
        <v>133.80000000000001</v>
      </c>
      <c r="S106" s="105">
        <v>134.30000000000001</v>
      </c>
      <c r="T106" s="105">
        <v>134</v>
      </c>
      <c r="U106" s="105">
        <v>132.80000000000001</v>
      </c>
      <c r="V106" s="105">
        <v>130.5</v>
      </c>
      <c r="W106" s="105">
        <v>131.69999999999999</v>
      </c>
      <c r="X106" s="105">
        <v>133.30000000000001</v>
      </c>
      <c r="Y106" s="105">
        <v>135.69999999999999</v>
      </c>
      <c r="Z106" s="105">
        <v>131.30000000000001</v>
      </c>
      <c r="AA106" s="105">
        <v>130.69999999999999</v>
      </c>
      <c r="AB106" s="105">
        <v>133.19999999999999</v>
      </c>
      <c r="AC106" s="105">
        <v>131.1</v>
      </c>
      <c r="AD106" s="105">
        <v>132.19999999999999</v>
      </c>
      <c r="AE106" s="105">
        <v>130.9</v>
      </c>
      <c r="AF106" s="105"/>
      <c r="AG106" s="106"/>
      <c r="AH106" s="47">
        <f t="shared" si="16"/>
        <v>135.69999999999999</v>
      </c>
      <c r="AI106" s="48">
        <f t="shared" si="17"/>
        <v>129.1</v>
      </c>
    </row>
    <row r="107" spans="1:37" x14ac:dyDescent="0.25">
      <c r="A107" s="102" t="s">
        <v>115</v>
      </c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>
        <v>137.1</v>
      </c>
      <c r="U107" s="64">
        <v>130.9</v>
      </c>
      <c r="V107" s="64">
        <v>132.69999999999999</v>
      </c>
      <c r="W107" s="64">
        <v>133.9</v>
      </c>
      <c r="X107" s="64">
        <v>135.19999999999999</v>
      </c>
      <c r="Y107" s="64">
        <v>135.6</v>
      </c>
      <c r="Z107" s="64">
        <v>136.19999999999999</v>
      </c>
      <c r="AA107" s="64">
        <v>126.6</v>
      </c>
      <c r="AB107" s="64">
        <v>125.4</v>
      </c>
      <c r="AC107" s="64">
        <v>126.4</v>
      </c>
      <c r="AD107" s="64">
        <v>135.1</v>
      </c>
      <c r="AE107" s="64">
        <v>130.4</v>
      </c>
      <c r="AF107" s="64"/>
      <c r="AG107" s="103"/>
      <c r="AH107" s="47">
        <f t="shared" si="16"/>
        <v>137.1</v>
      </c>
      <c r="AI107" s="48">
        <f t="shared" si="17"/>
        <v>125.4</v>
      </c>
    </row>
    <row r="108" spans="1:37" ht="15.75" thickBot="1" x14ac:dyDescent="0.3">
      <c r="A108" s="102" t="s">
        <v>116</v>
      </c>
      <c r="B108" s="91">
        <v>65</v>
      </c>
      <c r="C108" s="91">
        <v>64.900000000000006</v>
      </c>
      <c r="D108" s="91">
        <v>65</v>
      </c>
      <c r="E108" s="91">
        <v>65.400000000000006</v>
      </c>
      <c r="F108" s="91">
        <v>66</v>
      </c>
      <c r="G108" s="91">
        <v>65.599999999999994</v>
      </c>
      <c r="H108" s="91">
        <v>65.599999999999994</v>
      </c>
      <c r="I108" s="91">
        <v>64.400000000000006</v>
      </c>
      <c r="J108" s="91">
        <v>64.2</v>
      </c>
      <c r="K108" s="91">
        <v>64.5</v>
      </c>
      <c r="L108" s="91">
        <v>64.400000000000006</v>
      </c>
      <c r="M108" s="91">
        <v>64.2</v>
      </c>
      <c r="N108" s="91"/>
      <c r="O108" s="91">
        <v>61.7</v>
      </c>
      <c r="P108" s="91">
        <v>61.7</v>
      </c>
      <c r="Q108" s="91">
        <v>64</v>
      </c>
      <c r="R108" s="91">
        <v>64.3</v>
      </c>
      <c r="S108" s="91">
        <v>63.6</v>
      </c>
      <c r="T108" s="91">
        <v>64.900000000000006</v>
      </c>
      <c r="U108" s="91">
        <v>65.3</v>
      </c>
      <c r="V108" s="91">
        <v>64.8</v>
      </c>
      <c r="W108" s="91">
        <v>64.7</v>
      </c>
      <c r="X108" s="91">
        <v>65.3</v>
      </c>
      <c r="Y108" s="91">
        <v>64.900000000000006</v>
      </c>
      <c r="Z108" s="91">
        <v>64.099999999999994</v>
      </c>
      <c r="AA108" s="91">
        <v>63.8</v>
      </c>
      <c r="AB108" s="91">
        <v>64.7</v>
      </c>
      <c r="AC108" s="91">
        <v>64.400000000000006</v>
      </c>
      <c r="AD108" s="91">
        <v>65</v>
      </c>
      <c r="AE108" s="91">
        <v>65.2</v>
      </c>
      <c r="AF108" s="91"/>
      <c r="AG108" s="107"/>
      <c r="AH108" s="47">
        <f t="shared" si="16"/>
        <v>66</v>
      </c>
      <c r="AI108" s="48">
        <f t="shared" si="17"/>
        <v>61.7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16"/>
        <v>0</v>
      </c>
      <c r="AI109" s="48">
        <f t="shared" si="17"/>
        <v>0</v>
      </c>
    </row>
    <row r="110" spans="1:37" ht="15.75" thickBot="1" x14ac:dyDescent="0.3">
      <c r="A110" s="109" t="s">
        <v>118</v>
      </c>
      <c r="B110" s="110">
        <v>54.599999999999994</v>
      </c>
      <c r="C110" s="110">
        <f t="shared" ref="C110:O110" si="27">SUM(C20,C26,C29:C30,C58,C60:C61,C63,C65,C111:C115,C138,C144,C150,C159,C161,C173,C180,C183:C184,C191,C193,C195,C199:C201,C203:C205,C210,C216:C217,C219:C221,C229,C234)</f>
        <v>48.539999999999992</v>
      </c>
      <c r="D110" s="110">
        <f t="shared" si="27"/>
        <v>27.539999999999996</v>
      </c>
      <c r="E110" s="110">
        <f t="shared" si="27"/>
        <v>23.139999999999979</v>
      </c>
      <c r="F110" s="110">
        <f t="shared" si="27"/>
        <v>37.339999999999989</v>
      </c>
      <c r="G110" s="110">
        <f t="shared" si="27"/>
        <v>43.639999999999972</v>
      </c>
      <c r="H110" s="110">
        <f t="shared" si="27"/>
        <v>144.13999999999999</v>
      </c>
      <c r="I110" s="110">
        <f t="shared" si="27"/>
        <v>83.439999999999984</v>
      </c>
      <c r="J110" s="110">
        <f t="shared" si="27"/>
        <v>80.540000000000006</v>
      </c>
      <c r="K110" s="110">
        <f t="shared" si="27"/>
        <v>138.14000000000001</v>
      </c>
      <c r="L110" s="110">
        <f t="shared" si="27"/>
        <v>129.13999999999999</v>
      </c>
      <c r="M110" s="110">
        <f t="shared" si="27"/>
        <v>141.44</v>
      </c>
      <c r="N110" s="110">
        <f t="shared" si="27"/>
        <v>0.94</v>
      </c>
      <c r="O110" s="110">
        <f t="shared" si="27"/>
        <v>194.74</v>
      </c>
      <c r="P110" s="110">
        <v>42</v>
      </c>
      <c r="Q110" s="110">
        <f t="shared" ref="Q110:AF110" si="28">SUM(Q20,Q26,Q29:Q30,Q58,Q60:Q61,Q63,Q65,Q111:Q115,Q138,Q144,Q150,Q159,Q161,Q173,Q180,Q183:Q184,Q191,Q193,Q195,Q199:Q201,Q203:Q205,Q210,Q216:Q217,Q219:Q221,Q229,Q234)</f>
        <v>109</v>
      </c>
      <c r="R110" s="110">
        <f t="shared" si="28"/>
        <v>101.9</v>
      </c>
      <c r="S110" s="110">
        <f t="shared" si="28"/>
        <v>144.80000000000001</v>
      </c>
      <c r="T110" s="110">
        <f t="shared" si="28"/>
        <v>158.6</v>
      </c>
      <c r="U110" s="110">
        <f t="shared" si="28"/>
        <v>111.60000000000002</v>
      </c>
      <c r="V110" s="110">
        <f t="shared" si="28"/>
        <v>116.40000000000002</v>
      </c>
      <c r="W110" s="110">
        <f t="shared" si="28"/>
        <v>151.90000000000003</v>
      </c>
      <c r="X110" s="110">
        <f t="shared" si="28"/>
        <v>148.80000000000001</v>
      </c>
      <c r="Y110" s="110">
        <f t="shared" si="28"/>
        <v>170.60000000000002</v>
      </c>
      <c r="Z110" s="110">
        <f t="shared" si="28"/>
        <v>196</v>
      </c>
      <c r="AA110" s="110">
        <f t="shared" si="28"/>
        <v>225.10000000000002</v>
      </c>
      <c r="AB110" s="110">
        <f t="shared" si="28"/>
        <v>177</v>
      </c>
      <c r="AC110" s="110">
        <f t="shared" si="28"/>
        <v>155.60000000000002</v>
      </c>
      <c r="AD110" s="110"/>
      <c r="AE110" s="110">
        <f t="shared" si="28"/>
        <v>151.60000000000002</v>
      </c>
      <c r="AF110" s="110">
        <f t="shared" si="28"/>
        <v>0</v>
      </c>
      <c r="AG110" s="111"/>
      <c r="AH110" s="47">
        <f t="shared" si="16"/>
        <v>225.10000000000002</v>
      </c>
      <c r="AI110" s="48">
        <f t="shared" si="17"/>
        <v>0</v>
      </c>
    </row>
    <row r="111" spans="1:37" x14ac:dyDescent="0.25">
      <c r="A111" s="99" t="s">
        <v>119</v>
      </c>
      <c r="B111" s="112">
        <v>38</v>
      </c>
      <c r="C111" s="112">
        <v>42</v>
      </c>
      <c r="D111" s="112">
        <v>37</v>
      </c>
      <c r="E111" s="112">
        <v>25.2</v>
      </c>
      <c r="F111" s="112">
        <v>9</v>
      </c>
      <c r="G111" s="112">
        <v>7.6</v>
      </c>
      <c r="H111" s="112"/>
      <c r="I111" s="112">
        <v>18.100000000000001</v>
      </c>
      <c r="J111" s="112">
        <v>19.8</v>
      </c>
      <c r="K111" s="112">
        <v>31</v>
      </c>
      <c r="L111" s="112">
        <v>30.6</v>
      </c>
      <c r="M111" s="112">
        <v>32.299999999999997</v>
      </c>
      <c r="N111" s="112"/>
      <c r="O111" s="112">
        <v>55.4</v>
      </c>
      <c r="P111" s="112">
        <v>55.4</v>
      </c>
      <c r="Q111" s="112">
        <v>43.7</v>
      </c>
      <c r="R111" s="112">
        <v>36.700000000000003</v>
      </c>
      <c r="S111" s="112">
        <v>48.8</v>
      </c>
      <c r="T111" s="112">
        <v>45.2</v>
      </c>
      <c r="U111" s="112">
        <v>46.2</v>
      </c>
      <c r="V111" s="112">
        <v>47.9</v>
      </c>
      <c r="W111" s="112">
        <v>40.700000000000003</v>
      </c>
      <c r="X111" s="112">
        <v>53.7</v>
      </c>
      <c r="Y111" s="112">
        <v>51.7</v>
      </c>
      <c r="Z111" s="112">
        <v>56</v>
      </c>
      <c r="AA111" s="112">
        <v>58.1</v>
      </c>
      <c r="AB111" s="112">
        <v>42.9</v>
      </c>
      <c r="AC111" s="112">
        <v>41.1</v>
      </c>
      <c r="AD111" s="112">
        <v>34.700000000000003</v>
      </c>
      <c r="AE111" s="112">
        <v>56.1</v>
      </c>
      <c r="AF111" s="112"/>
      <c r="AG111" s="113">
        <v>75</v>
      </c>
      <c r="AH111" s="47">
        <f t="shared" si="16"/>
        <v>58.1</v>
      </c>
      <c r="AI111" s="48">
        <f t="shared" si="17"/>
        <v>7.6</v>
      </c>
    </row>
    <row r="112" spans="1:37" x14ac:dyDescent="0.25">
      <c r="A112" s="102" t="s">
        <v>120</v>
      </c>
      <c r="B112" s="114">
        <v>22</v>
      </c>
      <c r="C112" s="114">
        <v>22</v>
      </c>
      <c r="D112" s="114">
        <v>22</v>
      </c>
      <c r="E112" s="114">
        <v>40</v>
      </c>
      <c r="F112" s="114">
        <v>20.399999999999999</v>
      </c>
      <c r="G112" s="114">
        <v>18.600000000000001</v>
      </c>
      <c r="H112" s="114"/>
      <c r="I112" s="114">
        <v>32.5</v>
      </c>
      <c r="J112" s="114">
        <v>35.9</v>
      </c>
      <c r="K112" s="114">
        <v>47.8</v>
      </c>
      <c r="L112" s="114">
        <v>46.7</v>
      </c>
      <c r="M112" s="114">
        <v>49.5</v>
      </c>
      <c r="N112" s="114"/>
      <c r="O112" s="114">
        <v>79.2</v>
      </c>
      <c r="P112" s="114">
        <v>79.2</v>
      </c>
      <c r="Q112" s="114">
        <v>65.099999999999994</v>
      </c>
      <c r="R112" s="114">
        <v>59.4</v>
      </c>
      <c r="S112" s="114">
        <v>74.5</v>
      </c>
      <c r="T112" s="114">
        <v>57.4</v>
      </c>
      <c r="U112" s="114">
        <v>68</v>
      </c>
      <c r="V112" s="114">
        <v>66.099999999999994</v>
      </c>
      <c r="W112" s="114">
        <v>53.9</v>
      </c>
      <c r="X112" s="114">
        <v>72.099999999999994</v>
      </c>
      <c r="Y112" s="114">
        <v>69.099999999999994</v>
      </c>
      <c r="Z112" s="114">
        <v>75.099999999999994</v>
      </c>
      <c r="AA112" s="114">
        <v>82.1</v>
      </c>
      <c r="AB112" s="114">
        <v>61.4</v>
      </c>
      <c r="AC112" s="114">
        <v>61</v>
      </c>
      <c r="AD112" s="114">
        <v>52.3</v>
      </c>
      <c r="AE112" s="114">
        <v>84.5</v>
      </c>
      <c r="AF112" s="114"/>
      <c r="AG112" s="113">
        <v>240</v>
      </c>
      <c r="AH112" s="47">
        <f t="shared" si="16"/>
        <v>84.5</v>
      </c>
      <c r="AI112" s="48">
        <f t="shared" si="17"/>
        <v>18.600000000000001</v>
      </c>
    </row>
    <row r="113" spans="1:37" x14ac:dyDescent="0.25">
      <c r="A113" s="102" t="s">
        <v>121</v>
      </c>
      <c r="B113" s="114">
        <v>-160</v>
      </c>
      <c r="C113" s="114">
        <v>-155</v>
      </c>
      <c r="D113" s="114">
        <v>-170</v>
      </c>
      <c r="E113" s="114">
        <f>-82-90</f>
        <v>-172</v>
      </c>
      <c r="F113" s="114">
        <f>-65.4-69</f>
        <v>-134.4</v>
      </c>
      <c r="G113" s="114">
        <f>-62.2-65.8</f>
        <v>-128</v>
      </c>
      <c r="H113" s="114"/>
      <c r="I113" s="114">
        <f>-56.3-59.9</f>
        <v>-116.19999999999999</v>
      </c>
      <c r="J113" s="114">
        <f>-59.8-63.8</f>
        <v>-123.6</v>
      </c>
      <c r="K113" s="114">
        <f>-47.4-50.8</f>
        <v>-98.199999999999989</v>
      </c>
      <c r="L113" s="114">
        <f>-43.2-47.2</f>
        <v>-90.4</v>
      </c>
      <c r="M113" s="114">
        <v>-76</v>
      </c>
      <c r="N113" s="114"/>
      <c r="O113" s="114">
        <v>-144</v>
      </c>
      <c r="P113" s="114">
        <v>-144</v>
      </c>
      <c r="Q113" s="114">
        <v>-150</v>
      </c>
      <c r="R113" s="114">
        <v>-150</v>
      </c>
      <c r="S113" s="114">
        <v>-152</v>
      </c>
      <c r="T113" s="114">
        <v>-147</v>
      </c>
      <c r="U113" s="114">
        <v>-135</v>
      </c>
      <c r="V113" s="114">
        <f>-61.9-65.3</f>
        <v>-127.19999999999999</v>
      </c>
      <c r="W113" s="114">
        <v>-130</v>
      </c>
      <c r="X113" s="114">
        <v>-125</v>
      </c>
      <c r="Y113" s="114">
        <f>-63.8-68</f>
        <v>-131.80000000000001</v>
      </c>
      <c r="Z113" s="114">
        <v>-125</v>
      </c>
      <c r="AA113" s="114">
        <v>-116</v>
      </c>
      <c r="AB113" s="114">
        <v>-124</v>
      </c>
      <c r="AC113" s="114">
        <f>-68.1-72.3</f>
        <v>-140.39999999999998</v>
      </c>
      <c r="AD113" s="114">
        <f>-76-78.6</f>
        <v>-154.6</v>
      </c>
      <c r="AE113" s="114">
        <f>-79.5-83.9</f>
        <v>-163.4</v>
      </c>
      <c r="AF113" s="114"/>
      <c r="AG113" s="113">
        <v>240</v>
      </c>
      <c r="AH113" s="47">
        <f t="shared" si="16"/>
        <v>-76</v>
      </c>
      <c r="AI113" s="48">
        <f t="shared" si="17"/>
        <v>-172</v>
      </c>
    </row>
    <row r="114" spans="1:37" x14ac:dyDescent="0.25">
      <c r="A114" s="102" t="s">
        <v>122</v>
      </c>
      <c r="B114" s="114">
        <v>-14</v>
      </c>
      <c r="C114" s="114">
        <v>-11</v>
      </c>
      <c r="D114" s="114">
        <v>-12</v>
      </c>
      <c r="E114" s="114">
        <v>-14.2</v>
      </c>
      <c r="F114" s="114">
        <v>-7.8</v>
      </c>
      <c r="G114" s="114">
        <v>-4.7</v>
      </c>
      <c r="H114" s="114"/>
      <c r="I114" s="114">
        <v>-2.4</v>
      </c>
      <c r="J114" s="114">
        <v>-4.7</v>
      </c>
      <c r="K114" s="114">
        <v>6.9</v>
      </c>
      <c r="L114" s="114">
        <v>6.6</v>
      </c>
      <c r="M114" s="114">
        <v>9.6</v>
      </c>
      <c r="N114" s="114"/>
      <c r="O114" s="114">
        <v>3</v>
      </c>
      <c r="P114" s="114">
        <v>3</v>
      </c>
      <c r="Q114" s="114">
        <v>-1.8</v>
      </c>
      <c r="R114" s="114">
        <v>0</v>
      </c>
      <c r="S114" s="114">
        <v>0.2</v>
      </c>
      <c r="T114" s="114">
        <v>-3.1</v>
      </c>
      <c r="U114" s="114">
        <v>-2</v>
      </c>
      <c r="V114" s="114">
        <v>0.5</v>
      </c>
      <c r="W114" s="114">
        <v>2.4</v>
      </c>
      <c r="X114" s="114">
        <v>3</v>
      </c>
      <c r="Y114" s="114">
        <v>1.9</v>
      </c>
      <c r="Z114" s="114">
        <v>5</v>
      </c>
      <c r="AA114" s="114">
        <v>8</v>
      </c>
      <c r="AB114" s="114">
        <v>3.1</v>
      </c>
      <c r="AC114" s="114">
        <v>0</v>
      </c>
      <c r="AD114" s="114">
        <v>-0.9</v>
      </c>
      <c r="AE114" s="114">
        <v>-7</v>
      </c>
      <c r="AF114" s="114"/>
      <c r="AG114" s="113">
        <v>60</v>
      </c>
      <c r="AH114" s="47">
        <f t="shared" si="16"/>
        <v>9.6</v>
      </c>
      <c r="AI114" s="48">
        <f t="shared" si="17"/>
        <v>-14.2</v>
      </c>
    </row>
    <row r="115" spans="1:37" x14ac:dyDescent="0.25">
      <c r="A115" s="115" t="s">
        <v>123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/>
      <c r="I115" s="116">
        <v>7.3</v>
      </c>
      <c r="J115" s="116">
        <v>7</v>
      </c>
      <c r="K115" s="116">
        <v>4.5</v>
      </c>
      <c r="L115" s="116">
        <v>4.5</v>
      </c>
      <c r="M115" s="116">
        <v>6.6</v>
      </c>
      <c r="N115" s="116"/>
      <c r="O115" s="116">
        <v>88.7</v>
      </c>
      <c r="P115" s="116">
        <v>88.7</v>
      </c>
      <c r="Q115" s="116">
        <v>23.9</v>
      </c>
      <c r="R115" s="116">
        <v>18</v>
      </c>
      <c r="S115" s="116">
        <v>32.1</v>
      </c>
      <c r="T115" s="116">
        <v>69.400000000000006</v>
      </c>
      <c r="U115" s="116">
        <v>24</v>
      </c>
      <c r="V115" s="116">
        <v>10.199999999999999</v>
      </c>
      <c r="W115" s="116">
        <v>66</v>
      </c>
      <c r="X115" s="116">
        <v>29.1</v>
      </c>
      <c r="Y115" s="116">
        <v>64.8</v>
      </c>
      <c r="Z115" s="116">
        <v>65</v>
      </c>
      <c r="AA115" s="116">
        <v>63</v>
      </c>
      <c r="AB115" s="116">
        <v>63.7</v>
      </c>
      <c r="AC115" s="116">
        <v>63.6</v>
      </c>
      <c r="AD115" s="116">
        <v>64.400000000000006</v>
      </c>
      <c r="AE115" s="116">
        <v>64.400000000000006</v>
      </c>
      <c r="AF115" s="116"/>
      <c r="AG115" s="117">
        <v>120</v>
      </c>
      <c r="AH115" s="47">
        <f t="shared" si="16"/>
        <v>88.7</v>
      </c>
      <c r="AI115" s="48">
        <f t="shared" si="17"/>
        <v>0</v>
      </c>
    </row>
    <row r="116" spans="1:37" x14ac:dyDescent="0.25">
      <c r="A116" s="115" t="s">
        <v>124</v>
      </c>
      <c r="B116" s="116">
        <v>65</v>
      </c>
      <c r="C116" s="116">
        <v>71</v>
      </c>
      <c r="D116" s="116">
        <v>50</v>
      </c>
      <c r="E116" s="116">
        <v>48</v>
      </c>
      <c r="F116" s="116">
        <v>50.7</v>
      </c>
      <c r="G116" s="116">
        <v>49.3</v>
      </c>
      <c r="H116" s="116"/>
      <c r="I116" s="116">
        <v>48.8</v>
      </c>
      <c r="J116" s="116">
        <v>34</v>
      </c>
      <c r="K116" s="116">
        <v>38</v>
      </c>
      <c r="L116" s="116">
        <v>44.6</v>
      </c>
      <c r="M116" s="116">
        <v>43.3</v>
      </c>
      <c r="N116" s="116"/>
      <c r="O116" s="116">
        <v>20.3</v>
      </c>
      <c r="P116" s="116">
        <v>20.3</v>
      </c>
      <c r="Q116" s="116">
        <v>14.2</v>
      </c>
      <c r="R116" s="116">
        <v>12.9</v>
      </c>
      <c r="S116" s="116">
        <v>15</v>
      </c>
      <c r="T116" s="116">
        <v>16</v>
      </c>
      <c r="U116" s="116">
        <v>18</v>
      </c>
      <c r="V116" s="116">
        <v>21.3</v>
      </c>
      <c r="W116" s="116">
        <v>24</v>
      </c>
      <c r="X116" s="116">
        <v>30</v>
      </c>
      <c r="Y116" s="116">
        <v>30.9</v>
      </c>
      <c r="Z116" s="116">
        <v>52</v>
      </c>
      <c r="AA116" s="116">
        <v>56</v>
      </c>
      <c r="AB116" s="116">
        <v>50.4</v>
      </c>
      <c r="AC116" s="116">
        <v>48.7</v>
      </c>
      <c r="AD116" s="116">
        <v>49</v>
      </c>
      <c r="AE116" s="116">
        <v>49</v>
      </c>
      <c r="AF116" s="116"/>
      <c r="AG116" s="117"/>
      <c r="AH116" s="47">
        <f t="shared" si="16"/>
        <v>71</v>
      </c>
      <c r="AI116" s="48">
        <f t="shared" si="17"/>
        <v>12.9</v>
      </c>
    </row>
    <row r="117" spans="1:37" x14ac:dyDescent="0.25">
      <c r="A117" s="115" t="s">
        <v>125</v>
      </c>
      <c r="B117" s="116">
        <v>60</v>
      </c>
      <c r="C117" s="116">
        <v>64</v>
      </c>
      <c r="D117" s="116">
        <v>58</v>
      </c>
      <c r="E117" s="116">
        <v>51.3</v>
      </c>
      <c r="F117" s="116">
        <v>37.4</v>
      </c>
      <c r="G117" s="116">
        <v>42.3</v>
      </c>
      <c r="H117" s="116"/>
      <c r="I117" s="116">
        <v>39.200000000000003</v>
      </c>
      <c r="J117" s="116">
        <v>35.299999999999997</v>
      </c>
      <c r="K117" s="116">
        <v>2.4</v>
      </c>
      <c r="L117" s="116">
        <v>0.9</v>
      </c>
      <c r="M117" s="116">
        <v>0.4</v>
      </c>
      <c r="N117" s="116"/>
      <c r="O117" s="116">
        <v>-9</v>
      </c>
      <c r="P117" s="116">
        <v>-9</v>
      </c>
      <c r="Q117" s="116">
        <v>19.399999999999999</v>
      </c>
      <c r="R117" s="116">
        <v>40.1</v>
      </c>
      <c r="S117" s="116">
        <v>18</v>
      </c>
      <c r="T117" s="116">
        <v>6.3</v>
      </c>
      <c r="U117" s="116">
        <v>-6</v>
      </c>
      <c r="V117" s="116">
        <v>-25.7</v>
      </c>
      <c r="W117" s="116">
        <v>-9</v>
      </c>
      <c r="X117" s="116">
        <v>-19</v>
      </c>
      <c r="Y117" s="116">
        <v>-1.2</v>
      </c>
      <c r="Z117" s="116">
        <v>-6</v>
      </c>
      <c r="AA117" s="116">
        <v>20</v>
      </c>
      <c r="AB117" s="116">
        <v>26.9</v>
      </c>
      <c r="AC117" s="116">
        <v>29.5</v>
      </c>
      <c r="AD117" s="116">
        <v>43.3</v>
      </c>
      <c r="AE117" s="116">
        <v>43.3</v>
      </c>
      <c r="AF117" s="116"/>
      <c r="AG117" s="118"/>
      <c r="AH117" s="47">
        <f t="shared" si="16"/>
        <v>64</v>
      </c>
      <c r="AI117" s="48">
        <f t="shared" si="17"/>
        <v>-25.7</v>
      </c>
    </row>
    <row r="118" spans="1:37" x14ac:dyDescent="0.25">
      <c r="A118" s="119" t="s">
        <v>126</v>
      </c>
      <c r="B118" s="105">
        <v>29</v>
      </c>
      <c r="C118" s="105">
        <v>35</v>
      </c>
      <c r="D118" s="105">
        <v>32</v>
      </c>
      <c r="E118" s="105">
        <v>38.4</v>
      </c>
      <c r="F118" s="105">
        <v>47.8</v>
      </c>
      <c r="G118" s="105">
        <v>47.5</v>
      </c>
      <c r="H118" s="105"/>
      <c r="I118" s="105">
        <v>53.2</v>
      </c>
      <c r="J118" s="105">
        <v>53.2</v>
      </c>
      <c r="K118" s="105">
        <v>48.6</v>
      </c>
      <c r="L118" s="105">
        <v>47.5</v>
      </c>
      <c r="M118" s="105">
        <v>46.5</v>
      </c>
      <c r="N118" s="105"/>
      <c r="O118" s="105">
        <v>44.8</v>
      </c>
      <c r="P118" s="105">
        <v>44.8</v>
      </c>
      <c r="Q118" s="105">
        <v>54.9</v>
      </c>
      <c r="R118" s="105">
        <v>61.7</v>
      </c>
      <c r="S118" s="105">
        <v>54</v>
      </c>
      <c r="T118" s="105">
        <v>50.1</v>
      </c>
      <c r="U118" s="105">
        <v>55</v>
      </c>
      <c r="V118" s="105">
        <v>58.8</v>
      </c>
      <c r="W118" s="105">
        <v>57</v>
      </c>
      <c r="X118" s="105">
        <v>57</v>
      </c>
      <c r="Y118" s="105">
        <v>39.700000000000003</v>
      </c>
      <c r="Z118" s="105">
        <v>30</v>
      </c>
      <c r="AA118" s="105">
        <v>29.1</v>
      </c>
      <c r="AB118" s="105">
        <v>24.6</v>
      </c>
      <c r="AC118" s="105">
        <v>21.2</v>
      </c>
      <c r="AD118" s="105">
        <v>23.7</v>
      </c>
      <c r="AE118" s="105">
        <v>23.7</v>
      </c>
      <c r="AF118" s="105"/>
      <c r="AG118" s="118"/>
      <c r="AH118" s="47">
        <f t="shared" si="16"/>
        <v>61.7</v>
      </c>
      <c r="AI118" s="48">
        <f t="shared" si="17"/>
        <v>21.2</v>
      </c>
    </row>
    <row r="119" spans="1:37" x14ac:dyDescent="0.25">
      <c r="A119" s="120" t="s">
        <v>127</v>
      </c>
      <c r="B119" s="105">
        <v>85</v>
      </c>
      <c r="C119" s="105">
        <v>80</v>
      </c>
      <c r="D119" s="105">
        <v>95</v>
      </c>
      <c r="E119" s="105">
        <v>98</v>
      </c>
      <c r="F119" s="105">
        <v>88.2</v>
      </c>
      <c r="G119" s="105">
        <v>80.599999999999994</v>
      </c>
      <c r="H119" s="105"/>
      <c r="I119" s="105">
        <v>71.400000000000006</v>
      </c>
      <c r="J119" s="105">
        <v>79.8</v>
      </c>
      <c r="K119" s="105">
        <v>69.7</v>
      </c>
      <c r="L119" s="105">
        <v>70.099999999999994</v>
      </c>
      <c r="M119" s="105">
        <v>61.1</v>
      </c>
      <c r="N119" s="105"/>
      <c r="O119" s="105">
        <v>72.599999999999994</v>
      </c>
      <c r="P119" s="105">
        <v>72.599999999999994</v>
      </c>
      <c r="Q119" s="105">
        <v>73.5</v>
      </c>
      <c r="R119" s="105">
        <v>74.7</v>
      </c>
      <c r="S119" s="105">
        <v>78</v>
      </c>
      <c r="T119" s="105">
        <v>73</v>
      </c>
      <c r="U119" s="105">
        <v>64</v>
      </c>
      <c r="V119" s="105">
        <v>61.6</v>
      </c>
      <c r="W119" s="105">
        <v>63</v>
      </c>
      <c r="X119" s="105">
        <v>59</v>
      </c>
      <c r="Y119" s="105">
        <v>57.7</v>
      </c>
      <c r="Z119" s="105">
        <v>58</v>
      </c>
      <c r="AA119" s="105">
        <v>58</v>
      </c>
      <c r="AB119" s="105">
        <v>60.4</v>
      </c>
      <c r="AC119" s="105">
        <v>67.599999999999994</v>
      </c>
      <c r="AD119" s="105">
        <v>84.5</v>
      </c>
      <c r="AE119" s="105">
        <v>84.5</v>
      </c>
      <c r="AF119" s="105"/>
      <c r="AG119" s="118"/>
      <c r="AH119" s="47">
        <f t="shared" si="16"/>
        <v>98</v>
      </c>
      <c r="AI119" s="48">
        <f t="shared" si="17"/>
        <v>57.7</v>
      </c>
    </row>
    <row r="120" spans="1:37" ht="15.75" thickBot="1" x14ac:dyDescent="0.3">
      <c r="A120" s="119" t="s">
        <v>128</v>
      </c>
      <c r="B120" s="105">
        <v>47</v>
      </c>
      <c r="C120" s="105">
        <v>45</v>
      </c>
      <c r="D120" s="105">
        <v>42</v>
      </c>
      <c r="E120" s="105">
        <v>38</v>
      </c>
      <c r="F120" s="105">
        <v>23.5</v>
      </c>
      <c r="G120" s="105">
        <v>27.6</v>
      </c>
      <c r="H120" s="105"/>
      <c r="I120" s="105">
        <v>7.4</v>
      </c>
      <c r="J120" s="105">
        <v>4.8</v>
      </c>
      <c r="K120" s="105">
        <v>9.1999999999999993</v>
      </c>
      <c r="L120" s="105">
        <v>7.5</v>
      </c>
      <c r="M120" s="105">
        <v>13.1</v>
      </c>
      <c r="N120" s="105"/>
      <c r="O120" s="105">
        <v>11.9</v>
      </c>
      <c r="P120" s="105">
        <v>11.9</v>
      </c>
      <c r="Q120" s="105">
        <v>25.9</v>
      </c>
      <c r="R120" s="105">
        <v>22</v>
      </c>
      <c r="S120" s="105">
        <v>20</v>
      </c>
      <c r="T120" s="105">
        <v>16</v>
      </c>
      <c r="U120" s="105">
        <v>15</v>
      </c>
      <c r="V120" s="105">
        <v>0.3</v>
      </c>
      <c r="W120" s="105">
        <v>4</v>
      </c>
      <c r="X120" s="105">
        <v>2.4</v>
      </c>
      <c r="Y120" s="105">
        <v>10.199999999999999</v>
      </c>
      <c r="Z120" s="105">
        <v>25</v>
      </c>
      <c r="AA120" s="105">
        <v>37.299999999999997</v>
      </c>
      <c r="AB120" s="105">
        <v>49</v>
      </c>
      <c r="AC120" s="105">
        <v>54.2</v>
      </c>
      <c r="AD120" s="105">
        <v>48.2</v>
      </c>
      <c r="AE120" s="105">
        <v>48.2</v>
      </c>
      <c r="AF120" s="105"/>
      <c r="AG120" s="118"/>
      <c r="AH120" s="47">
        <f t="shared" si="16"/>
        <v>54.2</v>
      </c>
      <c r="AI120" s="48">
        <f t="shared" si="17"/>
        <v>0.3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29">SUM(B122:B226)</f>
        <v>0</v>
      </c>
      <c r="C227" s="136">
        <f t="shared" si="29"/>
        <v>0</v>
      </c>
      <c r="D227" s="136">
        <f t="shared" si="29"/>
        <v>0</v>
      </c>
      <c r="E227" s="136">
        <f t="shared" si="29"/>
        <v>0</v>
      </c>
      <c r="F227" s="136">
        <f t="shared" si="29"/>
        <v>0</v>
      </c>
      <c r="G227" s="136">
        <f t="shared" si="29"/>
        <v>0</v>
      </c>
      <c r="H227" s="136">
        <f t="shared" si="29"/>
        <v>0</v>
      </c>
      <c r="I227" s="136">
        <f t="shared" si="29"/>
        <v>0</v>
      </c>
      <c r="J227" s="136">
        <f t="shared" si="29"/>
        <v>0</v>
      </c>
      <c r="K227" s="136">
        <f t="shared" si="29"/>
        <v>0</v>
      </c>
      <c r="L227" s="136">
        <f t="shared" si="29"/>
        <v>0</v>
      </c>
      <c r="M227" s="136">
        <f t="shared" si="29"/>
        <v>0</v>
      </c>
      <c r="N227" s="136">
        <f t="shared" si="29"/>
        <v>0</v>
      </c>
      <c r="O227" s="136">
        <f t="shared" si="29"/>
        <v>0</v>
      </c>
      <c r="P227" s="136">
        <f t="shared" si="29"/>
        <v>0</v>
      </c>
      <c r="Q227" s="136">
        <f t="shared" si="29"/>
        <v>0</v>
      </c>
      <c r="R227" s="136">
        <f t="shared" si="29"/>
        <v>0</v>
      </c>
      <c r="S227" s="136">
        <f t="shared" si="29"/>
        <v>0</v>
      </c>
      <c r="T227" s="136">
        <f t="shared" si="29"/>
        <v>0</v>
      </c>
      <c r="U227" s="136">
        <f t="shared" si="29"/>
        <v>0</v>
      </c>
      <c r="V227" s="136">
        <f t="shared" si="29"/>
        <v>0</v>
      </c>
      <c r="W227" s="136">
        <f t="shared" si="29"/>
        <v>0</v>
      </c>
      <c r="X227" s="136">
        <f t="shared" si="29"/>
        <v>0</v>
      </c>
      <c r="Y227" s="136">
        <f t="shared" si="29"/>
        <v>0</v>
      </c>
      <c r="Z227" s="136">
        <f t="shared" si="29"/>
        <v>0</v>
      </c>
      <c r="AA227" s="136">
        <f t="shared" si="29"/>
        <v>0</v>
      </c>
      <c r="AB227" s="136">
        <f t="shared" si="29"/>
        <v>0</v>
      </c>
      <c r="AC227" s="136">
        <f t="shared" si="29"/>
        <v>0</v>
      </c>
      <c r="AD227" s="136">
        <f t="shared" si="29"/>
        <v>0</v>
      </c>
      <c r="AE227" s="136">
        <f t="shared" si="29"/>
        <v>0</v>
      </c>
      <c r="AF227" s="137">
        <f t="shared" si="29"/>
        <v>0</v>
      </c>
      <c r="AG227" s="138">
        <f t="shared" si="29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30">AF229</f>
        <v>0</v>
      </c>
      <c r="C229" s="140">
        <v>0.3</v>
      </c>
      <c r="D229" s="140">
        <f t="shared" ref="D229:P234" si="31">C229</f>
        <v>0.3</v>
      </c>
      <c r="E229" s="140">
        <f t="shared" si="31"/>
        <v>0.3</v>
      </c>
      <c r="F229" s="140">
        <f t="shared" si="31"/>
        <v>0.3</v>
      </c>
      <c r="G229" s="140">
        <f t="shared" si="31"/>
        <v>0.3</v>
      </c>
      <c r="H229" s="140">
        <f t="shared" si="31"/>
        <v>0.3</v>
      </c>
      <c r="I229" s="140">
        <f t="shared" si="31"/>
        <v>0.3</v>
      </c>
      <c r="J229" s="140">
        <f t="shared" si="31"/>
        <v>0.3</v>
      </c>
      <c r="K229" s="140">
        <f t="shared" si="31"/>
        <v>0.3</v>
      </c>
      <c r="L229" s="140">
        <f t="shared" si="31"/>
        <v>0.3</v>
      </c>
      <c r="M229" s="140">
        <f t="shared" si="31"/>
        <v>0.3</v>
      </c>
      <c r="N229" s="140">
        <f t="shared" si="31"/>
        <v>0.3</v>
      </c>
      <c r="O229" s="140">
        <f t="shared" si="31"/>
        <v>0.3</v>
      </c>
      <c r="P229" s="140">
        <f t="shared" si="31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30"/>
        <v>0</v>
      </c>
      <c r="C230" s="128">
        <v>0.4</v>
      </c>
      <c r="D230" s="128">
        <f t="shared" si="31"/>
        <v>0.4</v>
      </c>
      <c r="E230" s="128">
        <f t="shared" si="31"/>
        <v>0.4</v>
      </c>
      <c r="F230" s="128">
        <f t="shared" si="31"/>
        <v>0.4</v>
      </c>
      <c r="G230" s="128">
        <f t="shared" si="31"/>
        <v>0.4</v>
      </c>
      <c r="H230" s="128">
        <f t="shared" si="31"/>
        <v>0.4</v>
      </c>
      <c r="I230" s="128">
        <f t="shared" si="31"/>
        <v>0.4</v>
      </c>
      <c r="J230" s="128">
        <f t="shared" si="31"/>
        <v>0.4</v>
      </c>
      <c r="K230" s="128">
        <f t="shared" si="31"/>
        <v>0.4</v>
      </c>
      <c r="L230" s="128">
        <f t="shared" si="31"/>
        <v>0.4</v>
      </c>
      <c r="M230" s="128">
        <f t="shared" si="31"/>
        <v>0.4</v>
      </c>
      <c r="N230" s="128">
        <f t="shared" si="31"/>
        <v>0.4</v>
      </c>
      <c r="O230" s="128">
        <f t="shared" si="31"/>
        <v>0.4</v>
      </c>
      <c r="P230" s="128">
        <f t="shared" si="31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30"/>
        <v>0</v>
      </c>
      <c r="C231" s="128">
        <v>1.5</v>
      </c>
      <c r="D231" s="128">
        <f t="shared" si="31"/>
        <v>1.5</v>
      </c>
      <c r="E231" s="128">
        <f t="shared" si="31"/>
        <v>1.5</v>
      </c>
      <c r="F231" s="128">
        <f t="shared" si="31"/>
        <v>1.5</v>
      </c>
      <c r="G231" s="128">
        <f t="shared" si="31"/>
        <v>1.5</v>
      </c>
      <c r="H231" s="128">
        <f t="shared" si="31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31"/>
        <v>123.21900000000009</v>
      </c>
      <c r="K231" s="128">
        <f t="shared" ca="1" si="31"/>
        <v>123.21900000000009</v>
      </c>
      <c r="L231" s="128">
        <f t="shared" ca="1" si="31"/>
        <v>123.21900000000009</v>
      </c>
      <c r="M231" s="128">
        <f t="shared" ca="1" si="31"/>
        <v>119.19900000000008</v>
      </c>
      <c r="N231" s="128">
        <f t="shared" ca="1" si="31"/>
        <v>119.19900000000008</v>
      </c>
      <c r="O231" s="128">
        <f t="shared" ca="1" si="31"/>
        <v>119.19900000000008</v>
      </c>
      <c r="P231" s="128">
        <f t="shared" ca="1" si="31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30"/>
        <v>0</v>
      </c>
      <c r="C232" s="128">
        <v>0.3</v>
      </c>
      <c r="D232" s="128">
        <f t="shared" si="31"/>
        <v>0.3</v>
      </c>
      <c r="E232" s="128">
        <f t="shared" si="31"/>
        <v>0.3</v>
      </c>
      <c r="F232" s="128">
        <f t="shared" si="31"/>
        <v>0.3</v>
      </c>
      <c r="G232" s="128">
        <f t="shared" si="31"/>
        <v>0.3</v>
      </c>
      <c r="H232" s="128">
        <f t="shared" si="31"/>
        <v>0.3</v>
      </c>
      <c r="I232" s="128">
        <f t="shared" si="31"/>
        <v>0.3</v>
      </c>
      <c r="J232" s="128">
        <f t="shared" si="31"/>
        <v>0.3</v>
      </c>
      <c r="K232" s="128">
        <f t="shared" si="31"/>
        <v>0.3</v>
      </c>
      <c r="L232" s="128">
        <f t="shared" si="31"/>
        <v>0.3</v>
      </c>
      <c r="M232" s="128">
        <f t="shared" si="31"/>
        <v>0.3</v>
      </c>
      <c r="N232" s="128">
        <f t="shared" si="31"/>
        <v>0.3</v>
      </c>
      <c r="O232" s="128">
        <f t="shared" si="31"/>
        <v>0.3</v>
      </c>
      <c r="P232" s="128">
        <f t="shared" si="31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30"/>
        <v>0</v>
      </c>
      <c r="C233" s="128">
        <v>0.4</v>
      </c>
      <c r="D233" s="128">
        <f t="shared" si="31"/>
        <v>0.4</v>
      </c>
      <c r="E233" s="128">
        <f t="shared" si="31"/>
        <v>0.4</v>
      </c>
      <c r="F233" s="128">
        <f t="shared" si="31"/>
        <v>0.4</v>
      </c>
      <c r="G233" s="128">
        <f t="shared" si="31"/>
        <v>0.4</v>
      </c>
      <c r="H233" s="128">
        <f t="shared" si="31"/>
        <v>0.4</v>
      </c>
      <c r="I233" s="128">
        <f t="shared" si="31"/>
        <v>0.4</v>
      </c>
      <c r="J233" s="128">
        <f t="shared" si="31"/>
        <v>0.4</v>
      </c>
      <c r="K233" s="128">
        <f t="shared" si="31"/>
        <v>0.4</v>
      </c>
      <c r="L233" s="128">
        <f t="shared" si="31"/>
        <v>0.4</v>
      </c>
      <c r="M233" s="128">
        <f t="shared" si="31"/>
        <v>0.4</v>
      </c>
      <c r="N233" s="128">
        <f t="shared" si="31"/>
        <v>0.4</v>
      </c>
      <c r="O233" s="128">
        <f t="shared" si="31"/>
        <v>0.4</v>
      </c>
      <c r="P233" s="128">
        <f t="shared" si="31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30"/>
        <v>0</v>
      </c>
      <c r="C234" s="132">
        <v>0.64</v>
      </c>
      <c r="D234" s="132">
        <f t="shared" si="31"/>
        <v>0.64</v>
      </c>
      <c r="E234" s="132">
        <f t="shared" si="31"/>
        <v>0.64</v>
      </c>
      <c r="F234" s="132">
        <f t="shared" si="31"/>
        <v>0.64</v>
      </c>
      <c r="G234" s="132">
        <f t="shared" si="31"/>
        <v>0.64</v>
      </c>
      <c r="H234" s="132">
        <f t="shared" si="31"/>
        <v>0.64</v>
      </c>
      <c r="I234" s="132">
        <f t="shared" si="31"/>
        <v>0.64</v>
      </c>
      <c r="J234" s="132">
        <f t="shared" si="31"/>
        <v>0.64</v>
      </c>
      <c r="K234" s="132">
        <f t="shared" si="31"/>
        <v>0.64</v>
      </c>
      <c r="L234" s="132">
        <f t="shared" si="31"/>
        <v>0.64</v>
      </c>
      <c r="M234" s="132">
        <f t="shared" si="31"/>
        <v>0.64</v>
      </c>
      <c r="N234" s="132">
        <f t="shared" si="31"/>
        <v>0.64</v>
      </c>
      <c r="O234" s="132">
        <f t="shared" si="31"/>
        <v>0.64</v>
      </c>
      <c r="P234" s="132">
        <f t="shared" si="31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32">SUM(B229:B234)</f>
        <v>0</v>
      </c>
      <c r="C235" s="136">
        <f t="shared" si="32"/>
        <v>3.54</v>
      </c>
      <c r="D235" s="136">
        <f t="shared" si="32"/>
        <v>3.54</v>
      </c>
      <c r="E235" s="136">
        <f t="shared" si="32"/>
        <v>3.54</v>
      </c>
      <c r="F235" s="136">
        <f t="shared" si="32"/>
        <v>3.54</v>
      </c>
      <c r="G235" s="136">
        <f t="shared" si="32"/>
        <v>3.54</v>
      </c>
      <c r="H235" s="136">
        <f t="shared" si="32"/>
        <v>3.54</v>
      </c>
      <c r="I235" s="136">
        <f t="shared" ca="1" si="32"/>
        <v>121.23900000000009</v>
      </c>
      <c r="J235" s="136">
        <f t="shared" ca="1" si="32"/>
        <v>121.23900000000009</v>
      </c>
      <c r="K235" s="136">
        <f t="shared" ca="1" si="32"/>
        <v>121.23900000000009</v>
      </c>
      <c r="L235" s="136">
        <f t="shared" ca="1" si="32"/>
        <v>125.2590000000001</v>
      </c>
      <c r="M235" s="136">
        <f t="shared" ca="1" si="32"/>
        <v>121.23900000000009</v>
      </c>
      <c r="N235" s="136">
        <f t="shared" ca="1" si="32"/>
        <v>121.23900000000009</v>
      </c>
      <c r="O235" s="136">
        <f t="shared" ca="1" si="32"/>
        <v>121.23900000000009</v>
      </c>
      <c r="P235" s="136">
        <f t="shared" ca="1" si="32"/>
        <v>121.23900000000009</v>
      </c>
      <c r="Q235" s="136">
        <f t="shared" si="32"/>
        <v>0</v>
      </c>
      <c r="R235" s="136">
        <f t="shared" si="32"/>
        <v>0</v>
      </c>
      <c r="S235" s="136">
        <f t="shared" si="32"/>
        <v>0</v>
      </c>
      <c r="T235" s="136">
        <f t="shared" si="32"/>
        <v>0</v>
      </c>
      <c r="U235" s="136">
        <f t="shared" si="32"/>
        <v>0</v>
      </c>
      <c r="V235" s="136">
        <f t="shared" si="32"/>
        <v>0</v>
      </c>
      <c r="W235" s="136">
        <f t="shared" si="32"/>
        <v>0</v>
      </c>
      <c r="X235" s="136">
        <f t="shared" si="32"/>
        <v>0</v>
      </c>
      <c r="Y235" s="136">
        <f t="shared" si="32"/>
        <v>0</v>
      </c>
      <c r="Z235" s="136">
        <f t="shared" si="32"/>
        <v>0</v>
      </c>
      <c r="AA235" s="136">
        <f t="shared" si="32"/>
        <v>0</v>
      </c>
      <c r="AB235" s="136">
        <f t="shared" si="32"/>
        <v>0</v>
      </c>
      <c r="AC235" s="136">
        <f t="shared" si="32"/>
        <v>0</v>
      </c>
      <c r="AD235" s="136">
        <f t="shared" si="32"/>
        <v>0</v>
      </c>
      <c r="AE235" s="136">
        <f t="shared" si="32"/>
        <v>0</v>
      </c>
      <c r="AF235" s="136">
        <f t="shared" si="32"/>
        <v>0</v>
      </c>
      <c r="AG235" s="145">
        <f t="shared" si="3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1899.44</v>
      </c>
      <c r="C244" s="161">
        <f>INDEX(G9:N9,1,MATCH(MAX(G91:N91),G91:N91,0))</f>
        <v>0.29166666666666669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13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2080/04/13)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2080/04/13)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33">B91</f>
        <v>1929.1399999999999</v>
      </c>
      <c r="U249" s="170">
        <f t="shared" si="33"/>
        <v>1948.1399999999999</v>
      </c>
      <c r="V249" s="170">
        <f t="shared" si="33"/>
        <v>1943.1399999999999</v>
      </c>
      <c r="W249" s="170">
        <f t="shared" si="33"/>
        <v>1910.2399999999998</v>
      </c>
      <c r="X249" s="170">
        <f t="shared" si="33"/>
        <v>1881.54</v>
      </c>
      <c r="Y249" s="170">
        <f t="shared" si="33"/>
        <v>1884.54</v>
      </c>
      <c r="Z249" s="170">
        <f t="shared" si="33"/>
        <v>1878.54</v>
      </c>
      <c r="AA249" s="170">
        <f t="shared" si="33"/>
        <v>1872.54</v>
      </c>
      <c r="AB249" s="170">
        <f t="shared" si="33"/>
        <v>1895.44</v>
      </c>
      <c r="AC249" s="170">
        <f t="shared" si="33"/>
        <v>1899.44</v>
      </c>
      <c r="AD249" s="170">
        <f t="shared" si="33"/>
        <v>1878.44</v>
      </c>
      <c r="AE249" s="170">
        <f t="shared" si="33"/>
        <v>1894.74</v>
      </c>
      <c r="AF249" s="170">
        <f t="shared" si="33"/>
        <v>3.54</v>
      </c>
      <c r="AG249" s="170">
        <f t="shared" si="33"/>
        <v>1867.94</v>
      </c>
      <c r="AH249" s="170">
        <f t="shared" si="33"/>
        <v>1808.8400000000001</v>
      </c>
      <c r="AI249" s="170">
        <f t="shared" si="33"/>
        <v>1834.5400000000002</v>
      </c>
      <c r="AJ249" s="170">
        <f t="shared" si="33"/>
        <v>1843.24</v>
      </c>
      <c r="AK249" s="170">
        <f t="shared" si="33"/>
        <v>1808.14</v>
      </c>
      <c r="AL249" s="170">
        <f t="shared" si="33"/>
        <v>1794.64</v>
      </c>
      <c r="AM249" s="170">
        <f t="shared" si="33"/>
        <v>1795.2400000000002</v>
      </c>
      <c r="AN249" s="170">
        <f t="shared" si="33"/>
        <v>1808.0400000000002</v>
      </c>
      <c r="AO249" s="170">
        <f t="shared" si="33"/>
        <v>1810.24</v>
      </c>
      <c r="AP249" s="170">
        <f t="shared" si="33"/>
        <v>1805.44</v>
      </c>
      <c r="AQ249" s="170">
        <f t="shared" si="33"/>
        <v>1836.94</v>
      </c>
      <c r="AR249" s="170">
        <f t="shared" si="33"/>
        <v>1876.8400000000001</v>
      </c>
      <c r="AS249" s="170">
        <f t="shared" si="33"/>
        <v>1966.8400000000001</v>
      </c>
      <c r="AT249" s="170">
        <f t="shared" si="33"/>
        <v>1915.94</v>
      </c>
      <c r="AU249" s="170">
        <f t="shared" si="33"/>
        <v>1929.54</v>
      </c>
      <c r="AV249" s="170">
        <f t="shared" si="33"/>
        <v>1922.8400000000001</v>
      </c>
      <c r="AW249" s="170">
        <f t="shared" si="33"/>
        <v>1907.04</v>
      </c>
      <c r="AX249" s="170">
        <f t="shared" si="33"/>
        <v>3.54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34">C234</f>
        <v>0.64</v>
      </c>
      <c r="C270" s="173">
        <f t="shared" si="34"/>
        <v>0.64</v>
      </c>
      <c r="D270" s="173">
        <f t="shared" si="34"/>
        <v>0.64</v>
      </c>
      <c r="E270" s="173">
        <f t="shared" si="34"/>
        <v>0.64</v>
      </c>
      <c r="F270" s="173">
        <f t="shared" si="34"/>
        <v>0.64</v>
      </c>
      <c r="G270" s="173">
        <f t="shared" si="34"/>
        <v>0.64</v>
      </c>
      <c r="H270" s="173">
        <f t="shared" si="34"/>
        <v>0.64</v>
      </c>
      <c r="I270" s="173">
        <f t="shared" si="34"/>
        <v>0.64</v>
      </c>
      <c r="J270" s="173">
        <f t="shared" si="34"/>
        <v>0.64</v>
      </c>
      <c r="K270" s="173">
        <f t="shared" si="34"/>
        <v>0.64</v>
      </c>
      <c r="L270" s="173">
        <f t="shared" si="34"/>
        <v>0.64</v>
      </c>
      <c r="M270" s="173">
        <f t="shared" si="34"/>
        <v>0.64</v>
      </c>
      <c r="N270" s="173">
        <f t="shared" si="34"/>
        <v>0.64</v>
      </c>
      <c r="O270" s="173">
        <f t="shared" si="34"/>
        <v>0.64</v>
      </c>
      <c r="P270" s="173">
        <f t="shared" si="34"/>
        <v>0</v>
      </c>
      <c r="Q270" s="173">
        <f t="shared" si="34"/>
        <v>0</v>
      </c>
      <c r="R270" s="173">
        <f t="shared" si="34"/>
        <v>0</v>
      </c>
      <c r="S270" s="173">
        <f t="shared" si="34"/>
        <v>0</v>
      </c>
      <c r="T270" s="173">
        <f t="shared" si="34"/>
        <v>0</v>
      </c>
      <c r="U270" s="173">
        <f t="shared" si="34"/>
        <v>0</v>
      </c>
      <c r="V270" s="173">
        <f t="shared" si="34"/>
        <v>0</v>
      </c>
      <c r="W270" s="173">
        <f t="shared" si="34"/>
        <v>0</v>
      </c>
      <c r="X270" s="173">
        <f t="shared" si="34"/>
        <v>0</v>
      </c>
      <c r="Y270" s="173">
        <f t="shared" si="34"/>
        <v>0</v>
      </c>
      <c r="Z270" s="173">
        <f t="shared" si="34"/>
        <v>0</v>
      </c>
      <c r="AA270" s="173">
        <f t="shared" si="34"/>
        <v>0</v>
      </c>
      <c r="AB270" s="173">
        <f t="shared" si="34"/>
        <v>0</v>
      </c>
      <c r="AC270" s="173">
        <f t="shared" si="34"/>
        <v>0</v>
      </c>
      <c r="AD270" s="173">
        <f t="shared" si="34"/>
        <v>0</v>
      </c>
      <c r="AE270" s="173">
        <f t="shared" si="34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35">IF(B238&lt;100,"",B238-520)</f>
        <v/>
      </c>
      <c r="C271" s="174" t="str">
        <f t="shared" si="35"/>
        <v/>
      </c>
      <c r="D271" s="174" t="str">
        <f t="shared" si="35"/>
        <v/>
      </c>
      <c r="E271" s="174" t="str">
        <f t="shared" si="35"/>
        <v/>
      </c>
      <c r="F271" s="174" t="str">
        <f t="shared" si="35"/>
        <v/>
      </c>
      <c r="G271" s="174" t="str">
        <f t="shared" si="35"/>
        <v/>
      </c>
      <c r="H271" s="174" t="str">
        <f t="shared" si="35"/>
        <v/>
      </c>
      <c r="I271" s="174" t="str">
        <f t="shared" si="35"/>
        <v/>
      </c>
      <c r="J271" s="174" t="str">
        <f t="shared" si="35"/>
        <v/>
      </c>
      <c r="K271" s="174" t="str">
        <f t="shared" si="35"/>
        <v/>
      </c>
      <c r="L271" s="174" t="str">
        <f t="shared" si="35"/>
        <v/>
      </c>
      <c r="M271" s="174" t="str">
        <f t="shared" si="35"/>
        <v/>
      </c>
      <c r="N271" s="174" t="str">
        <f t="shared" si="35"/>
        <v/>
      </c>
      <c r="O271" s="174" t="str">
        <f t="shared" si="35"/>
        <v/>
      </c>
      <c r="P271" s="174" t="str">
        <f t="shared" si="35"/>
        <v/>
      </c>
      <c r="Q271" s="174" t="str">
        <f t="shared" si="35"/>
        <v/>
      </c>
      <c r="R271" s="174" t="str">
        <f t="shared" si="35"/>
        <v/>
      </c>
      <c r="S271" s="174" t="str">
        <f t="shared" si="35"/>
        <v/>
      </c>
      <c r="T271" s="174" t="str">
        <f t="shared" si="35"/>
        <v/>
      </c>
      <c r="U271" s="174" t="str">
        <f t="shared" si="35"/>
        <v/>
      </c>
      <c r="V271" s="174" t="str">
        <f t="shared" si="35"/>
        <v/>
      </c>
      <c r="W271" s="174" t="str">
        <f t="shared" si="35"/>
        <v/>
      </c>
      <c r="X271" s="174" t="str">
        <f t="shared" si="35"/>
        <v/>
      </c>
      <c r="Y271" s="174" t="str">
        <f t="shared" si="35"/>
        <v/>
      </c>
      <c r="Z271" s="174" t="str">
        <f t="shared" si="35"/>
        <v/>
      </c>
      <c r="AA271" s="174" t="str">
        <f t="shared" si="35"/>
        <v/>
      </c>
      <c r="AB271" s="174" t="str">
        <f t="shared" si="35"/>
        <v/>
      </c>
      <c r="AC271" s="174" t="str">
        <f t="shared" si="35"/>
        <v/>
      </c>
      <c r="AD271" s="174" t="str">
        <f t="shared" si="35"/>
        <v/>
      </c>
      <c r="AE271" s="174" t="str">
        <f t="shared" si="35"/>
        <v/>
      </c>
      <c r="AF271" s="174" t="str">
        <f t="shared" si="35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36">IF(B239&lt;100,"",B239-620)</f>
        <v/>
      </c>
      <c r="C272" s="174" t="str">
        <f t="shared" si="36"/>
        <v/>
      </c>
      <c r="D272" s="174" t="str">
        <f t="shared" si="36"/>
        <v/>
      </c>
      <c r="E272" s="174" t="str">
        <f t="shared" si="36"/>
        <v/>
      </c>
      <c r="F272" s="174" t="str">
        <f t="shared" si="36"/>
        <v/>
      </c>
      <c r="G272" s="174" t="str">
        <f t="shared" si="36"/>
        <v/>
      </c>
      <c r="H272" s="174" t="str">
        <f t="shared" si="36"/>
        <v/>
      </c>
      <c r="I272" s="174" t="str">
        <f t="shared" si="36"/>
        <v/>
      </c>
      <c r="J272" s="174" t="str">
        <f t="shared" si="36"/>
        <v/>
      </c>
      <c r="K272" s="174" t="str">
        <f t="shared" si="36"/>
        <v/>
      </c>
      <c r="L272" s="174" t="str">
        <f t="shared" si="36"/>
        <v/>
      </c>
      <c r="M272" s="174" t="str">
        <f t="shared" si="36"/>
        <v/>
      </c>
      <c r="N272" s="174" t="str">
        <f t="shared" si="36"/>
        <v/>
      </c>
      <c r="O272" s="174" t="str">
        <f t="shared" si="36"/>
        <v/>
      </c>
      <c r="P272" s="174" t="str">
        <f t="shared" si="36"/>
        <v/>
      </c>
      <c r="Q272" s="174" t="str">
        <f t="shared" si="36"/>
        <v/>
      </c>
      <c r="R272" s="174" t="str">
        <f t="shared" si="36"/>
        <v/>
      </c>
      <c r="S272" s="174" t="str">
        <f t="shared" si="36"/>
        <v/>
      </c>
      <c r="T272" s="174" t="str">
        <f t="shared" si="36"/>
        <v/>
      </c>
      <c r="U272" s="174" t="str">
        <f t="shared" si="36"/>
        <v/>
      </c>
      <c r="V272" s="174" t="str">
        <f t="shared" si="36"/>
        <v/>
      </c>
      <c r="W272" s="174" t="str">
        <f t="shared" si="36"/>
        <v/>
      </c>
      <c r="X272" s="174" t="str">
        <f t="shared" si="36"/>
        <v/>
      </c>
      <c r="Y272" s="174" t="str">
        <f t="shared" si="36"/>
        <v/>
      </c>
      <c r="Z272" s="174" t="str">
        <f t="shared" si="36"/>
        <v/>
      </c>
      <c r="AA272" s="174" t="str">
        <f t="shared" si="36"/>
        <v/>
      </c>
      <c r="AB272" s="174" t="str">
        <f t="shared" si="36"/>
        <v/>
      </c>
      <c r="AC272" s="174" t="str">
        <f t="shared" si="36"/>
        <v/>
      </c>
      <c r="AD272" s="174" t="str">
        <f t="shared" si="36"/>
        <v/>
      </c>
      <c r="AE272" s="174" t="str">
        <f t="shared" si="36"/>
        <v/>
      </c>
      <c r="AF272" s="174" t="str">
        <f t="shared" si="36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37">IF(B240&lt;100,"",B240-330)</f>
        <v/>
      </c>
      <c r="C273" s="174" t="str">
        <f t="shared" si="37"/>
        <v/>
      </c>
      <c r="D273" s="174" t="str">
        <f t="shared" si="37"/>
        <v/>
      </c>
      <c r="E273" s="174" t="str">
        <f t="shared" si="37"/>
        <v/>
      </c>
      <c r="F273" s="174" t="str">
        <f t="shared" si="37"/>
        <v/>
      </c>
      <c r="G273" s="174" t="str">
        <f t="shared" si="37"/>
        <v/>
      </c>
      <c r="H273" s="174" t="str">
        <f t="shared" si="37"/>
        <v/>
      </c>
      <c r="I273" s="174" t="str">
        <f t="shared" si="37"/>
        <v/>
      </c>
      <c r="J273" s="174" t="str">
        <f t="shared" si="37"/>
        <v/>
      </c>
      <c r="K273" s="174" t="str">
        <f t="shared" si="37"/>
        <v/>
      </c>
      <c r="L273" s="174" t="str">
        <f t="shared" si="37"/>
        <v/>
      </c>
      <c r="M273" s="174" t="str">
        <f t="shared" si="37"/>
        <v/>
      </c>
      <c r="N273" s="174" t="str">
        <f t="shared" si="37"/>
        <v/>
      </c>
      <c r="O273" s="174" t="str">
        <f t="shared" si="37"/>
        <v/>
      </c>
      <c r="P273" s="174" t="str">
        <f t="shared" si="37"/>
        <v/>
      </c>
      <c r="Q273" s="174" t="str">
        <f t="shared" si="37"/>
        <v/>
      </c>
      <c r="R273" s="174" t="str">
        <f t="shared" si="37"/>
        <v/>
      </c>
      <c r="S273" s="174" t="str">
        <f t="shared" si="37"/>
        <v/>
      </c>
      <c r="T273" s="174" t="str">
        <f t="shared" si="37"/>
        <v/>
      </c>
      <c r="U273" s="174" t="str">
        <f t="shared" si="37"/>
        <v/>
      </c>
      <c r="V273" s="174" t="str">
        <f t="shared" si="37"/>
        <v/>
      </c>
      <c r="W273" s="174" t="str">
        <f t="shared" si="37"/>
        <v/>
      </c>
      <c r="X273" s="174" t="str">
        <f t="shared" si="37"/>
        <v/>
      </c>
      <c r="Y273" s="174" t="str">
        <f t="shared" si="37"/>
        <v/>
      </c>
      <c r="Z273" s="174" t="str">
        <f t="shared" si="37"/>
        <v/>
      </c>
      <c r="AA273" s="174" t="str">
        <f t="shared" si="37"/>
        <v/>
      </c>
      <c r="AB273" s="174" t="str">
        <f t="shared" si="37"/>
        <v/>
      </c>
      <c r="AC273" s="174" t="str">
        <f t="shared" si="37"/>
        <v/>
      </c>
      <c r="AD273" s="174" t="str">
        <f t="shared" si="37"/>
        <v/>
      </c>
      <c r="AE273" s="174" t="str">
        <f t="shared" si="37"/>
        <v/>
      </c>
      <c r="AF273" s="174" t="str">
        <f t="shared" si="37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38">IF(B241&lt;100,"",B241-1500)</f>
        <v/>
      </c>
      <c r="C274" s="174" t="str">
        <f t="shared" si="38"/>
        <v/>
      </c>
      <c r="D274" s="174" t="str">
        <f t="shared" si="38"/>
        <v/>
      </c>
      <c r="E274" s="174" t="str">
        <f t="shared" si="38"/>
        <v/>
      </c>
      <c r="F274" s="174" t="str">
        <f t="shared" si="38"/>
        <v/>
      </c>
      <c r="G274" s="174" t="str">
        <f t="shared" si="38"/>
        <v/>
      </c>
      <c r="H274" s="174" t="str">
        <f t="shared" si="38"/>
        <v/>
      </c>
      <c r="I274" s="174" t="str">
        <f t="shared" si="38"/>
        <v/>
      </c>
      <c r="J274" s="174" t="str">
        <f t="shared" si="38"/>
        <v/>
      </c>
      <c r="K274" s="174" t="str">
        <f t="shared" si="38"/>
        <v/>
      </c>
      <c r="L274" s="174" t="str">
        <f t="shared" si="38"/>
        <v/>
      </c>
      <c r="M274" s="174" t="str">
        <f t="shared" si="38"/>
        <v/>
      </c>
      <c r="N274" s="174" t="str">
        <f t="shared" si="38"/>
        <v/>
      </c>
      <c r="O274" s="174" t="str">
        <f t="shared" si="38"/>
        <v/>
      </c>
      <c r="P274" s="174" t="str">
        <f t="shared" si="38"/>
        <v/>
      </c>
      <c r="Q274" s="174" t="str">
        <f t="shared" si="38"/>
        <v/>
      </c>
      <c r="R274" s="174" t="str">
        <f t="shared" si="38"/>
        <v/>
      </c>
      <c r="S274" s="174" t="str">
        <f t="shared" si="38"/>
        <v/>
      </c>
      <c r="T274" s="174" t="str">
        <f t="shared" si="38"/>
        <v/>
      </c>
      <c r="U274" s="174" t="str">
        <f t="shared" si="38"/>
        <v/>
      </c>
      <c r="V274" s="174" t="str">
        <f t="shared" si="38"/>
        <v/>
      </c>
      <c r="W274" s="174" t="str">
        <f t="shared" si="38"/>
        <v/>
      </c>
      <c r="X274" s="174" t="str">
        <f t="shared" si="38"/>
        <v/>
      </c>
      <c r="Y274" s="174" t="str">
        <f t="shared" si="38"/>
        <v/>
      </c>
      <c r="Z274" s="174" t="str">
        <f t="shared" si="38"/>
        <v/>
      </c>
      <c r="AA274" s="174" t="str">
        <f t="shared" si="38"/>
        <v/>
      </c>
      <c r="AB274" s="174" t="str">
        <f t="shared" si="38"/>
        <v/>
      </c>
      <c r="AC274" s="174" t="str">
        <f t="shared" si="38"/>
        <v/>
      </c>
      <c r="AD274" s="174" t="str">
        <f t="shared" si="38"/>
        <v/>
      </c>
      <c r="AE274" s="174" t="str">
        <f t="shared" si="38"/>
        <v/>
      </c>
      <c r="AF274" s="174" t="str">
        <f t="shared" si="38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1635" priority="64">
      <formula>$AH11=0</formula>
    </cfRule>
  </conditionalFormatting>
  <conditionalFormatting sqref="B8 M8 S8 AB8">
    <cfRule type="expression" dxfId="1634" priority="115">
      <formula>AND(C$9&gt;=14/24,C$9&lt;20/24)</formula>
    </cfRule>
    <cfRule type="expression" dxfId="1633" priority="117">
      <formula>C$9&lt;8/24</formula>
    </cfRule>
    <cfRule type="expression" dxfId="1632" priority="116">
      <formula>AND(C$9&gt;=8/24,C$9&lt;14/24)</formula>
    </cfRule>
  </conditionalFormatting>
  <conditionalFormatting sqref="B54:C54">
    <cfRule type="expression" dxfId="1631" priority="41">
      <formula>B$9&lt;8/24</formula>
    </cfRule>
    <cfRule type="expression" dxfId="1630" priority="38">
      <formula>B$9&gt;=20/24</formula>
    </cfRule>
    <cfRule type="expression" dxfId="1629" priority="39">
      <formula>AND(B$9&gt;=14/24,B$9&lt;20/24)</formula>
    </cfRule>
    <cfRule type="expression" dxfId="1628" priority="40">
      <formula>AND(B$9&gt;=8/24,B$9&lt;14/24)</formula>
    </cfRule>
  </conditionalFormatting>
  <conditionalFormatting sqref="B54:C66">
    <cfRule type="expression" dxfId="1627" priority="33">
      <formula>B54&gt;$AG54</formula>
    </cfRule>
  </conditionalFormatting>
  <conditionalFormatting sqref="B55:U59">
    <cfRule type="expression" dxfId="1626" priority="62">
      <formula>AND(B$9&gt;=8/24,B$9&lt;14/24)</formula>
    </cfRule>
    <cfRule type="expression" dxfId="1625" priority="61">
      <formula>AND(B$9&gt;=14/24,B$9&lt;20/24)</formula>
    </cfRule>
    <cfRule type="expression" dxfId="1624" priority="60">
      <formula>B$9&gt;=20/24</formula>
    </cfRule>
    <cfRule type="expression" dxfId="1623" priority="63">
      <formula>B$9&lt;8/24</formula>
    </cfRule>
  </conditionalFormatting>
  <conditionalFormatting sqref="B60:X60">
    <cfRule type="expression" dxfId="1622" priority="51">
      <formula>B$9&gt;=20/24</formula>
    </cfRule>
    <cfRule type="expression" dxfId="1621" priority="54">
      <formula>B$9&lt;8/24</formula>
    </cfRule>
    <cfRule type="expression" dxfId="1620" priority="53">
      <formula>AND(B$9&gt;=8/24,B$9&lt;14/24)</formula>
    </cfRule>
    <cfRule type="expression" dxfId="1619" priority="52">
      <formula>AND(B$9&gt;=14/24,B$9&lt;20/24)</formula>
    </cfRule>
  </conditionalFormatting>
  <conditionalFormatting sqref="B61:AE66">
    <cfRule type="expression" dxfId="1618" priority="34">
      <formula>B$9&gt;=20/24</formula>
    </cfRule>
    <cfRule type="expression" dxfId="1617" priority="35">
      <formula>AND(B$9&gt;=14/24,B$9&lt;20/24)</formula>
    </cfRule>
    <cfRule type="expression" dxfId="1616" priority="36">
      <formula>AND(B$9&gt;=8/24,B$9&lt;14/24)</formula>
    </cfRule>
    <cfRule type="expression" dxfId="1615" priority="37">
      <formula>B$9&lt;8/24</formula>
    </cfRule>
  </conditionalFormatting>
  <conditionalFormatting sqref="B9:AF45">
    <cfRule type="expression" dxfId="1614" priority="23">
      <formula>B$9&gt;=20/24</formula>
    </cfRule>
    <cfRule type="expression" dxfId="1613" priority="24">
      <formula>AND(B$9&gt;=14/24,B$9&lt;20/24)</formula>
    </cfRule>
    <cfRule type="expression" dxfId="1612" priority="25">
      <formula>AND(B$9&gt;=8/24,B$9&lt;14/24)</formula>
    </cfRule>
    <cfRule type="expression" dxfId="1611" priority="26">
      <formula>B$9&lt;8/24</formula>
    </cfRule>
  </conditionalFormatting>
  <conditionalFormatting sqref="B11:AF46">
    <cfRule type="expression" dxfId="1610" priority="22">
      <formula>B11&gt;$AG11</formula>
    </cfRule>
  </conditionalFormatting>
  <conditionalFormatting sqref="B46:AF46">
    <cfRule type="expression" dxfId="1609" priority="21">
      <formula>B$9&lt;8/24</formula>
    </cfRule>
    <cfRule type="expression" dxfId="1608" priority="20">
      <formula>AND(B$9&gt;=8/24,B$9&lt;14/24)</formula>
    </cfRule>
    <cfRule type="expression" dxfId="1607" priority="18">
      <formula>B$9&gt;=20/24</formula>
    </cfRule>
    <cfRule type="expression" dxfId="1606" priority="19">
      <formula>AND(B$9&gt;=14/24,B$9&lt;20/24)</formula>
    </cfRule>
  </conditionalFormatting>
  <conditionalFormatting sqref="B47:AF47">
    <cfRule type="expression" dxfId="1605" priority="32">
      <formula>B47&gt;$AG47</formula>
    </cfRule>
  </conditionalFormatting>
  <conditionalFormatting sqref="B47:AF49">
    <cfRule type="expression" dxfId="1604" priority="28">
      <formula>B$9&gt;=20/24</formula>
    </cfRule>
    <cfRule type="expression" dxfId="1603" priority="29">
      <formula>AND(B$9&gt;=14/24,B$9&lt;20/24)</formula>
    </cfRule>
    <cfRule type="expression" dxfId="1602" priority="30">
      <formula>AND(B$9&gt;=8/24,B$9&lt;14/24)</formula>
    </cfRule>
    <cfRule type="expression" dxfId="1601" priority="31">
      <formula>B$9&lt;8/24</formula>
    </cfRule>
  </conditionalFormatting>
  <conditionalFormatting sqref="B48:AF53">
    <cfRule type="expression" dxfId="1600" priority="27">
      <formula>B48&gt;$AG48</formula>
    </cfRule>
  </conditionalFormatting>
  <conditionalFormatting sqref="B51:AF53">
    <cfRule type="expression" dxfId="1599" priority="47">
      <formula>B$9&gt;=20/24</formula>
    </cfRule>
    <cfRule type="expression" dxfId="1598" priority="50">
      <formula>B$9&lt;8/24</formula>
    </cfRule>
    <cfRule type="expression" dxfId="1597" priority="49">
      <formula>AND(B$9&gt;=8/24,B$9&lt;14/24)</formula>
    </cfRule>
    <cfRule type="expression" dxfId="1596" priority="48">
      <formula>AND(B$9&gt;=14/24,B$9&lt;20/24)</formula>
    </cfRule>
  </conditionalFormatting>
  <conditionalFormatting sqref="B69:AF71">
    <cfRule type="expression" dxfId="1595" priority="59">
      <formula>B$9&lt;8/24</formula>
    </cfRule>
    <cfRule type="expression" dxfId="1594" priority="55">
      <formula>B69&gt;$AG69</formula>
    </cfRule>
    <cfRule type="expression" dxfId="1593" priority="56">
      <formula>B$9&gt;=20/24</formula>
    </cfRule>
    <cfRule type="expression" dxfId="1592" priority="57">
      <formula>AND(B$9&gt;=14/24,B$9&lt;20/24)</formula>
    </cfRule>
    <cfRule type="expression" dxfId="1591" priority="58">
      <formula>AND(B$9&gt;=8/24,B$9&lt;14/24)</formula>
    </cfRule>
  </conditionalFormatting>
  <conditionalFormatting sqref="B73:AF91">
    <cfRule type="expression" dxfId="1590" priority="3">
      <formula>AND(B$9&gt;=8/24,B$9&lt;14/24)</formula>
    </cfRule>
    <cfRule type="expression" dxfId="1589" priority="4">
      <formula>B$9&lt;8/24</formula>
    </cfRule>
    <cfRule type="expression" dxfId="1588" priority="2">
      <formula>AND(B$9&gt;=14/24,B$9&lt;20/24)</formula>
    </cfRule>
    <cfRule type="expression" dxfId="1587" priority="1">
      <formula>B$9&gt;=20/24</formula>
    </cfRule>
  </conditionalFormatting>
  <conditionalFormatting sqref="B111:AF120">
    <cfRule type="expression" dxfId="1586" priority="17">
      <formula>B$9&lt;8/24</formula>
    </cfRule>
    <cfRule type="expression" dxfId="1585" priority="14">
      <formula>B$9&gt;=20/24</formula>
    </cfRule>
    <cfRule type="expression" dxfId="1584" priority="15">
      <formula>AND(B$9&gt;=14/24,B$9&lt;20/24)</formula>
    </cfRule>
    <cfRule type="expression" dxfId="1583" priority="16">
      <formula>AND(B$9&gt;=8/24,B$9&lt;14/24)</formula>
    </cfRule>
  </conditionalFormatting>
  <conditionalFormatting sqref="B227:AF227 D229:AF230 B229:B235 D231:H231 J231:AF231 D232:AF235 U248:AF248">
    <cfRule type="expression" dxfId="1582" priority="111">
      <formula>B$9&lt;8/24</formula>
    </cfRule>
    <cfRule type="expression" dxfId="1581" priority="110">
      <formula>AND(B$9&gt;=8/24,B$9&lt;14/24)</formula>
    </cfRule>
    <cfRule type="expression" dxfId="1580" priority="108">
      <formula>B$9&gt;=20/24</formula>
    </cfRule>
    <cfRule type="expression" dxfId="1579" priority="109">
      <formula>AND(B$9&gt;=14/24,B$9&lt;20/24)</formula>
    </cfRule>
  </conditionalFormatting>
  <conditionalFormatting sqref="B67:AG68 B72:AG72">
    <cfRule type="expression" dxfId="1578" priority="42">
      <formula>B67&gt;$AG67</formula>
    </cfRule>
  </conditionalFormatting>
  <conditionalFormatting sqref="B72:AG72 B93:AF109">
    <cfRule type="expression" dxfId="1577" priority="44">
      <formula>AND(B$9&gt;=14/24,B$9&lt;20/24)</formula>
    </cfRule>
    <cfRule type="expression" dxfId="1576" priority="43">
      <formula>B$9&gt;=20/24</formula>
    </cfRule>
    <cfRule type="expression" dxfId="1575" priority="46">
      <formula>B$9&lt;8/24</formula>
    </cfRule>
    <cfRule type="expression" dxfId="1574" priority="45">
      <formula>AND(B$9&gt;=8/24,B$9&lt;14/24)</formula>
    </cfRule>
  </conditionalFormatting>
  <conditionalFormatting sqref="D55:AF66">
    <cfRule type="expression" dxfId="1573" priority="5">
      <formula>D55&gt;$AG55</formula>
    </cfRule>
  </conditionalFormatting>
  <conditionalFormatting sqref="D54:AG54">
    <cfRule type="expression" dxfId="1572" priority="80">
      <formula>D$9&lt;8/24</formula>
    </cfRule>
    <cfRule type="expression" dxfId="1571" priority="76">
      <formula>D54&gt;$AG54</formula>
    </cfRule>
    <cfRule type="expression" dxfId="1570" priority="77">
      <formula>D$9&gt;=20/24</formula>
    </cfRule>
    <cfRule type="expression" dxfId="1569" priority="78">
      <formula>AND(D$9&gt;=14/24,D$9&lt;20/24)</formula>
    </cfRule>
    <cfRule type="expression" dxfId="1568" priority="79">
      <formula>AND(D$9&gt;=8/24,D$9&lt;14/24)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567" priority="114">
      <formula>C$9&gt;=20/24</formula>
    </cfRule>
  </conditionalFormatting>
  <conditionalFormatting sqref="S8">
    <cfRule type="expression" dxfId="1566" priority="101">
      <formula>U$9&gt;=20/24</formula>
    </cfRule>
    <cfRule type="expression" dxfId="1565" priority="102">
      <formula>AND(U$9&gt;=14/24,U$9&lt;20/24)</formula>
    </cfRule>
    <cfRule type="expression" dxfId="1564" priority="103">
      <formula>AND(U$9&gt;=8/24,U$9&lt;14/24)</formula>
    </cfRule>
    <cfRule type="expression" dxfId="1563" priority="104">
      <formula>U$9&lt;8/24</formula>
    </cfRule>
  </conditionalFormatting>
  <conditionalFormatting sqref="S55:AF60">
    <cfRule type="expression" dxfId="1562" priority="13">
      <formula>S$9&lt;8/24</formula>
    </cfRule>
    <cfRule type="expression" dxfId="1561" priority="11">
      <formula>AND(S$9&gt;=14/24,S$9&lt;20/24)</formula>
    </cfRule>
    <cfRule type="expression" dxfId="1560" priority="12">
      <formula>AND(S$9&gt;=8/24,S$9&lt;14/24)</formula>
    </cfRule>
    <cfRule type="expression" dxfId="1559" priority="10">
      <formula>S$9&gt;=20/24</formula>
    </cfRule>
  </conditionalFormatting>
  <conditionalFormatting sqref="T248">
    <cfRule type="expression" dxfId="1558" priority="129">
      <formula>AX$9&lt;8/24</formula>
    </cfRule>
    <cfRule type="expression" dxfId="1557" priority="126">
      <formula>AX$9&gt;=20/24</formula>
    </cfRule>
    <cfRule type="expression" dxfId="1556" priority="127">
      <formula>AND(AX$9&gt;=14/24,AX$9&lt;20/24)</formula>
    </cfRule>
    <cfRule type="expression" dxfId="1555" priority="128">
      <formula>AND(AX$9&gt;=8/24,AX$9&lt;14/24)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V59:X59">
    <cfRule type="expression" dxfId="1554" priority="93">
      <formula>V$9&gt;=20/24</formula>
    </cfRule>
    <cfRule type="expression" dxfId="1553" priority="95">
      <formula>AND(V$9&gt;=8/24,V$9&lt;14/24)</formula>
    </cfRule>
    <cfRule type="expression" dxfId="1552" priority="96">
      <formula>V$9&lt;8/24</formula>
    </cfRule>
    <cfRule type="expression" dxfId="1551" priority="94">
      <formula>AND(V$9&gt;=14/24,V$9&lt;20/24)</formula>
    </cfRule>
  </conditionalFormatting>
  <conditionalFormatting sqref="AB8">
    <cfRule type="expression" dxfId="1550" priority="97">
      <formula>AD$9&gt;=20/24</formula>
    </cfRule>
    <cfRule type="expression" dxfId="1549" priority="98">
      <formula>AND(AD$9&gt;=14/24,AD$9&lt;20/24)</formula>
    </cfRule>
    <cfRule type="expression" dxfId="1548" priority="99">
      <formula>AND(AD$9&gt;=8/24,AD$9&lt;14/24)</formula>
    </cfRule>
    <cfRule type="expression" dxfId="1547" priority="100">
      <formula>AD$9&lt;8/24</formula>
    </cfRule>
  </conditionalFormatting>
  <conditionalFormatting sqref="AF61:AF66">
    <cfRule type="expression" dxfId="1546" priority="6">
      <formula>AF$9&gt;=20/24</formula>
    </cfRule>
    <cfRule type="expression" dxfId="1545" priority="9">
      <formula>AF$9&lt;8/24</formula>
    </cfRule>
    <cfRule type="expression" dxfId="1544" priority="8">
      <formula>AND(AF$9&gt;=8/24,AF$9&lt;14/24)</formula>
    </cfRule>
    <cfRule type="expression" dxfId="1543" priority="7">
      <formula>AND(AF$9&gt;=14/24,AF$9&lt;20/24)</formula>
    </cfRule>
  </conditionalFormatting>
  <conditionalFormatting sqref="AG50">
    <cfRule type="expression" dxfId="1542" priority="84">
      <formula>AG50&gt;$AG50</formula>
    </cfRule>
  </conditionalFormatting>
  <conditionalFormatting sqref="AG89">
    <cfRule type="expression" dxfId="1541" priority="85">
      <formula>AG$9&gt;=20/24</formula>
    </cfRule>
    <cfRule type="expression" dxfId="1540" priority="86">
      <formula>AND(AG$9&gt;=14/24,AG$9&lt;20/24)</formula>
    </cfRule>
    <cfRule type="expression" dxfId="1539" priority="87">
      <formula>AND(AG$9&gt;=8/24,AG$9&lt;14/24)</formula>
    </cfRule>
    <cfRule type="expression" dxfId="1538" priority="88">
      <formula>AG$9&lt;8/24</formula>
    </cfRule>
  </conditionalFormatting>
  <conditionalFormatting sqref="AG248">
    <cfRule type="expression" dxfId="1537" priority="118">
      <formula>B$9&gt;=20/24</formula>
    </cfRule>
    <cfRule type="expression" dxfId="1536" priority="119">
      <formula>AND(B$9&gt;=14/24,B$9&lt;20/24)</formula>
    </cfRule>
    <cfRule type="expression" dxfId="1535" priority="120">
      <formula>AND(B$9&gt;=8/24,B$9&lt;14/24)</formula>
    </cfRule>
    <cfRule type="expression" dxfId="1534" priority="121">
      <formula>B$9&lt;8/24</formula>
    </cfRule>
  </conditionalFormatting>
  <conditionalFormatting sqref="AH248:AX248">
    <cfRule type="expression" dxfId="1533" priority="122">
      <formula>AG$9&gt;=20/24</formula>
    </cfRule>
    <cfRule type="expression" dxfId="1532" priority="123">
      <formula>AND(AG$9&gt;=14/24,AG$9&lt;20/24)</formula>
    </cfRule>
    <cfRule type="expression" dxfId="1531" priority="124">
      <formula>AND(AG$9&gt;=8/24,AG$9&lt;14/24)</formula>
    </cfRule>
    <cfRule type="expression" dxfId="1530" priority="125">
      <formula>AG$9&lt;8/24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529" priority="131">
      <formula>AJ$9&gt;=20/24</formula>
    </cfRule>
    <cfRule type="expression" dxfId="1528" priority="132">
      <formula>AND(AJ$9&gt;=14/24,AJ$9&lt;20/24)</formula>
    </cfRule>
    <cfRule type="expression" dxfId="1527" priority="133">
      <formula>AND(AJ$9&gt;=8/24,AJ$9&lt;14/24)</formula>
    </cfRule>
    <cfRule type="expression" dxfId="1526" priority="134">
      <formula>AJ$9&lt;8/24</formula>
    </cfRule>
  </conditionalFormatting>
  <conditionalFormatting sqref="AL80:AN80 AL86:AN86">
    <cfRule type="expression" dxfId="1525" priority="72">
      <formula>AL$9&gt;=20/24</formula>
    </cfRule>
    <cfRule type="expression" dxfId="1524" priority="73">
      <formula>AND(AL$9&gt;=14/24,AL$9&lt;20/24)</formula>
    </cfRule>
    <cfRule type="expression" dxfId="1523" priority="74">
      <formula>AND(AL$9&gt;=8/24,AL$9&lt;14/24)</formula>
    </cfRule>
    <cfRule type="expression" dxfId="1522" priority="75">
      <formula>AL$9&lt;8/24</formula>
    </cfRule>
  </conditionalFormatting>
  <conditionalFormatting sqref="AN81:AN84">
    <cfRule type="expression" dxfId="1521" priority="68">
      <formula>AN$9&gt;=20/24</formula>
    </cfRule>
    <cfRule type="expression" dxfId="1520" priority="69">
      <formula>AND(AN$9&gt;=14/24,AN$9&lt;20/24)</formula>
    </cfRule>
    <cfRule type="expression" dxfId="1519" priority="70">
      <formula>AND(AN$9&gt;=8/24,AN$9&lt;14/24)</formula>
    </cfRule>
    <cfRule type="expression" dxfId="1518" priority="71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B32B-6910-4BBF-9059-101773FDB337}">
  <dimension ref="A1:CJ281"/>
  <sheetViews>
    <sheetView zoomScale="110" zoomScaleNormal="110" workbookViewId="0">
      <pane xSplit="1" ySplit="10" topLeftCell="L112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L125" sqref="AL12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2080/04/14</v>
      </c>
      <c r="C4" s="203"/>
      <c r="D4" s="203"/>
      <c r="E4" s="204" t="str">
        <f ca="1">"2079/"&amp;"12/"&amp;INT(MID(CELL("filename",G6),FIND("]",CELL("filename",G6))+1,200))</f>
        <v>2079/12/14</v>
      </c>
      <c r="F4" s="204"/>
      <c r="G4" s="204"/>
      <c r="H4" s="204" t="str">
        <f ca="1">TEXT(E4,"dddd")</f>
        <v>Thursday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17</v>
      </c>
      <c r="C5" s="30">
        <f t="shared" si="0"/>
        <v>20</v>
      </c>
      <c r="D5" s="30">
        <f t="shared" si="0"/>
        <v>7.9</v>
      </c>
      <c r="E5" s="30">
        <f t="shared" si="0"/>
        <v>13.9</v>
      </c>
      <c r="F5" s="30">
        <f t="shared" si="0"/>
        <v>8.9</v>
      </c>
      <c r="G5" s="30">
        <f t="shared" si="0"/>
        <v>8.9</v>
      </c>
      <c r="H5" s="30">
        <f t="shared" si="0"/>
        <v>16</v>
      </c>
      <c r="I5" s="30">
        <f t="shared" si="0"/>
        <v>24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62.8</v>
      </c>
      <c r="Q5" s="30">
        <f t="shared" si="0"/>
        <v>62.8</v>
      </c>
      <c r="R5" s="30">
        <f t="shared" si="0"/>
        <v>44.6</v>
      </c>
      <c r="S5" s="30">
        <f t="shared" si="0"/>
        <v>50.6</v>
      </c>
      <c r="T5" s="30">
        <f t="shared" si="0"/>
        <v>44.1</v>
      </c>
      <c r="U5" s="30">
        <f t="shared" si="0"/>
        <v>40.799999999999997</v>
      </c>
      <c r="V5" s="30">
        <f t="shared" si="0"/>
        <v>25.2</v>
      </c>
      <c r="W5" s="30">
        <f t="shared" si="0"/>
        <v>26.5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3.1</v>
      </c>
      <c r="AC5" s="30">
        <f t="shared" si="0"/>
        <v>8</v>
      </c>
      <c r="AD5" s="30">
        <f t="shared" si="0"/>
        <v>9.6</v>
      </c>
      <c r="AE5" s="30">
        <f t="shared" si="0"/>
        <v>0</v>
      </c>
      <c r="AF5" s="30">
        <f>B84</f>
        <v>26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1848MW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1853.0400000000002</v>
      </c>
      <c r="C7" s="35">
        <f t="shared" si="1"/>
        <v>1822.3400000000001</v>
      </c>
      <c r="D7" s="35">
        <f t="shared" si="1"/>
        <v>1838.54</v>
      </c>
      <c r="E7" s="35">
        <f t="shared" si="1"/>
        <v>1775.94</v>
      </c>
      <c r="F7" s="35">
        <f t="shared" si="1"/>
        <v>1783.44</v>
      </c>
      <c r="G7" s="35">
        <f t="shared" si="1"/>
        <v>1816.44</v>
      </c>
      <c r="H7" s="35">
        <f t="shared" si="1"/>
        <v>1782.44</v>
      </c>
      <c r="I7" s="35">
        <f t="shared" si="1"/>
        <v>1729.54</v>
      </c>
      <c r="J7" s="35">
        <f t="shared" si="1"/>
        <v>1682.94</v>
      </c>
      <c r="K7" s="35">
        <f t="shared" si="1"/>
        <v>1847.64</v>
      </c>
      <c r="L7" s="35">
        <f t="shared" si="1"/>
        <v>1847.64</v>
      </c>
      <c r="M7" s="35">
        <f t="shared" si="1"/>
        <v>1814.8400000000001</v>
      </c>
      <c r="N7" s="35">
        <f>N91</f>
        <v>1752.64</v>
      </c>
      <c r="O7" s="35">
        <f t="shared" si="1"/>
        <v>3.54</v>
      </c>
      <c r="P7" s="35">
        <f t="shared" si="1"/>
        <v>1734.54</v>
      </c>
      <c r="Q7" s="35">
        <f t="shared" si="1"/>
        <v>1935.44</v>
      </c>
      <c r="R7" s="35">
        <f t="shared" si="1"/>
        <v>1929.24</v>
      </c>
      <c r="S7" s="35">
        <f t="shared" si="1"/>
        <v>1901.8400000000001</v>
      </c>
      <c r="T7" s="35">
        <f t="shared" si="1"/>
        <v>1951.8400000000001</v>
      </c>
      <c r="U7" s="35">
        <f t="shared" si="1"/>
        <v>1968.64</v>
      </c>
      <c r="V7" s="35">
        <f t="shared" si="1"/>
        <v>1945.44</v>
      </c>
      <c r="W7" s="35">
        <f t="shared" si="1"/>
        <v>1932.7400000000002</v>
      </c>
      <c r="X7" s="35">
        <f t="shared" si="1"/>
        <v>1952.7400000000002</v>
      </c>
      <c r="Y7" s="35">
        <f t="shared" si="1"/>
        <v>1917.3400000000001</v>
      </c>
      <c r="Z7" s="35">
        <f t="shared" si="1"/>
        <v>1944.84</v>
      </c>
      <c r="AA7" s="35">
        <f t="shared" si="1"/>
        <v>2060.2399999999998</v>
      </c>
      <c r="AB7" s="35">
        <f t="shared" si="1"/>
        <v>2074.62</v>
      </c>
      <c r="AC7" s="35">
        <f t="shared" si="1"/>
        <v>2071.2200000000003</v>
      </c>
      <c r="AD7" s="35">
        <f t="shared" si="1"/>
        <v>2050.1200000000003</v>
      </c>
      <c r="AE7" s="35">
        <f t="shared" si="1"/>
        <v>2052.1200000000003</v>
      </c>
      <c r="AF7" s="35">
        <f t="shared" si="1"/>
        <v>1999.7200000000003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87.1</v>
      </c>
      <c r="C11" s="45">
        <v>87</v>
      </c>
      <c r="D11" s="45">
        <v>87</v>
      </c>
      <c r="E11" s="45">
        <v>87</v>
      </c>
      <c r="F11" s="45">
        <v>87</v>
      </c>
      <c r="G11" s="45">
        <v>87</v>
      </c>
      <c r="H11" s="45">
        <v>87</v>
      </c>
      <c r="I11" s="45">
        <v>87</v>
      </c>
      <c r="J11" s="45">
        <v>87</v>
      </c>
      <c r="K11" s="45">
        <v>87</v>
      </c>
      <c r="L11" s="45">
        <v>87</v>
      </c>
      <c r="M11" s="45">
        <v>87</v>
      </c>
      <c r="N11" s="45">
        <v>87</v>
      </c>
      <c r="O11" s="45"/>
      <c r="P11" s="45">
        <v>60.6</v>
      </c>
      <c r="Q11" s="45">
        <v>60.6</v>
      </c>
      <c r="R11" s="45">
        <v>60.6</v>
      </c>
      <c r="S11" s="45">
        <v>90</v>
      </c>
      <c r="T11" s="45">
        <v>90</v>
      </c>
      <c r="U11" s="45">
        <v>90</v>
      </c>
      <c r="V11" s="45">
        <v>90.1</v>
      </c>
      <c r="W11" s="45">
        <v>90</v>
      </c>
      <c r="X11" s="45">
        <v>90</v>
      </c>
      <c r="Y11" s="45">
        <v>90</v>
      </c>
      <c r="Z11" s="45">
        <v>90</v>
      </c>
      <c r="AA11" s="45">
        <v>90</v>
      </c>
      <c r="AB11" s="45">
        <v>90</v>
      </c>
      <c r="AC11" s="45">
        <v>90</v>
      </c>
      <c r="AD11" s="45">
        <v>90</v>
      </c>
      <c r="AE11" s="45">
        <v>90</v>
      </c>
      <c r="AF11" s="45">
        <v>90</v>
      </c>
      <c r="AG11" s="46">
        <v>86</v>
      </c>
      <c r="AH11" s="47">
        <f t="shared" ref="AH11:AH76" si="2">MAX(B11:AF11)</f>
        <v>90.1</v>
      </c>
      <c r="AI11" s="48">
        <f t="shared" ref="AI11:AI76" si="3">MIN(B11:AF11)</f>
        <v>60.6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27</v>
      </c>
      <c r="C12" s="45">
        <v>27</v>
      </c>
      <c r="D12" s="45">
        <v>27</v>
      </c>
      <c r="E12" s="45">
        <v>26</v>
      </c>
      <c r="F12" s="45">
        <v>26</v>
      </c>
      <c r="G12" s="45">
        <v>26</v>
      </c>
      <c r="H12" s="45">
        <v>26</v>
      </c>
      <c r="I12" s="45">
        <v>26</v>
      </c>
      <c r="J12" s="45">
        <v>26</v>
      </c>
      <c r="K12" s="45">
        <v>26</v>
      </c>
      <c r="L12" s="45">
        <v>26</v>
      </c>
      <c r="M12" s="45">
        <v>26</v>
      </c>
      <c r="N12" s="45">
        <v>26</v>
      </c>
      <c r="O12" s="45"/>
      <c r="P12" s="45">
        <v>26</v>
      </c>
      <c r="Q12" s="45">
        <v>26</v>
      </c>
      <c r="R12" s="45">
        <v>26</v>
      </c>
      <c r="S12" s="45">
        <v>27</v>
      </c>
      <c r="T12" s="45">
        <v>26</v>
      </c>
      <c r="U12" s="45">
        <v>26</v>
      </c>
      <c r="V12" s="45">
        <v>20</v>
      </c>
      <c r="W12" s="45">
        <v>13</v>
      </c>
      <c r="X12" s="45">
        <v>13</v>
      </c>
      <c r="Y12" s="45">
        <v>20</v>
      </c>
      <c r="Z12" s="45">
        <v>20</v>
      </c>
      <c r="AA12" s="45">
        <v>26</v>
      </c>
      <c r="AB12" s="45">
        <v>26</v>
      </c>
      <c r="AC12" s="45">
        <v>26</v>
      </c>
      <c r="AD12" s="45">
        <v>26</v>
      </c>
      <c r="AE12" s="45">
        <v>26</v>
      </c>
      <c r="AF12" s="45">
        <v>26</v>
      </c>
      <c r="AG12" s="49">
        <v>54</v>
      </c>
      <c r="AH12" s="47">
        <f t="shared" si="2"/>
        <v>27</v>
      </c>
      <c r="AI12" s="48">
        <f t="shared" si="3"/>
        <v>13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54.9</v>
      </c>
      <c r="D13" s="45">
        <v>54.9</v>
      </c>
      <c r="E13" s="45">
        <v>54.9</v>
      </c>
      <c r="F13" s="45">
        <v>54.9</v>
      </c>
      <c r="G13" s="45">
        <v>54.9</v>
      </c>
      <c r="H13" s="45">
        <v>54.9</v>
      </c>
      <c r="I13" s="45">
        <v>54.9</v>
      </c>
      <c r="J13" s="45">
        <v>54.9</v>
      </c>
      <c r="K13" s="45">
        <v>54.9</v>
      </c>
      <c r="L13" s="45">
        <v>54.9</v>
      </c>
      <c r="M13" s="45">
        <v>54.9</v>
      </c>
      <c r="N13" s="45">
        <v>54.9</v>
      </c>
      <c r="O13" s="45"/>
      <c r="P13" s="45">
        <v>54.9</v>
      </c>
      <c r="Q13" s="45">
        <v>54.9</v>
      </c>
      <c r="R13" s="45">
        <v>54.9</v>
      </c>
      <c r="S13" s="45">
        <v>54.9</v>
      </c>
      <c r="T13" s="45">
        <v>54.8</v>
      </c>
      <c r="U13" s="45">
        <v>54.8</v>
      </c>
      <c r="V13" s="45">
        <v>55.1</v>
      </c>
      <c r="W13" s="45">
        <v>55</v>
      </c>
      <c r="X13" s="45">
        <v>55</v>
      </c>
      <c r="Y13" s="45">
        <v>55</v>
      </c>
      <c r="Z13" s="45">
        <v>55</v>
      </c>
      <c r="AA13" s="45">
        <v>55</v>
      </c>
      <c r="AB13" s="45">
        <v>55</v>
      </c>
      <c r="AC13" s="45">
        <v>55</v>
      </c>
      <c r="AD13" s="45">
        <v>55</v>
      </c>
      <c r="AE13" s="45">
        <v>55</v>
      </c>
      <c r="AF13" s="45">
        <v>55</v>
      </c>
      <c r="AG13" s="46">
        <v>52.4</v>
      </c>
      <c r="AH13" s="47">
        <f t="shared" si="2"/>
        <v>55.1</v>
      </c>
      <c r="AI13" s="48">
        <f t="shared" si="3"/>
        <v>54.8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50.5</v>
      </c>
      <c r="C14" s="58">
        <v>50.5</v>
      </c>
      <c r="D14" s="58">
        <v>50.3</v>
      </c>
      <c r="E14" s="58">
        <v>50.3</v>
      </c>
      <c r="F14" s="58">
        <v>50.3</v>
      </c>
      <c r="G14" s="58">
        <v>50.3</v>
      </c>
      <c r="H14" s="58">
        <v>50.3</v>
      </c>
      <c r="I14" s="58">
        <v>50.3</v>
      </c>
      <c r="J14" s="58">
        <v>50.3</v>
      </c>
      <c r="K14" s="58">
        <v>50.3</v>
      </c>
      <c r="L14" s="58">
        <v>50.3</v>
      </c>
      <c r="M14" s="58">
        <v>50.3</v>
      </c>
      <c r="N14" s="58">
        <v>50.3</v>
      </c>
      <c r="O14" s="58"/>
      <c r="P14" s="58">
        <v>50.3</v>
      </c>
      <c r="Q14" s="58">
        <v>50.3</v>
      </c>
      <c r="R14" s="58">
        <v>50.3</v>
      </c>
      <c r="S14" s="58">
        <v>0</v>
      </c>
      <c r="T14" s="58">
        <v>0</v>
      </c>
      <c r="U14" s="58">
        <v>0</v>
      </c>
      <c r="V14" s="58">
        <v>26.3</v>
      </c>
      <c r="W14" s="58">
        <v>50.3</v>
      </c>
      <c r="X14" s="58">
        <v>50.3</v>
      </c>
      <c r="Y14" s="58">
        <v>50.4</v>
      </c>
      <c r="Z14" s="58">
        <v>50.4</v>
      </c>
      <c r="AA14" s="58">
        <v>50.4</v>
      </c>
      <c r="AB14" s="58">
        <v>50.2</v>
      </c>
      <c r="AC14" s="58">
        <v>50.2</v>
      </c>
      <c r="AD14" s="58">
        <v>50.2</v>
      </c>
      <c r="AE14" s="58">
        <v>50.2</v>
      </c>
      <c r="AF14" s="58">
        <v>50.2</v>
      </c>
      <c r="AG14" s="49">
        <v>50</v>
      </c>
      <c r="AH14" s="47">
        <f t="shared" si="2"/>
        <v>50.5</v>
      </c>
      <c r="AI14" s="48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46.2</v>
      </c>
      <c r="C15" s="45">
        <v>46.3</v>
      </c>
      <c r="D15" s="45">
        <v>46.3</v>
      </c>
      <c r="E15" s="45">
        <v>46.3</v>
      </c>
      <c r="F15" s="45">
        <v>46.3</v>
      </c>
      <c r="G15" s="45">
        <v>46.3</v>
      </c>
      <c r="H15" s="45">
        <v>46.3</v>
      </c>
      <c r="I15" s="45">
        <v>46.3</v>
      </c>
      <c r="J15" s="45">
        <v>46.3</v>
      </c>
      <c r="K15" s="45">
        <v>46.3</v>
      </c>
      <c r="L15" s="45">
        <v>46.3</v>
      </c>
      <c r="M15" s="45">
        <v>46.3</v>
      </c>
      <c r="N15" s="45">
        <v>46.3</v>
      </c>
      <c r="O15" s="45"/>
      <c r="P15" s="45">
        <v>46.3</v>
      </c>
      <c r="Q15" s="45">
        <v>46.3</v>
      </c>
      <c r="R15" s="45">
        <v>46.3</v>
      </c>
      <c r="S15" s="45">
        <v>46.3</v>
      </c>
      <c r="T15" s="45">
        <v>46.3</v>
      </c>
      <c r="U15" s="45">
        <v>46.3</v>
      </c>
      <c r="V15" s="45">
        <v>46.2</v>
      </c>
      <c r="W15" s="45">
        <v>46.3</v>
      </c>
      <c r="X15" s="45">
        <v>46.3</v>
      </c>
      <c r="Y15" s="45">
        <v>46.3</v>
      </c>
      <c r="Z15" s="45">
        <v>46.3</v>
      </c>
      <c r="AA15" s="45">
        <v>46.3</v>
      </c>
      <c r="AB15" s="45">
        <v>46.1</v>
      </c>
      <c r="AC15" s="45">
        <v>46.1</v>
      </c>
      <c r="AD15" s="45">
        <v>46.1</v>
      </c>
      <c r="AE15" s="45">
        <v>46.1</v>
      </c>
      <c r="AF15" s="45">
        <v>46.1</v>
      </c>
      <c r="AG15" s="49">
        <v>45</v>
      </c>
      <c r="AH15" s="47">
        <f t="shared" si="2"/>
        <v>46.3</v>
      </c>
      <c r="AI15" s="48">
        <f t="shared" si="3"/>
        <v>46.1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15</v>
      </c>
      <c r="K16" s="45">
        <v>30</v>
      </c>
      <c r="L16" s="45">
        <v>30</v>
      </c>
      <c r="M16" s="45">
        <v>30</v>
      </c>
      <c r="N16" s="45">
        <v>30</v>
      </c>
      <c r="O16" s="45"/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7</v>
      </c>
      <c r="G17" s="45">
        <v>14</v>
      </c>
      <c r="H17" s="45">
        <v>14</v>
      </c>
      <c r="I17" s="45">
        <v>14</v>
      </c>
      <c r="J17" s="45">
        <v>11</v>
      </c>
      <c r="K17" s="45">
        <v>11</v>
      </c>
      <c r="L17" s="45">
        <v>11</v>
      </c>
      <c r="M17" s="45">
        <v>11</v>
      </c>
      <c r="N17" s="45">
        <v>11</v>
      </c>
      <c r="O17" s="45"/>
      <c r="P17" s="45">
        <v>36</v>
      </c>
      <c r="Q17" s="45">
        <v>36</v>
      </c>
      <c r="R17" s="45">
        <v>36</v>
      </c>
      <c r="S17" s="45">
        <v>0</v>
      </c>
      <c r="T17" s="45">
        <v>29</v>
      </c>
      <c r="U17" s="45">
        <v>29</v>
      </c>
      <c r="V17" s="45">
        <v>0</v>
      </c>
      <c r="W17" s="45">
        <v>0</v>
      </c>
      <c r="X17" s="45">
        <v>0</v>
      </c>
      <c r="Y17" s="45">
        <v>0</v>
      </c>
      <c r="Z17" s="45">
        <v>28.3</v>
      </c>
      <c r="AA17" s="45">
        <v>28.3</v>
      </c>
      <c r="AB17" s="45">
        <v>37</v>
      </c>
      <c r="AC17" s="45">
        <v>31</v>
      </c>
      <c r="AD17" s="45">
        <v>31</v>
      </c>
      <c r="AE17" s="45">
        <v>31</v>
      </c>
      <c r="AF17" s="45">
        <v>29</v>
      </c>
      <c r="AG17" s="49">
        <v>42</v>
      </c>
      <c r="AH17" s="47">
        <f t="shared" si="2"/>
        <v>37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/>
      <c r="P18" s="45">
        <v>0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0</v>
      </c>
      <c r="F19" s="45">
        <v>0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/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20.399999999999999</v>
      </c>
      <c r="D20" s="45">
        <v>30</v>
      </c>
      <c r="E20" s="45">
        <v>20</v>
      </c>
      <c r="F20" s="45">
        <v>20</v>
      </c>
      <c r="G20" s="45">
        <v>15</v>
      </c>
      <c r="H20" s="45">
        <v>15</v>
      </c>
      <c r="I20" s="45">
        <v>15</v>
      </c>
      <c r="J20" s="45">
        <v>15</v>
      </c>
      <c r="K20" s="45">
        <v>30</v>
      </c>
      <c r="L20" s="45">
        <v>30</v>
      </c>
      <c r="M20" s="45">
        <v>30</v>
      </c>
      <c r="N20" s="45">
        <v>30</v>
      </c>
      <c r="O20" s="45"/>
      <c r="P20" s="45">
        <v>21.2</v>
      </c>
      <c r="Q20" s="45">
        <v>21.2</v>
      </c>
      <c r="R20" s="45">
        <v>15</v>
      </c>
      <c r="S20" s="45">
        <v>30</v>
      </c>
      <c r="T20" s="45">
        <v>30.1</v>
      </c>
      <c r="U20" s="45">
        <v>30.1</v>
      </c>
      <c r="V20" s="45">
        <v>30.1</v>
      </c>
      <c r="W20" s="45">
        <v>30.1</v>
      </c>
      <c r="X20" s="45">
        <v>30.1</v>
      </c>
      <c r="Y20" s="45">
        <v>30.1</v>
      </c>
      <c r="Z20" s="45">
        <v>26.5</v>
      </c>
      <c r="AA20" s="45">
        <v>26.5</v>
      </c>
      <c r="AB20" s="45">
        <v>26.3</v>
      </c>
      <c r="AC20" s="45">
        <v>30</v>
      </c>
      <c r="AD20" s="45">
        <v>20</v>
      </c>
      <c r="AE20" s="45">
        <v>20</v>
      </c>
      <c r="AF20" s="45">
        <v>10</v>
      </c>
      <c r="AG20" s="51">
        <v>30</v>
      </c>
      <c r="AH20" s="47">
        <f t="shared" si="2"/>
        <v>30.1</v>
      </c>
      <c r="AI20" s="48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20.7</v>
      </c>
      <c r="C21" s="45">
        <v>20.7</v>
      </c>
      <c r="D21" s="45">
        <v>20.7</v>
      </c>
      <c r="E21" s="45">
        <v>20.7</v>
      </c>
      <c r="F21" s="45">
        <v>20.7</v>
      </c>
      <c r="G21" s="45">
        <v>20.7</v>
      </c>
      <c r="H21" s="45">
        <v>20.7</v>
      </c>
      <c r="I21" s="45">
        <v>20.7</v>
      </c>
      <c r="J21" s="45">
        <v>20.7</v>
      </c>
      <c r="K21" s="45">
        <v>20.7</v>
      </c>
      <c r="L21" s="45">
        <v>20.7</v>
      </c>
      <c r="M21" s="45">
        <v>20.7</v>
      </c>
      <c r="N21" s="45">
        <v>20.7</v>
      </c>
      <c r="O21" s="45"/>
      <c r="P21" s="45">
        <v>20.7</v>
      </c>
      <c r="Q21" s="45">
        <v>20.7</v>
      </c>
      <c r="R21" s="45">
        <v>20.7</v>
      </c>
      <c r="S21" s="45">
        <v>24.5</v>
      </c>
      <c r="T21" s="45">
        <v>24.5</v>
      </c>
      <c r="U21" s="45">
        <v>24.5</v>
      </c>
      <c r="V21" s="45">
        <v>24.5</v>
      </c>
      <c r="W21" s="45">
        <v>24.5</v>
      </c>
      <c r="X21" s="45">
        <v>24.5</v>
      </c>
      <c r="Y21" s="45">
        <v>20</v>
      </c>
      <c r="Z21" s="45">
        <v>20</v>
      </c>
      <c r="AA21" s="45">
        <v>20</v>
      </c>
      <c r="AB21" s="45">
        <v>20</v>
      </c>
      <c r="AC21" s="45">
        <v>20</v>
      </c>
      <c r="AD21" s="45">
        <v>20</v>
      </c>
      <c r="AE21" s="45">
        <v>20</v>
      </c>
      <c r="AF21" s="45">
        <v>20</v>
      </c>
      <c r="AG21" s="49">
        <v>24.2</v>
      </c>
      <c r="AH21" s="47">
        <f t="shared" si="2"/>
        <v>24.5</v>
      </c>
      <c r="AI21" s="48">
        <f t="shared" si="3"/>
        <v>20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21.3</v>
      </c>
      <c r="C22" s="45">
        <v>21.3</v>
      </c>
      <c r="D22" s="45">
        <v>21.3</v>
      </c>
      <c r="E22" s="45">
        <v>21.3</v>
      </c>
      <c r="F22" s="45">
        <v>21.3</v>
      </c>
      <c r="G22" s="45">
        <v>21.3</v>
      </c>
      <c r="H22" s="45">
        <v>21.3</v>
      </c>
      <c r="I22" s="45">
        <v>21.3</v>
      </c>
      <c r="J22" s="45">
        <v>21.3</v>
      </c>
      <c r="K22" s="45">
        <v>21.3</v>
      </c>
      <c r="L22" s="45">
        <v>21.3</v>
      </c>
      <c r="M22" s="45">
        <v>21.3</v>
      </c>
      <c r="N22" s="45">
        <v>21.3</v>
      </c>
      <c r="O22" s="45"/>
      <c r="P22" s="45">
        <v>15.7</v>
      </c>
      <c r="Q22" s="45">
        <v>15.7</v>
      </c>
      <c r="R22" s="45">
        <v>15.7</v>
      </c>
      <c r="S22" s="45">
        <v>23.5</v>
      </c>
      <c r="T22" s="45">
        <v>23.5</v>
      </c>
      <c r="U22" s="45">
        <v>23.5</v>
      </c>
      <c r="V22" s="45">
        <v>23.5</v>
      </c>
      <c r="W22" s="45">
        <v>23.5</v>
      </c>
      <c r="X22" s="45">
        <v>23.5</v>
      </c>
      <c r="Y22" s="45">
        <v>21</v>
      </c>
      <c r="Z22" s="45">
        <v>21</v>
      </c>
      <c r="AA22" s="45">
        <v>21</v>
      </c>
      <c r="AB22" s="45">
        <v>21</v>
      </c>
      <c r="AC22" s="45">
        <v>21</v>
      </c>
      <c r="AD22" s="45">
        <v>21</v>
      </c>
      <c r="AE22" s="45">
        <v>21</v>
      </c>
      <c r="AF22" s="45">
        <v>21</v>
      </c>
      <c r="AG22" s="49">
        <v>28</v>
      </c>
      <c r="AH22" s="47">
        <f t="shared" si="2"/>
        <v>23.5</v>
      </c>
      <c r="AI22" s="48">
        <f t="shared" si="3"/>
        <v>15.7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13.5</v>
      </c>
      <c r="C23" s="45">
        <v>13.5</v>
      </c>
      <c r="D23" s="45">
        <v>15</v>
      </c>
      <c r="E23" s="45">
        <v>18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27</v>
      </c>
      <c r="L23" s="45">
        <v>27</v>
      </c>
      <c r="M23" s="45">
        <v>27</v>
      </c>
      <c r="N23" s="45">
        <v>27</v>
      </c>
      <c r="O23" s="45"/>
      <c r="P23" s="45">
        <v>18</v>
      </c>
      <c r="Q23" s="45">
        <v>18</v>
      </c>
      <c r="R23" s="45">
        <v>18</v>
      </c>
      <c r="S23" s="45">
        <v>9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13</v>
      </c>
      <c r="AG23" s="51">
        <v>30</v>
      </c>
      <c r="AH23" s="47">
        <f t="shared" si="2"/>
        <v>27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/>
      <c r="P24" s="45">
        <v>0</v>
      </c>
      <c r="Q24" s="45">
        <v>25.4</v>
      </c>
      <c r="R24" s="45">
        <v>25.4</v>
      </c>
      <c r="S24" s="45">
        <v>25.4</v>
      </c>
      <c r="T24" s="45">
        <v>25.5</v>
      </c>
      <c r="U24" s="45">
        <v>25.5</v>
      </c>
      <c r="V24" s="45">
        <v>25.5</v>
      </c>
      <c r="W24" s="45">
        <v>25.5</v>
      </c>
      <c r="X24" s="45">
        <v>25.5</v>
      </c>
      <c r="Y24" s="45">
        <v>25.5</v>
      </c>
      <c r="Z24" s="45">
        <v>25.5</v>
      </c>
      <c r="AA24" s="45">
        <v>25.5</v>
      </c>
      <c r="AB24" s="45">
        <v>26.1</v>
      </c>
      <c r="AC24" s="45">
        <v>26.1</v>
      </c>
      <c r="AD24" s="45">
        <v>26.1</v>
      </c>
      <c r="AE24" s="45">
        <v>26.1</v>
      </c>
      <c r="AF24" s="45">
        <v>26.1</v>
      </c>
      <c r="AG24" s="49">
        <v>25</v>
      </c>
      <c r="AH24" s="47">
        <f t="shared" si="2"/>
        <v>26.1</v>
      </c>
      <c r="AI24" s="48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/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/>
      <c r="P26" s="45">
        <v>25</v>
      </c>
      <c r="Q26" s="45">
        <v>25</v>
      </c>
      <c r="R26" s="45">
        <v>25</v>
      </c>
      <c r="S26" s="45">
        <v>12.5</v>
      </c>
      <c r="T26" s="45">
        <v>12.5</v>
      </c>
      <c r="U26" s="45">
        <v>12.5</v>
      </c>
      <c r="V26" s="45">
        <v>12.5</v>
      </c>
      <c r="W26" s="45">
        <v>12.5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12.5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12.5</v>
      </c>
      <c r="C27" s="45">
        <v>12.5</v>
      </c>
      <c r="D27" s="45">
        <v>12.5</v>
      </c>
      <c r="E27" s="45">
        <v>17</v>
      </c>
      <c r="F27" s="45">
        <v>17</v>
      </c>
      <c r="G27" s="45">
        <v>12</v>
      </c>
      <c r="H27" s="45">
        <v>12</v>
      </c>
      <c r="I27" s="45">
        <v>12</v>
      </c>
      <c r="J27" s="45">
        <v>12</v>
      </c>
      <c r="K27" s="45">
        <v>25</v>
      </c>
      <c r="L27" s="45">
        <v>25</v>
      </c>
      <c r="M27" s="45">
        <v>25</v>
      </c>
      <c r="N27" s="45">
        <v>25</v>
      </c>
      <c r="O27" s="45"/>
      <c r="P27" s="45">
        <v>25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25</v>
      </c>
      <c r="X27" s="45">
        <v>25</v>
      </c>
      <c r="Y27" s="45">
        <v>12</v>
      </c>
      <c r="Z27" s="45">
        <v>12</v>
      </c>
      <c r="AA27" s="45">
        <v>25</v>
      </c>
      <c r="AB27" s="45">
        <v>25</v>
      </c>
      <c r="AC27" s="45">
        <v>25</v>
      </c>
      <c r="AD27" s="45">
        <v>17</v>
      </c>
      <c r="AE27" s="45">
        <v>17</v>
      </c>
      <c r="AF27" s="45">
        <v>8</v>
      </c>
      <c r="AG27" s="49">
        <v>25</v>
      </c>
      <c r="AH27" s="47">
        <f t="shared" si="2"/>
        <v>25</v>
      </c>
      <c r="AI27" s="48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25</v>
      </c>
      <c r="C28" s="45">
        <v>25</v>
      </c>
      <c r="D28" s="45">
        <v>25</v>
      </c>
      <c r="E28" s="45">
        <v>25</v>
      </c>
      <c r="F28" s="45">
        <v>25</v>
      </c>
      <c r="G28" s="45">
        <v>25</v>
      </c>
      <c r="H28" s="45">
        <v>25</v>
      </c>
      <c r="I28" s="45">
        <v>25</v>
      </c>
      <c r="J28" s="45">
        <v>25</v>
      </c>
      <c r="K28" s="45">
        <v>25</v>
      </c>
      <c r="L28" s="45">
        <v>25</v>
      </c>
      <c r="M28" s="45">
        <v>25</v>
      </c>
      <c r="N28" s="45">
        <v>25</v>
      </c>
      <c r="O28" s="45"/>
      <c r="P28" s="45">
        <v>25</v>
      </c>
      <c r="Q28" s="45">
        <v>25</v>
      </c>
      <c r="R28" s="45">
        <v>25</v>
      </c>
      <c r="S28" s="45">
        <v>24.9</v>
      </c>
      <c r="T28" s="45">
        <v>24.9</v>
      </c>
      <c r="U28" s="45">
        <v>24.9</v>
      </c>
      <c r="V28" s="45">
        <v>24.9</v>
      </c>
      <c r="W28" s="45">
        <v>24.9</v>
      </c>
      <c r="X28" s="45">
        <v>24.9</v>
      </c>
      <c r="Y28" s="45">
        <v>24.9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24.9</v>
      </c>
      <c r="AF28" s="45">
        <v>24.9</v>
      </c>
      <c r="AG28" s="49">
        <v>23.5</v>
      </c>
      <c r="AH28" s="47">
        <f t="shared" si="2"/>
        <v>25</v>
      </c>
      <c r="AI28" s="48">
        <f t="shared" si="3"/>
        <v>24.9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/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/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/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/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/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>
        <v>20</v>
      </c>
      <c r="AB33" s="45">
        <v>20</v>
      </c>
      <c r="AC33" s="45">
        <v>20</v>
      </c>
      <c r="AD33" s="45">
        <v>20</v>
      </c>
      <c r="AE33" s="45">
        <v>20</v>
      </c>
      <c r="AF33" s="45">
        <v>5</v>
      </c>
      <c r="AG33" s="49">
        <v>20</v>
      </c>
      <c r="AH33" s="47">
        <f t="shared" si="2"/>
        <v>20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/>
      <c r="P34" s="45">
        <v>5</v>
      </c>
      <c r="Q34" s="45">
        <v>5</v>
      </c>
      <c r="R34" s="45">
        <v>5</v>
      </c>
      <c r="S34" s="45">
        <v>15</v>
      </c>
      <c r="T34" s="45">
        <v>15</v>
      </c>
      <c r="U34" s="45">
        <v>15</v>
      </c>
      <c r="V34" s="45">
        <v>8</v>
      </c>
      <c r="W34" s="45">
        <v>8</v>
      </c>
      <c r="X34" s="45">
        <v>8</v>
      </c>
      <c r="Y34" s="45">
        <v>7</v>
      </c>
      <c r="Z34" s="45">
        <v>7</v>
      </c>
      <c r="AA34" s="45">
        <v>18</v>
      </c>
      <c r="AB34" s="45">
        <v>18</v>
      </c>
      <c r="AC34" s="45">
        <v>18</v>
      </c>
      <c r="AD34" s="45">
        <v>10</v>
      </c>
      <c r="AE34" s="45">
        <v>10</v>
      </c>
      <c r="AF34" s="45">
        <v>0</v>
      </c>
      <c r="AG34" s="49">
        <v>18</v>
      </c>
      <c r="AH34" s="47">
        <f t="shared" si="2"/>
        <v>18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/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/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/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0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/>
      <c r="P38" s="45">
        <v>0</v>
      </c>
      <c r="Q38" s="45">
        <v>0</v>
      </c>
      <c r="R38" s="45">
        <v>0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0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6</v>
      </c>
      <c r="C39" s="45">
        <v>6</v>
      </c>
      <c r="D39" s="45">
        <v>6</v>
      </c>
      <c r="E39" s="45">
        <v>9</v>
      </c>
      <c r="F39" s="45">
        <v>9</v>
      </c>
      <c r="G39" s="45">
        <v>9</v>
      </c>
      <c r="H39" s="45">
        <v>9</v>
      </c>
      <c r="I39" s="45">
        <v>9</v>
      </c>
      <c r="J39" s="45">
        <v>6</v>
      </c>
      <c r="K39" s="45">
        <v>12</v>
      </c>
      <c r="L39" s="45">
        <v>12</v>
      </c>
      <c r="M39" s="45">
        <v>12</v>
      </c>
      <c r="N39" s="45">
        <v>12</v>
      </c>
      <c r="O39" s="45"/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12</v>
      </c>
      <c r="X39" s="45">
        <v>8</v>
      </c>
      <c r="Y39" s="45">
        <v>5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6</v>
      </c>
      <c r="AG39" s="49">
        <v>12</v>
      </c>
      <c r="AH39" s="47">
        <f t="shared" si="2"/>
        <v>12</v>
      </c>
      <c r="AI39" s="48">
        <f t="shared" si="3"/>
        <v>5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4</v>
      </c>
      <c r="C40" s="45">
        <v>4</v>
      </c>
      <c r="D40" s="45">
        <v>4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/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0</v>
      </c>
      <c r="AF40" s="45">
        <v>0</v>
      </c>
      <c r="AG40" s="49">
        <v>12</v>
      </c>
      <c r="AH40" s="47">
        <f t="shared" si="2"/>
        <v>5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7</v>
      </c>
      <c r="K41" s="45">
        <v>12</v>
      </c>
      <c r="L41" s="45">
        <v>12</v>
      </c>
      <c r="M41" s="45">
        <v>12</v>
      </c>
      <c r="N41" s="45">
        <v>12</v>
      </c>
      <c r="O41" s="45"/>
      <c r="P41" s="45">
        <v>7</v>
      </c>
      <c r="Q41" s="45">
        <v>7</v>
      </c>
      <c r="R41" s="45">
        <v>7</v>
      </c>
      <c r="S41" s="45">
        <v>7</v>
      </c>
      <c r="T41" s="45">
        <v>7</v>
      </c>
      <c r="U41" s="45">
        <v>7</v>
      </c>
      <c r="V41" s="45">
        <v>7</v>
      </c>
      <c r="W41" s="45">
        <v>7</v>
      </c>
      <c r="X41" s="45">
        <v>7</v>
      </c>
      <c r="Y41" s="45">
        <v>7</v>
      </c>
      <c r="Z41" s="45">
        <v>7</v>
      </c>
      <c r="AA41" s="45">
        <v>7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/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0</v>
      </c>
      <c r="C43" s="45">
        <v>0</v>
      </c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/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11.88</v>
      </c>
      <c r="AC43" s="45">
        <v>11.88</v>
      </c>
      <c r="AD43" s="45">
        <v>11.88</v>
      </c>
      <c r="AE43" s="45">
        <v>11.88</v>
      </c>
      <c r="AF43" s="45">
        <v>11.88</v>
      </c>
      <c r="AG43" s="51">
        <v>11.88</v>
      </c>
      <c r="AH43" s="47">
        <f t="shared" si="2"/>
        <v>11.88</v>
      </c>
      <c r="AI43" s="48">
        <f t="shared" si="3"/>
        <v>0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/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0</v>
      </c>
      <c r="C45" s="45">
        <v>0</v>
      </c>
      <c r="D45" s="45">
        <v>0</v>
      </c>
      <c r="E45" s="45">
        <v>4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/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/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/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/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358</v>
      </c>
      <c r="AB48" s="56">
        <v>358</v>
      </c>
      <c r="AC48" s="56">
        <v>358</v>
      </c>
      <c r="AD48" s="56">
        <v>358</v>
      </c>
      <c r="AE48" s="56">
        <v>358</v>
      </c>
      <c r="AF48" s="56">
        <v>358</v>
      </c>
      <c r="AG48" s="54">
        <v>85</v>
      </c>
      <c r="AH48" s="47">
        <f t="shared" si="2"/>
        <v>358</v>
      </c>
      <c r="AI48" s="48">
        <f t="shared" si="3"/>
        <v>300</v>
      </c>
      <c r="AK48" s="50"/>
    </row>
    <row r="49" spans="1:41" ht="15.75" thickBot="1" x14ac:dyDescent="0.3">
      <c r="A49" s="57" t="s">
        <v>57</v>
      </c>
      <c r="B49" s="56">
        <f>24.8+84</f>
        <v>108.8</v>
      </c>
      <c r="C49" s="56">
        <f>24.8+84</f>
        <v>108.8</v>
      </c>
      <c r="D49" s="56">
        <f>24.9+83.8</f>
        <v>108.69999999999999</v>
      </c>
      <c r="E49" s="56">
        <f>24.9+83.8</f>
        <v>108.69999999999999</v>
      </c>
      <c r="F49" s="56">
        <f>24.9+83.8</f>
        <v>108.69999999999999</v>
      </c>
      <c r="G49" s="56">
        <f>24.9+83.8</f>
        <v>108.69999999999999</v>
      </c>
      <c r="H49" s="56">
        <f>24.9+83.8</f>
        <v>108.69999999999999</v>
      </c>
      <c r="I49" s="56">
        <f t="shared" ref="I49:N49" si="4">24.9+83.8</f>
        <v>108.69999999999999</v>
      </c>
      <c r="J49" s="56">
        <f t="shared" si="4"/>
        <v>108.69999999999999</v>
      </c>
      <c r="K49" s="56">
        <f t="shared" si="4"/>
        <v>108.69999999999999</v>
      </c>
      <c r="L49" s="56">
        <f t="shared" si="4"/>
        <v>108.69999999999999</v>
      </c>
      <c r="M49" s="56">
        <f t="shared" si="4"/>
        <v>108.69999999999999</v>
      </c>
      <c r="N49" s="56">
        <f t="shared" si="4"/>
        <v>108.69999999999999</v>
      </c>
      <c r="O49" s="58"/>
      <c r="P49" s="58">
        <v>108.69999999999999</v>
      </c>
      <c r="Q49" s="58">
        <v>108.69999999999999</v>
      </c>
      <c r="R49" s="58">
        <v>108.69999999999999</v>
      </c>
      <c r="S49" s="58">
        <f>79.5+23.1</f>
        <v>102.6</v>
      </c>
      <c r="T49" s="58">
        <f>78.8+23</f>
        <v>101.8</v>
      </c>
      <c r="U49" s="58">
        <f>76.8+22.5</f>
        <v>99.3</v>
      </c>
      <c r="V49" s="58">
        <v>100</v>
      </c>
      <c r="W49" s="58">
        <f>78+22.8</f>
        <v>100.8</v>
      </c>
      <c r="X49" s="56">
        <f>22.8+77.8</f>
        <v>100.6</v>
      </c>
      <c r="Y49" s="56">
        <f>76.9+22.1</f>
        <v>99</v>
      </c>
      <c r="Z49" s="56">
        <f>76.9+22.1</f>
        <v>99</v>
      </c>
      <c r="AA49" s="56">
        <f>73.2+19.8</f>
        <v>93</v>
      </c>
      <c r="AB49" s="56">
        <f>23+81.7</f>
        <v>104.7</v>
      </c>
      <c r="AC49" s="56">
        <v>106.2</v>
      </c>
      <c r="AD49" s="56">
        <v>106.2</v>
      </c>
      <c r="AE49" s="56">
        <v>108</v>
      </c>
      <c r="AF49" s="56">
        <v>107</v>
      </c>
      <c r="AG49" s="54">
        <v>240</v>
      </c>
      <c r="AH49" s="47">
        <f t="shared" si="2"/>
        <v>108.8</v>
      </c>
      <c r="AI49" s="48">
        <f t="shared" si="3"/>
        <v>93</v>
      </c>
      <c r="AK49" s="50"/>
    </row>
    <row r="50" spans="1:41" ht="15.75" thickBot="1" x14ac:dyDescent="0.3">
      <c r="A50" s="59" t="s">
        <v>58</v>
      </c>
      <c r="B50" s="60">
        <f t="shared" ref="B50:C50" si="5">SUM(B11:B48)</f>
        <v>847.5</v>
      </c>
      <c r="C50" s="60">
        <f t="shared" si="5"/>
        <v>852.8</v>
      </c>
      <c r="D50" s="60">
        <f t="shared" ref="D50" si="6">SUM(D11:D48)</f>
        <v>863.7</v>
      </c>
      <c r="E50" s="60">
        <f t="shared" ref="E50:AF50" si="7">SUM(E11:E48)</f>
        <v>832.2</v>
      </c>
      <c r="F50" s="60">
        <f t="shared" si="7"/>
        <v>835.2</v>
      </c>
      <c r="G50" s="60">
        <f t="shared" si="7"/>
        <v>868.2</v>
      </c>
      <c r="H50" s="60">
        <f t="shared" si="7"/>
        <v>868.2</v>
      </c>
      <c r="I50" s="60">
        <f t="shared" si="7"/>
        <v>868.2</v>
      </c>
      <c r="J50" s="60">
        <f t="shared" si="7"/>
        <v>884.2</v>
      </c>
      <c r="K50" s="60">
        <f t="shared" si="7"/>
        <v>947.2</v>
      </c>
      <c r="L50" s="60">
        <f t="shared" si="7"/>
        <v>947.2</v>
      </c>
      <c r="M50" s="60">
        <f t="shared" si="7"/>
        <v>947.2</v>
      </c>
      <c r="N50" s="60">
        <f t="shared" si="7"/>
        <v>947.2</v>
      </c>
      <c r="O50" s="60">
        <f t="shared" si="7"/>
        <v>0</v>
      </c>
      <c r="P50" s="60">
        <f t="shared" si="7"/>
        <v>956.40000000000009</v>
      </c>
      <c r="Q50" s="60">
        <f t="shared" si="7"/>
        <v>1019.8</v>
      </c>
      <c r="R50" s="60">
        <f t="shared" si="7"/>
        <v>1013.6</v>
      </c>
      <c r="S50" s="60">
        <f t="shared" si="7"/>
        <v>983.7</v>
      </c>
      <c r="T50" s="60">
        <f t="shared" si="7"/>
        <v>1020.8000000000001</v>
      </c>
      <c r="U50" s="60">
        <f t="shared" si="7"/>
        <v>1020.8000000000001</v>
      </c>
      <c r="V50" s="60">
        <f t="shared" si="7"/>
        <v>1005.4</v>
      </c>
      <c r="W50" s="60">
        <f t="shared" si="7"/>
        <v>1022.3000000000001</v>
      </c>
      <c r="X50" s="60">
        <f t="shared" si="7"/>
        <v>1030.8000000000002</v>
      </c>
      <c r="Y50" s="60">
        <f t="shared" si="7"/>
        <v>1013.9</v>
      </c>
      <c r="Z50" s="60">
        <f t="shared" si="7"/>
        <v>1045.5999999999999</v>
      </c>
      <c r="AA50" s="60">
        <f t="shared" si="7"/>
        <v>1143.5999999999999</v>
      </c>
      <c r="AB50" s="60">
        <f t="shared" si="7"/>
        <v>1164.18</v>
      </c>
      <c r="AC50" s="60">
        <f t="shared" si="7"/>
        <v>1161.8800000000001</v>
      </c>
      <c r="AD50" s="60">
        <f t="shared" si="7"/>
        <v>1135.8800000000001</v>
      </c>
      <c r="AE50" s="60">
        <f t="shared" si="7"/>
        <v>1130.8800000000001</v>
      </c>
      <c r="AF50" s="60">
        <f t="shared" si="7"/>
        <v>1073.8800000000001</v>
      </c>
      <c r="AG50" s="61">
        <f>SUM(AG13:AG48)</f>
        <v>922.14</v>
      </c>
      <c r="AH50" s="47">
        <f t="shared" si="2"/>
        <v>1164.18</v>
      </c>
      <c r="AI50" s="48">
        <f t="shared" si="3"/>
        <v>0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175"/>
      <c r="P51" s="175">
        <v>456</v>
      </c>
      <c r="Q51" s="175">
        <v>456</v>
      </c>
      <c r="R51" s="17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/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53</v>
      </c>
      <c r="AF52" s="64">
        <v>53</v>
      </c>
      <c r="AG52" s="54">
        <v>60</v>
      </c>
      <c r="AH52" s="47">
        <f t="shared" si="2"/>
        <v>55</v>
      </c>
      <c r="AI52" s="48">
        <f t="shared" si="3"/>
        <v>53</v>
      </c>
      <c r="AK52" s="50"/>
    </row>
    <row r="53" spans="1:41" ht="15.75" thickBot="1" x14ac:dyDescent="0.3">
      <c r="A53" s="65" t="s">
        <v>61</v>
      </c>
      <c r="B53" s="66">
        <v>14.9</v>
      </c>
      <c r="C53" s="66">
        <v>7.1</v>
      </c>
      <c r="D53" s="66">
        <v>13.8</v>
      </c>
      <c r="E53" s="66">
        <v>4.8</v>
      </c>
      <c r="F53" s="66">
        <v>3.3</v>
      </c>
      <c r="G53" s="66">
        <v>3.3</v>
      </c>
      <c r="H53" s="66">
        <v>3.3</v>
      </c>
      <c r="I53" s="66">
        <v>3.3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/>
      <c r="P53" s="66">
        <v>0</v>
      </c>
      <c r="Q53" s="66">
        <v>20</v>
      </c>
      <c r="R53" s="66">
        <v>20</v>
      </c>
      <c r="S53" s="66">
        <v>20</v>
      </c>
      <c r="T53" s="66">
        <v>19</v>
      </c>
      <c r="U53" s="66">
        <v>19</v>
      </c>
      <c r="V53" s="66">
        <v>19</v>
      </c>
      <c r="W53" s="66">
        <v>16</v>
      </c>
      <c r="X53" s="66">
        <v>16</v>
      </c>
      <c r="Y53" s="66">
        <v>16</v>
      </c>
      <c r="Z53" s="66">
        <v>0</v>
      </c>
      <c r="AA53" s="66">
        <v>16</v>
      </c>
      <c r="AB53" s="66">
        <v>15.9</v>
      </c>
      <c r="AC53" s="66">
        <v>15.9</v>
      </c>
      <c r="AD53" s="66">
        <v>15.9</v>
      </c>
      <c r="AE53" s="66">
        <v>15.9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0</v>
      </c>
      <c r="AK53" s="50"/>
    </row>
    <row r="54" spans="1:41" ht="15.75" thickBot="1" x14ac:dyDescent="0.3">
      <c r="A54" s="68" t="s">
        <v>62</v>
      </c>
      <c r="B54" s="60">
        <f t="shared" ref="B54:C54" si="8">SUM(B51:B53)</f>
        <v>525.9</v>
      </c>
      <c r="C54" s="60">
        <f t="shared" si="8"/>
        <v>518.1</v>
      </c>
      <c r="D54" s="60">
        <f t="shared" ref="D54" si="9">SUM(D51:D53)</f>
        <v>524.79999999999995</v>
      </c>
      <c r="E54" s="60">
        <f t="shared" ref="E54:AG54" si="10">SUM(E51:E53)</f>
        <v>515.79999999999995</v>
      </c>
      <c r="F54" s="60">
        <f t="shared" si="10"/>
        <v>514.29999999999995</v>
      </c>
      <c r="G54" s="60">
        <f t="shared" si="10"/>
        <v>514.29999999999995</v>
      </c>
      <c r="H54" s="60">
        <f t="shared" si="10"/>
        <v>514.29999999999995</v>
      </c>
      <c r="I54" s="60">
        <f t="shared" si="10"/>
        <v>514.29999999999995</v>
      </c>
      <c r="J54" s="60">
        <f t="shared" si="10"/>
        <v>511</v>
      </c>
      <c r="K54" s="60">
        <f t="shared" si="10"/>
        <v>511</v>
      </c>
      <c r="L54" s="60">
        <f t="shared" si="10"/>
        <v>511</v>
      </c>
      <c r="M54" s="60">
        <f t="shared" si="10"/>
        <v>511</v>
      </c>
      <c r="N54" s="60">
        <f t="shared" si="10"/>
        <v>511</v>
      </c>
      <c r="O54" s="60">
        <f t="shared" si="10"/>
        <v>0</v>
      </c>
      <c r="P54" s="60">
        <f t="shared" si="10"/>
        <v>511</v>
      </c>
      <c r="Q54" s="60">
        <f t="shared" si="10"/>
        <v>531</v>
      </c>
      <c r="R54" s="60">
        <f t="shared" si="10"/>
        <v>531</v>
      </c>
      <c r="S54" s="60">
        <f t="shared" si="10"/>
        <v>531</v>
      </c>
      <c r="T54" s="60">
        <f t="shared" si="10"/>
        <v>530</v>
      </c>
      <c r="U54" s="60">
        <f t="shared" si="10"/>
        <v>530</v>
      </c>
      <c r="V54" s="60">
        <f t="shared" si="10"/>
        <v>530</v>
      </c>
      <c r="W54" s="60">
        <f t="shared" si="10"/>
        <v>527</v>
      </c>
      <c r="X54" s="60">
        <f t="shared" si="10"/>
        <v>527</v>
      </c>
      <c r="Y54" s="60">
        <f t="shared" si="10"/>
        <v>527</v>
      </c>
      <c r="Z54" s="60">
        <f t="shared" si="10"/>
        <v>511</v>
      </c>
      <c r="AA54" s="60">
        <f t="shared" si="10"/>
        <v>527</v>
      </c>
      <c r="AB54" s="60">
        <f t="shared" si="10"/>
        <v>526.9</v>
      </c>
      <c r="AC54" s="60">
        <f t="shared" si="10"/>
        <v>526.9</v>
      </c>
      <c r="AD54" s="60">
        <f t="shared" si="10"/>
        <v>526.9</v>
      </c>
      <c r="AE54" s="60">
        <f t="shared" si="10"/>
        <v>524.9</v>
      </c>
      <c r="AF54" s="60">
        <f t="shared" si="10"/>
        <v>531.5</v>
      </c>
      <c r="AG54" s="61">
        <f t="shared" si="10"/>
        <v>538.1</v>
      </c>
      <c r="AH54" s="47">
        <f t="shared" si="2"/>
        <v>531.5</v>
      </c>
      <c r="AI54" s="48">
        <f t="shared" si="3"/>
        <v>0</v>
      </c>
      <c r="AK54" s="50"/>
    </row>
    <row r="55" spans="1:41" x14ac:dyDescent="0.25">
      <c r="A55" s="44" t="s">
        <v>63</v>
      </c>
      <c r="B55" s="45">
        <v>136.4</v>
      </c>
      <c r="C55" s="45">
        <v>136.4</v>
      </c>
      <c r="D55" s="45">
        <v>134</v>
      </c>
      <c r="E55" s="45">
        <v>134</v>
      </c>
      <c r="F55" s="45">
        <v>134</v>
      </c>
      <c r="G55" s="45">
        <v>134</v>
      </c>
      <c r="H55" s="45">
        <v>100</v>
      </c>
      <c r="I55" s="45">
        <v>0</v>
      </c>
      <c r="J55" s="45">
        <v>0</v>
      </c>
      <c r="K55" s="45">
        <v>135.5</v>
      </c>
      <c r="L55" s="45">
        <v>135.5</v>
      </c>
      <c r="M55" s="45">
        <v>135.5</v>
      </c>
      <c r="N55" s="45">
        <v>135.5</v>
      </c>
      <c r="O55" s="45"/>
      <c r="P55" s="45">
        <v>137</v>
      </c>
      <c r="Q55" s="45">
        <v>137</v>
      </c>
      <c r="R55" s="45">
        <v>137</v>
      </c>
      <c r="S55" s="45">
        <v>137</v>
      </c>
      <c r="T55" s="45">
        <v>135.80000000000001</v>
      </c>
      <c r="U55" s="45">
        <v>136.4</v>
      </c>
      <c r="V55" s="45">
        <v>137</v>
      </c>
      <c r="W55" s="45">
        <v>137</v>
      </c>
      <c r="X55" s="45">
        <v>136.80000000000001</v>
      </c>
      <c r="Y55" s="45">
        <v>132</v>
      </c>
      <c r="Z55" s="45">
        <v>136.4</v>
      </c>
      <c r="AA55" s="45">
        <v>136.4</v>
      </c>
      <c r="AB55" s="45">
        <v>134.1</v>
      </c>
      <c r="AC55" s="45">
        <v>137.5</v>
      </c>
      <c r="AD55" s="45">
        <v>137.5</v>
      </c>
      <c r="AE55" s="45">
        <v>137.5</v>
      </c>
      <c r="AF55" s="45">
        <v>137.5</v>
      </c>
      <c r="AG55" s="51">
        <v>144</v>
      </c>
      <c r="AH55" s="47">
        <f t="shared" si="2"/>
        <v>137.5</v>
      </c>
      <c r="AI55" s="48">
        <f t="shared" si="3"/>
        <v>0</v>
      </c>
      <c r="AK55" s="50"/>
    </row>
    <row r="56" spans="1:41" x14ac:dyDescent="0.25">
      <c r="A56" s="53" t="s">
        <v>64</v>
      </c>
      <c r="B56" s="64">
        <v>71.099999999999994</v>
      </c>
      <c r="C56" s="64">
        <v>71.099999999999994</v>
      </c>
      <c r="D56" s="64">
        <v>69.3</v>
      </c>
      <c r="E56" s="64">
        <v>69.3</v>
      </c>
      <c r="F56" s="64">
        <v>69.3</v>
      </c>
      <c r="G56" s="64">
        <v>69.3</v>
      </c>
      <c r="H56" s="64">
        <v>69.3</v>
      </c>
      <c r="I56" s="64">
        <v>69.3</v>
      </c>
      <c r="J56" s="64">
        <v>50</v>
      </c>
      <c r="K56" s="64">
        <v>32.799999999999997</v>
      </c>
      <c r="L56" s="64">
        <v>32.799999999999997</v>
      </c>
      <c r="M56" s="64">
        <v>0</v>
      </c>
      <c r="N56" s="64">
        <v>0</v>
      </c>
      <c r="O56" s="64"/>
      <c r="P56" s="64">
        <v>0</v>
      </c>
      <c r="Q56" s="64">
        <v>35</v>
      </c>
      <c r="R56" s="64">
        <v>35</v>
      </c>
      <c r="S56" s="45">
        <v>60.9</v>
      </c>
      <c r="T56" s="45">
        <v>65.400000000000006</v>
      </c>
      <c r="U56" s="45">
        <v>70.3</v>
      </c>
      <c r="V56" s="45">
        <v>70.3</v>
      </c>
      <c r="W56" s="45">
        <v>71.2</v>
      </c>
      <c r="X56" s="45">
        <v>65.3</v>
      </c>
      <c r="Y56" s="45">
        <v>71.599999999999994</v>
      </c>
      <c r="Z56" s="45">
        <v>70.400000000000006</v>
      </c>
      <c r="AA56" s="45">
        <v>71.8</v>
      </c>
      <c r="AB56" s="45">
        <v>70.3</v>
      </c>
      <c r="AC56" s="45">
        <v>70.3</v>
      </c>
      <c r="AD56" s="45">
        <v>70.3</v>
      </c>
      <c r="AE56" s="45">
        <v>70.3</v>
      </c>
      <c r="AF56" s="45">
        <v>70.3</v>
      </c>
      <c r="AG56" s="54">
        <v>70</v>
      </c>
      <c r="AH56" s="47">
        <f t="shared" si="2"/>
        <v>71.8</v>
      </c>
      <c r="AI56" s="48">
        <f t="shared" si="3"/>
        <v>0</v>
      </c>
      <c r="AK56" s="50"/>
    </row>
    <row r="57" spans="1:41" x14ac:dyDescent="0.25">
      <c r="A57" s="53" t="s">
        <v>65</v>
      </c>
      <c r="B57" s="64">
        <v>65</v>
      </c>
      <c r="C57" s="64">
        <v>65</v>
      </c>
      <c r="D57" s="64">
        <v>64.8</v>
      </c>
      <c r="E57" s="64">
        <v>64.8</v>
      </c>
      <c r="F57" s="64">
        <v>64.8</v>
      </c>
      <c r="G57" s="64">
        <v>64.8</v>
      </c>
      <c r="H57" s="64">
        <v>64.8</v>
      </c>
      <c r="I57" s="64">
        <v>64.8</v>
      </c>
      <c r="J57" s="64">
        <v>64.8</v>
      </c>
      <c r="K57" s="64">
        <v>62.2</v>
      </c>
      <c r="L57" s="64">
        <v>62.2</v>
      </c>
      <c r="M57" s="64">
        <v>62.2</v>
      </c>
      <c r="N57" s="64">
        <v>0</v>
      </c>
      <c r="O57" s="64"/>
      <c r="P57" s="64">
        <v>43.1</v>
      </c>
      <c r="Q57" s="64">
        <v>62.8</v>
      </c>
      <c r="R57" s="64">
        <v>62.8</v>
      </c>
      <c r="S57" s="45">
        <v>52.8</v>
      </c>
      <c r="T57" s="45">
        <v>63.6</v>
      </c>
      <c r="U57" s="45">
        <v>54.5</v>
      </c>
      <c r="V57" s="45">
        <v>58.9</v>
      </c>
      <c r="W57" s="45">
        <v>54.7</v>
      </c>
      <c r="X57" s="45">
        <v>63.5</v>
      </c>
      <c r="Y57" s="45">
        <v>64.099999999999994</v>
      </c>
      <c r="Z57" s="45">
        <v>64.2</v>
      </c>
      <c r="AA57" s="45">
        <v>64.2</v>
      </c>
      <c r="AB57" s="45">
        <v>63</v>
      </c>
      <c r="AC57" s="45">
        <v>63</v>
      </c>
      <c r="AD57" s="45">
        <v>63</v>
      </c>
      <c r="AE57" s="45">
        <v>65.599999999999994</v>
      </c>
      <c r="AF57" s="45">
        <v>65.599999999999994</v>
      </c>
      <c r="AG57" s="54">
        <v>69</v>
      </c>
      <c r="AH57" s="47">
        <f t="shared" si="2"/>
        <v>65.599999999999994</v>
      </c>
      <c r="AI57" s="48">
        <f t="shared" si="3"/>
        <v>0</v>
      </c>
      <c r="AK57" s="50"/>
    </row>
    <row r="58" spans="1:41" x14ac:dyDescent="0.25">
      <c r="A58" s="53" t="s">
        <v>66</v>
      </c>
      <c r="B58" s="64">
        <v>20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/>
      <c r="P58" s="64">
        <v>0</v>
      </c>
      <c r="Q58" s="64">
        <v>0</v>
      </c>
      <c r="R58" s="64">
        <v>0</v>
      </c>
      <c r="S58" s="45">
        <v>0</v>
      </c>
      <c r="T58" s="45">
        <v>0</v>
      </c>
      <c r="U58" s="45">
        <v>30</v>
      </c>
      <c r="V58" s="45">
        <v>20.100000000000001</v>
      </c>
      <c r="W58" s="45">
        <v>12.4</v>
      </c>
      <c r="X58" s="45">
        <v>23</v>
      </c>
      <c r="Y58" s="45">
        <v>30</v>
      </c>
      <c r="Z58" s="45">
        <v>31.3</v>
      </c>
      <c r="AA58" s="45">
        <v>31.3</v>
      </c>
      <c r="AB58" s="45">
        <v>28.2</v>
      </c>
      <c r="AC58" s="45">
        <v>28.2</v>
      </c>
      <c r="AD58" s="45">
        <v>28.2</v>
      </c>
      <c r="AE58" s="45">
        <v>28.2</v>
      </c>
      <c r="AF58" s="45">
        <v>28.2</v>
      </c>
      <c r="AG58" s="54">
        <v>60</v>
      </c>
      <c r="AH58" s="47">
        <f t="shared" si="2"/>
        <v>31.3</v>
      </c>
      <c r="AI58" s="48">
        <f t="shared" si="3"/>
        <v>0</v>
      </c>
      <c r="AK58" s="50"/>
    </row>
    <row r="59" spans="1:41" x14ac:dyDescent="0.25">
      <c r="A59" s="53" t="s">
        <v>67</v>
      </c>
      <c r="B59" s="64">
        <v>28</v>
      </c>
      <c r="C59" s="64">
        <v>28</v>
      </c>
      <c r="D59" s="64">
        <v>28</v>
      </c>
      <c r="E59" s="64">
        <v>28</v>
      </c>
      <c r="F59" s="64">
        <v>28</v>
      </c>
      <c r="G59" s="64">
        <v>28</v>
      </c>
      <c r="H59" s="64">
        <v>28</v>
      </c>
      <c r="I59" s="64">
        <v>28</v>
      </c>
      <c r="J59" s="64">
        <v>0</v>
      </c>
      <c r="K59" s="64">
        <v>28</v>
      </c>
      <c r="L59" s="64">
        <v>28</v>
      </c>
      <c r="M59" s="64">
        <v>28</v>
      </c>
      <c r="N59" s="64">
        <v>28</v>
      </c>
      <c r="O59" s="64"/>
      <c r="P59" s="64">
        <v>28</v>
      </c>
      <c r="Q59" s="64">
        <v>28</v>
      </c>
      <c r="R59" s="64">
        <v>28</v>
      </c>
      <c r="S59" s="64">
        <v>28</v>
      </c>
      <c r="T59" s="45">
        <v>28</v>
      </c>
      <c r="U59" s="45">
        <v>28</v>
      </c>
      <c r="V59" s="45">
        <v>28</v>
      </c>
      <c r="W59" s="45">
        <v>28</v>
      </c>
      <c r="X59" s="45">
        <v>28</v>
      </c>
      <c r="Y59" s="45">
        <v>28</v>
      </c>
      <c r="Z59" s="45">
        <v>28</v>
      </c>
      <c r="AA59" s="45">
        <v>28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2</v>
      </c>
      <c r="L60" s="64">
        <v>2</v>
      </c>
      <c r="M60" s="64">
        <v>2</v>
      </c>
      <c r="N60" s="64">
        <v>2</v>
      </c>
      <c r="O60" s="64"/>
      <c r="P60" s="64">
        <v>8.3000000000000007</v>
      </c>
      <c r="Q60" s="64">
        <v>8.3000000000000007</v>
      </c>
      <c r="R60" s="64">
        <v>8.3000000000000007</v>
      </c>
      <c r="S60" s="64">
        <v>13.1</v>
      </c>
      <c r="T60" s="45">
        <v>6.9</v>
      </c>
      <c r="U60" s="45">
        <v>3.8</v>
      </c>
      <c r="V60" s="45">
        <v>4.2</v>
      </c>
      <c r="W60" s="45">
        <v>4.2</v>
      </c>
      <c r="X60" s="45">
        <v>1.1000000000000001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13.1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/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3.1</v>
      </c>
      <c r="C62" s="64">
        <v>3.1</v>
      </c>
      <c r="D62" s="64">
        <v>3.1</v>
      </c>
      <c r="E62" s="64">
        <v>3.1</v>
      </c>
      <c r="F62" s="64">
        <v>3.1</v>
      </c>
      <c r="G62" s="64">
        <v>3.1</v>
      </c>
      <c r="H62" s="64">
        <v>3.1</v>
      </c>
      <c r="I62" s="64">
        <v>3.1</v>
      </c>
      <c r="J62" s="64">
        <v>3.1</v>
      </c>
      <c r="K62" s="64">
        <v>3.1</v>
      </c>
      <c r="L62" s="64">
        <v>3.1</v>
      </c>
      <c r="M62" s="64">
        <v>3.1</v>
      </c>
      <c r="N62" s="64">
        <v>3.1</v>
      </c>
      <c r="O62" s="64"/>
      <c r="P62" s="64">
        <v>3.1</v>
      </c>
      <c r="Q62" s="64">
        <v>3.1</v>
      </c>
      <c r="R62" s="64">
        <v>3.1</v>
      </c>
      <c r="S62" s="64">
        <v>3.1</v>
      </c>
      <c r="T62" s="64">
        <v>3.1</v>
      </c>
      <c r="U62" s="64">
        <v>3.1</v>
      </c>
      <c r="V62" s="64">
        <v>3.1</v>
      </c>
      <c r="W62" s="64">
        <v>3.1</v>
      </c>
      <c r="X62" s="64">
        <v>3.1</v>
      </c>
      <c r="Y62" s="64">
        <v>3.1</v>
      </c>
      <c r="Z62" s="64">
        <v>3.1</v>
      </c>
      <c r="AA62" s="64">
        <v>3.1</v>
      </c>
      <c r="AB62" s="64">
        <v>3.1</v>
      </c>
      <c r="AC62" s="64">
        <v>3.1</v>
      </c>
      <c r="AD62" s="64">
        <v>3.1</v>
      </c>
      <c r="AE62" s="64">
        <v>3.1</v>
      </c>
      <c r="AF62" s="64">
        <v>3.1</v>
      </c>
      <c r="AG62" s="54">
        <v>15</v>
      </c>
      <c r="AH62" s="47">
        <f t="shared" si="2"/>
        <v>3.1</v>
      </c>
      <c r="AI62" s="48">
        <f t="shared" si="3"/>
        <v>3.1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10.8</v>
      </c>
      <c r="C63" s="64">
        <v>6.6</v>
      </c>
      <c r="D63" s="64">
        <v>6.6</v>
      </c>
      <c r="E63" s="64">
        <v>6.6</v>
      </c>
      <c r="F63" s="64">
        <v>6.6</v>
      </c>
      <c r="G63" s="64">
        <v>6.6</v>
      </c>
      <c r="H63" s="64">
        <v>6.6</v>
      </c>
      <c r="I63" s="64">
        <v>6.6</v>
      </c>
      <c r="J63" s="64">
        <v>6.6</v>
      </c>
      <c r="K63" s="64">
        <v>6.6</v>
      </c>
      <c r="L63" s="64">
        <v>6.6</v>
      </c>
      <c r="M63" s="64">
        <v>6.6</v>
      </c>
      <c r="N63" s="64">
        <v>6.6</v>
      </c>
      <c r="O63" s="64"/>
      <c r="P63" s="64">
        <v>6.6</v>
      </c>
      <c r="Q63" s="64">
        <v>6.6</v>
      </c>
      <c r="R63" s="64">
        <v>6.6</v>
      </c>
      <c r="S63" s="64">
        <v>6.6</v>
      </c>
      <c r="T63" s="64">
        <v>6.6</v>
      </c>
      <c r="U63" s="64">
        <v>6.6</v>
      </c>
      <c r="V63" s="64">
        <v>6.6</v>
      </c>
      <c r="W63" s="64">
        <v>6.6</v>
      </c>
      <c r="X63" s="64">
        <v>6.6</v>
      </c>
      <c r="Y63" s="64">
        <v>6.6</v>
      </c>
      <c r="Z63" s="64">
        <v>6.6</v>
      </c>
      <c r="AA63" s="64">
        <v>6.6</v>
      </c>
      <c r="AB63" s="64">
        <v>6.6</v>
      </c>
      <c r="AC63" s="64">
        <v>6.6</v>
      </c>
      <c r="AD63" s="64">
        <v>6.6</v>
      </c>
      <c r="AE63" s="64">
        <v>6.6</v>
      </c>
      <c r="AF63" s="64">
        <v>11.8</v>
      </c>
      <c r="AG63" s="54">
        <v>14.1</v>
      </c>
      <c r="AH63" s="47">
        <f t="shared" si="2"/>
        <v>11.8</v>
      </c>
      <c r="AI63" s="48">
        <f t="shared" si="3"/>
        <v>6.6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5</v>
      </c>
      <c r="C64" s="64">
        <v>10</v>
      </c>
      <c r="D64" s="64">
        <v>10</v>
      </c>
      <c r="E64" s="64">
        <v>0</v>
      </c>
      <c r="F64" s="64">
        <v>0</v>
      </c>
      <c r="G64" s="64">
        <v>5</v>
      </c>
      <c r="H64" s="64">
        <v>5</v>
      </c>
      <c r="I64" s="64">
        <v>5</v>
      </c>
      <c r="J64" s="64">
        <v>5</v>
      </c>
      <c r="K64" s="64">
        <v>5</v>
      </c>
      <c r="L64" s="64">
        <v>5</v>
      </c>
      <c r="M64" s="64">
        <v>5</v>
      </c>
      <c r="N64" s="64">
        <v>5</v>
      </c>
      <c r="O64" s="64"/>
      <c r="P64" s="64">
        <v>6.8</v>
      </c>
      <c r="Q64" s="64">
        <v>6.8</v>
      </c>
      <c r="R64" s="64">
        <v>6.8</v>
      </c>
      <c r="S64" s="64">
        <v>6.8</v>
      </c>
      <c r="T64" s="64">
        <v>6.8</v>
      </c>
      <c r="U64" s="64">
        <v>6.8</v>
      </c>
      <c r="V64" s="64">
        <v>6.8</v>
      </c>
      <c r="W64" s="64">
        <v>6.8</v>
      </c>
      <c r="X64" s="64">
        <v>6.8</v>
      </c>
      <c r="Y64" s="64">
        <v>6.8</v>
      </c>
      <c r="Z64" s="64">
        <v>14</v>
      </c>
      <c r="AA64" s="64">
        <v>14</v>
      </c>
      <c r="AB64" s="64">
        <v>14</v>
      </c>
      <c r="AC64" s="64">
        <v>6.4</v>
      </c>
      <c r="AD64" s="64">
        <v>6.4</v>
      </c>
      <c r="AE64" s="64">
        <v>11.2</v>
      </c>
      <c r="AF64" s="64">
        <v>13.6</v>
      </c>
      <c r="AG64" s="54">
        <v>14</v>
      </c>
      <c r="AH64" s="47">
        <f t="shared" si="2"/>
        <v>14</v>
      </c>
      <c r="AI64" s="48">
        <f t="shared" si="3"/>
        <v>0</v>
      </c>
      <c r="AK64" s="50"/>
    </row>
    <row r="65" spans="1:40" x14ac:dyDescent="0.25">
      <c r="A65" s="53" t="s">
        <v>73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/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/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C68" si="11">SUM(B55:B67)</f>
        <v>373.64000000000004</v>
      </c>
      <c r="C68" s="60">
        <f t="shared" si="11"/>
        <v>354.44000000000005</v>
      </c>
      <c r="D68" s="60">
        <f t="shared" ref="D68" si="12">SUM(D55:D67)</f>
        <v>350.04000000000008</v>
      </c>
      <c r="E68" s="60">
        <f t="shared" ref="E68:AG68" si="13">SUM(E55:E67)</f>
        <v>340.04000000000008</v>
      </c>
      <c r="F68" s="60">
        <f t="shared" si="13"/>
        <v>340.04000000000008</v>
      </c>
      <c r="G68" s="60">
        <f t="shared" si="13"/>
        <v>345.04000000000008</v>
      </c>
      <c r="H68" s="60">
        <f t="shared" si="13"/>
        <v>311.04000000000008</v>
      </c>
      <c r="I68" s="60">
        <f t="shared" si="13"/>
        <v>211.03999999999996</v>
      </c>
      <c r="J68" s="60">
        <f t="shared" si="13"/>
        <v>163.73999999999998</v>
      </c>
      <c r="K68" s="60">
        <f t="shared" si="13"/>
        <v>309.44000000000005</v>
      </c>
      <c r="L68" s="60">
        <f t="shared" si="13"/>
        <v>309.44000000000005</v>
      </c>
      <c r="M68" s="60">
        <f t="shared" si="13"/>
        <v>276.64</v>
      </c>
      <c r="N68" s="60">
        <f t="shared" si="13"/>
        <v>214.43999999999997</v>
      </c>
      <c r="O68" s="60">
        <f t="shared" si="13"/>
        <v>3.54</v>
      </c>
      <c r="P68" s="60">
        <f t="shared" si="13"/>
        <v>267.14</v>
      </c>
      <c r="Q68" s="60">
        <f t="shared" si="13"/>
        <v>321.84000000000009</v>
      </c>
      <c r="R68" s="60">
        <f t="shared" si="13"/>
        <v>321.84000000000009</v>
      </c>
      <c r="S68" s="60">
        <f t="shared" si="13"/>
        <v>342.54000000000008</v>
      </c>
      <c r="T68" s="60">
        <f t="shared" si="13"/>
        <v>350.44000000000005</v>
      </c>
      <c r="U68" s="60">
        <f t="shared" si="13"/>
        <v>373.74000000000007</v>
      </c>
      <c r="V68" s="60">
        <f t="shared" si="13"/>
        <v>369.24000000000007</v>
      </c>
      <c r="W68" s="60">
        <f t="shared" si="13"/>
        <v>358.24</v>
      </c>
      <c r="X68" s="60">
        <f t="shared" si="13"/>
        <v>368.44000000000011</v>
      </c>
      <c r="Y68" s="60">
        <f t="shared" si="13"/>
        <v>376.44000000000005</v>
      </c>
      <c r="Z68" s="60">
        <f t="shared" si="13"/>
        <v>388.24000000000007</v>
      </c>
      <c r="AA68" s="60">
        <f t="shared" si="13"/>
        <v>389.64000000000004</v>
      </c>
      <c r="AB68" s="60">
        <f t="shared" si="13"/>
        <v>383.54</v>
      </c>
      <c r="AC68" s="60">
        <f t="shared" si="13"/>
        <v>379.34000000000003</v>
      </c>
      <c r="AD68" s="60">
        <f t="shared" si="13"/>
        <v>379.34000000000003</v>
      </c>
      <c r="AE68" s="60">
        <f t="shared" si="13"/>
        <v>386.74</v>
      </c>
      <c r="AF68" s="60">
        <f t="shared" si="13"/>
        <v>394.34000000000003</v>
      </c>
      <c r="AG68" s="61">
        <f t="shared" si="13"/>
        <v>489.91</v>
      </c>
      <c r="AH68" s="47">
        <f t="shared" si="2"/>
        <v>394.34000000000003</v>
      </c>
      <c r="AI68" s="48">
        <f t="shared" si="3"/>
        <v>3.54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66">
        <v>0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 t="shared" ref="B72:C72" si="14">B69+B70+B71</f>
        <v>0</v>
      </c>
      <c r="C72" s="60">
        <f t="shared" si="14"/>
        <v>0</v>
      </c>
      <c r="D72" s="60">
        <f t="shared" ref="D72" si="15">D69+D70+D71</f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6">M69+M70+M71</f>
        <v>0</v>
      </c>
      <c r="N72" s="60">
        <f t="shared" si="16"/>
        <v>0</v>
      </c>
      <c r="O72" s="60">
        <f t="shared" si="16"/>
        <v>0</v>
      </c>
      <c r="P72" s="60">
        <f t="shared" si="16"/>
        <v>0</v>
      </c>
      <c r="Q72" s="60">
        <f t="shared" si="16"/>
        <v>0</v>
      </c>
      <c r="R72" s="60">
        <f t="shared" si="16"/>
        <v>0</v>
      </c>
      <c r="S72" s="60">
        <f t="shared" si="16"/>
        <v>0</v>
      </c>
      <c r="T72" s="60">
        <f t="shared" si="16"/>
        <v>0</v>
      </c>
      <c r="U72" s="60">
        <f t="shared" si="16"/>
        <v>0</v>
      </c>
      <c r="V72" s="60">
        <f t="shared" si="16"/>
        <v>0</v>
      </c>
      <c r="W72" s="60">
        <f t="shared" si="16"/>
        <v>0</v>
      </c>
      <c r="X72" s="60">
        <f t="shared" si="16"/>
        <v>0</v>
      </c>
      <c r="Y72" s="60">
        <f t="shared" si="16"/>
        <v>0</v>
      </c>
      <c r="Z72" s="60">
        <f t="shared" si="16"/>
        <v>0</v>
      </c>
      <c r="AA72" s="60">
        <f t="shared" si="16"/>
        <v>0</v>
      </c>
      <c r="AB72" s="60">
        <f t="shared" si="16"/>
        <v>0</v>
      </c>
      <c r="AC72" s="60">
        <f t="shared" si="16"/>
        <v>0</v>
      </c>
      <c r="AD72" s="60">
        <f t="shared" si="16"/>
        <v>0</v>
      </c>
      <c r="AE72" s="60">
        <f t="shared" si="16"/>
        <v>0</v>
      </c>
      <c r="AF72" s="60">
        <f t="shared" si="16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26</v>
      </c>
      <c r="C73" s="45">
        <v>17</v>
      </c>
      <c r="D73" s="45">
        <v>20</v>
      </c>
      <c r="E73" s="45">
        <v>7.9</v>
      </c>
      <c r="F73" s="45">
        <v>13.9</v>
      </c>
      <c r="G73" s="45">
        <v>8.9</v>
      </c>
      <c r="H73" s="45">
        <v>8.9</v>
      </c>
      <c r="I73" s="45">
        <v>16</v>
      </c>
      <c r="J73" s="45">
        <v>24</v>
      </c>
      <c r="K73" s="45">
        <v>-10.9</v>
      </c>
      <c r="L73" s="45">
        <v>-10.9</v>
      </c>
      <c r="M73" s="45">
        <v>-10.9</v>
      </c>
      <c r="N73" s="45">
        <v>-8.4</v>
      </c>
      <c r="O73" s="45"/>
      <c r="P73" s="45">
        <v>-12.8</v>
      </c>
      <c r="Q73" s="45">
        <v>62.8</v>
      </c>
      <c r="R73" s="45">
        <v>62.8</v>
      </c>
      <c r="S73" s="45">
        <v>44.6</v>
      </c>
      <c r="T73" s="45">
        <v>50.6</v>
      </c>
      <c r="U73" s="45">
        <v>44.1</v>
      </c>
      <c r="V73" s="45">
        <v>40.799999999999997</v>
      </c>
      <c r="W73" s="45">
        <v>25.2</v>
      </c>
      <c r="X73" s="45">
        <v>26.5</v>
      </c>
      <c r="Y73" s="45">
        <v>-26.2</v>
      </c>
      <c r="Z73" s="45">
        <v>-1.9</v>
      </c>
      <c r="AA73" s="45">
        <v>-4</v>
      </c>
      <c r="AB73" s="45">
        <v>-5.7</v>
      </c>
      <c r="AC73" s="45">
        <v>3.1</v>
      </c>
      <c r="AD73" s="45">
        <v>8</v>
      </c>
      <c r="AE73" s="45">
        <v>9.6</v>
      </c>
      <c r="AF73" s="45">
        <v>0</v>
      </c>
      <c r="AG73" s="51"/>
      <c r="AH73" s="47">
        <f t="shared" si="2"/>
        <v>62.8</v>
      </c>
      <c r="AI73" s="48">
        <f t="shared" si="3"/>
        <v>-26.2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/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-295</v>
      </c>
      <c r="C75" s="64">
        <v>-314</v>
      </c>
      <c r="D75" s="64">
        <v>-315</v>
      </c>
      <c r="E75" s="64">
        <v>-349</v>
      </c>
      <c r="F75" s="64">
        <v>-345.9</v>
      </c>
      <c r="G75" s="64">
        <v>-362</v>
      </c>
      <c r="H75" s="64">
        <v>-362</v>
      </c>
      <c r="I75" s="64">
        <v>-368.8</v>
      </c>
      <c r="J75" s="64">
        <v>-383</v>
      </c>
      <c r="K75" s="64">
        <v>-345.7</v>
      </c>
      <c r="L75" s="64">
        <v>-345.7</v>
      </c>
      <c r="M75" s="64">
        <v>-345.7</v>
      </c>
      <c r="N75" s="64">
        <v>-326</v>
      </c>
      <c r="O75" s="64"/>
      <c r="P75" s="64">
        <v>-349.4</v>
      </c>
      <c r="Q75" s="64">
        <v>-277</v>
      </c>
      <c r="R75" s="64">
        <v>-375</v>
      </c>
      <c r="S75" s="64">
        <v>-326</v>
      </c>
      <c r="T75" s="64">
        <v>-353.4</v>
      </c>
      <c r="U75" s="64">
        <v>-363.7</v>
      </c>
      <c r="V75" s="64">
        <v>-373.2</v>
      </c>
      <c r="W75" s="64">
        <v>-429</v>
      </c>
      <c r="X75" s="64">
        <v>-393.5</v>
      </c>
      <c r="Y75" s="64">
        <v>-386.1</v>
      </c>
      <c r="Z75" s="64">
        <v>-325</v>
      </c>
      <c r="AA75" s="64">
        <v>-245</v>
      </c>
      <c r="AB75" s="64">
        <v>-272.10000000000002</v>
      </c>
      <c r="AC75" s="64">
        <v>-262</v>
      </c>
      <c r="AD75" s="64">
        <v>-187</v>
      </c>
      <c r="AE75" s="64">
        <v>-298</v>
      </c>
      <c r="AF75" s="64">
        <v>-259</v>
      </c>
      <c r="AG75" s="74"/>
      <c r="AH75" s="47">
        <f t="shared" si="2"/>
        <v>-187</v>
      </c>
      <c r="AI75" s="48">
        <f t="shared" si="3"/>
        <v>-429</v>
      </c>
      <c r="AK75" s="50"/>
    </row>
    <row r="76" spans="1:40" x14ac:dyDescent="0.25">
      <c r="A76" s="53" t="s">
        <v>84</v>
      </c>
      <c r="B76" s="75">
        <v>0</v>
      </c>
      <c r="C76" s="75">
        <v>0</v>
      </c>
      <c r="D76" s="75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/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75">
        <v>0</v>
      </c>
      <c r="C77" s="75">
        <v>0</v>
      </c>
      <c r="D77" s="75">
        <v>0</v>
      </c>
      <c r="E77" s="7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/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17">MAX(B77:AF77)</f>
        <v>0</v>
      </c>
      <c r="AI77" s="48">
        <f t="shared" ref="AI77:AI120" si="18">MIN(B77:AF77)</f>
        <v>0</v>
      </c>
      <c r="AK77" s="50"/>
    </row>
    <row r="78" spans="1:40" x14ac:dyDescent="0.25">
      <c r="A78" s="53" t="s">
        <v>86</v>
      </c>
      <c r="B78" s="75">
        <v>0</v>
      </c>
      <c r="C78" s="75">
        <v>0</v>
      </c>
      <c r="D78" s="75">
        <v>0</v>
      </c>
      <c r="E78" s="75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/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74"/>
      <c r="AH78" s="47">
        <f t="shared" si="17"/>
        <v>0</v>
      </c>
      <c r="AI78" s="48">
        <f t="shared" si="18"/>
        <v>0</v>
      </c>
      <c r="AK78" s="50"/>
    </row>
    <row r="79" spans="1:40" ht="15.75" thickBot="1" x14ac:dyDescent="0.3">
      <c r="A79" s="53" t="s">
        <v>87</v>
      </c>
      <c r="B79" s="75">
        <v>0</v>
      </c>
      <c r="C79" s="75">
        <v>0</v>
      </c>
      <c r="D79" s="75">
        <v>0</v>
      </c>
      <c r="E79" s="75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/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17"/>
        <v>0</v>
      </c>
      <c r="AI79" s="48">
        <f t="shared" si="18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75">
        <v>0</v>
      </c>
      <c r="C80" s="75">
        <v>0</v>
      </c>
      <c r="D80" s="75">
        <v>0</v>
      </c>
      <c r="E80" s="75">
        <v>0</v>
      </c>
      <c r="F80" s="76">
        <v>0</v>
      </c>
      <c r="G80" s="76">
        <v>0</v>
      </c>
      <c r="H80" s="76">
        <v>0</v>
      </c>
      <c r="I80" s="76">
        <v>0</v>
      </c>
      <c r="J80" s="76">
        <v>0</v>
      </c>
      <c r="K80" s="76">
        <v>0</v>
      </c>
      <c r="L80" s="76">
        <v>0</v>
      </c>
      <c r="M80" s="76">
        <v>0</v>
      </c>
      <c r="N80" s="76">
        <v>0</v>
      </c>
      <c r="O80" s="76"/>
      <c r="P80" s="76">
        <v>0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17"/>
        <v>0</v>
      </c>
      <c r="AI80" s="48">
        <f t="shared" si="18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75">
        <v>0</v>
      </c>
      <c r="C81" s="75">
        <v>0</v>
      </c>
      <c r="D81" s="75">
        <v>0</v>
      </c>
      <c r="E81" s="75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/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17"/>
        <v>0</v>
      </c>
      <c r="AI81" s="48">
        <f t="shared" si="18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75">
        <v>0</v>
      </c>
      <c r="C82" s="75">
        <v>0</v>
      </c>
      <c r="D82" s="75">
        <v>0</v>
      </c>
      <c r="E82" s="75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0</v>
      </c>
      <c r="N82" s="76">
        <v>0</v>
      </c>
      <c r="O82" s="76"/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17"/>
        <v>0</v>
      </c>
      <c r="AI82" s="48">
        <f t="shared" si="18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75">
        <v>0</v>
      </c>
      <c r="C83" s="75">
        <v>0</v>
      </c>
      <c r="D83" s="75">
        <v>0</v>
      </c>
      <c r="E83" s="75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/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17"/>
        <v>0</v>
      </c>
      <c r="AI83" s="48">
        <f t="shared" si="18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C84" si="19">SUMIF(B73:B83,"&gt;0")</f>
        <v>26</v>
      </c>
      <c r="C84" s="60">
        <f t="shared" si="19"/>
        <v>17</v>
      </c>
      <c r="D84" s="60">
        <f t="shared" ref="D84:AF84" si="20">SUMIF(D73:D83,"&gt;0")</f>
        <v>20</v>
      </c>
      <c r="E84" s="60">
        <f t="shared" si="20"/>
        <v>7.9</v>
      </c>
      <c r="F84" s="60">
        <f t="shared" si="20"/>
        <v>13.9</v>
      </c>
      <c r="G84" s="60">
        <f t="shared" si="20"/>
        <v>8.9</v>
      </c>
      <c r="H84" s="60">
        <f t="shared" si="20"/>
        <v>8.9</v>
      </c>
      <c r="I84" s="60">
        <f t="shared" si="20"/>
        <v>16</v>
      </c>
      <c r="J84" s="60">
        <f t="shared" si="20"/>
        <v>24</v>
      </c>
      <c r="K84" s="60">
        <f t="shared" si="20"/>
        <v>0</v>
      </c>
      <c r="L84" s="60">
        <f t="shared" si="20"/>
        <v>0</v>
      </c>
      <c r="M84" s="60">
        <f t="shared" si="20"/>
        <v>0</v>
      </c>
      <c r="N84" s="60">
        <f t="shared" si="20"/>
        <v>0</v>
      </c>
      <c r="O84" s="60">
        <f t="shared" si="20"/>
        <v>0</v>
      </c>
      <c r="P84" s="60">
        <f t="shared" si="20"/>
        <v>0</v>
      </c>
      <c r="Q84" s="60">
        <f t="shared" si="20"/>
        <v>62.8</v>
      </c>
      <c r="R84" s="60">
        <f t="shared" si="20"/>
        <v>62.8</v>
      </c>
      <c r="S84" s="60">
        <f t="shared" si="20"/>
        <v>44.6</v>
      </c>
      <c r="T84" s="60">
        <f t="shared" si="20"/>
        <v>50.6</v>
      </c>
      <c r="U84" s="60">
        <f t="shared" si="20"/>
        <v>44.1</v>
      </c>
      <c r="V84" s="60">
        <f t="shared" si="20"/>
        <v>40.799999999999997</v>
      </c>
      <c r="W84" s="60">
        <f t="shared" si="20"/>
        <v>25.2</v>
      </c>
      <c r="X84" s="60">
        <f t="shared" si="20"/>
        <v>26.5</v>
      </c>
      <c r="Y84" s="60">
        <f t="shared" si="20"/>
        <v>0</v>
      </c>
      <c r="Z84" s="60">
        <f t="shared" si="20"/>
        <v>0</v>
      </c>
      <c r="AA84" s="60">
        <f t="shared" si="20"/>
        <v>0</v>
      </c>
      <c r="AB84" s="60">
        <f t="shared" si="20"/>
        <v>0</v>
      </c>
      <c r="AC84" s="60">
        <f t="shared" si="20"/>
        <v>3.1</v>
      </c>
      <c r="AD84" s="60">
        <f t="shared" si="20"/>
        <v>8</v>
      </c>
      <c r="AE84" s="60">
        <f t="shared" si="20"/>
        <v>9.6</v>
      </c>
      <c r="AF84" s="60">
        <f t="shared" si="20"/>
        <v>0</v>
      </c>
      <c r="AG84" s="87">
        <f>SUM(AG73:AG83)</f>
        <v>0</v>
      </c>
      <c r="AH84" s="47">
        <f t="shared" si="17"/>
        <v>62.8</v>
      </c>
      <c r="AI84" s="48">
        <f t="shared" si="18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7"/>
        <v>0</v>
      </c>
      <c r="AI85" s="48">
        <f t="shared" si="18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7"/>
        <v>0</v>
      </c>
      <c r="AI86" s="48">
        <f t="shared" si="18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7"/>
        <v>0</v>
      </c>
      <c r="AI87" s="48">
        <f t="shared" si="18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7"/>
        <v>0</v>
      </c>
      <c r="AI88" s="48">
        <f t="shared" si="18"/>
        <v>0</v>
      </c>
    </row>
    <row r="89" spans="1:40" ht="15.75" thickBot="1" x14ac:dyDescent="0.3">
      <c r="A89" s="73" t="s">
        <v>100</v>
      </c>
      <c r="B89" s="94">
        <f t="shared" ref="B89:C89" si="21">B50+B54+B72+B68+B84+B88</f>
        <v>1773.0400000000002</v>
      </c>
      <c r="C89" s="94">
        <f t="shared" si="21"/>
        <v>1742.3400000000001</v>
      </c>
      <c r="D89" s="94">
        <f t="shared" ref="D89:AG89" si="22">D50+D54+D72+D68+D84+D88</f>
        <v>1758.54</v>
      </c>
      <c r="E89" s="94">
        <f t="shared" si="22"/>
        <v>1695.94</v>
      </c>
      <c r="F89" s="94">
        <f t="shared" si="22"/>
        <v>1703.44</v>
      </c>
      <c r="G89" s="94">
        <f t="shared" si="22"/>
        <v>1736.44</v>
      </c>
      <c r="H89" s="94">
        <f t="shared" si="22"/>
        <v>1702.44</v>
      </c>
      <c r="I89" s="94">
        <f t="shared" si="22"/>
        <v>1609.54</v>
      </c>
      <c r="J89" s="94">
        <f t="shared" si="22"/>
        <v>1582.94</v>
      </c>
      <c r="K89" s="94">
        <f t="shared" si="22"/>
        <v>1767.64</v>
      </c>
      <c r="L89" s="94">
        <f t="shared" si="22"/>
        <v>1767.64</v>
      </c>
      <c r="M89" s="94">
        <f t="shared" si="22"/>
        <v>1734.8400000000001</v>
      </c>
      <c r="N89" s="94">
        <f t="shared" si="22"/>
        <v>1672.64</v>
      </c>
      <c r="O89" s="94">
        <f t="shared" si="22"/>
        <v>3.54</v>
      </c>
      <c r="P89" s="94">
        <f t="shared" si="22"/>
        <v>1734.54</v>
      </c>
      <c r="Q89" s="94">
        <f t="shared" si="22"/>
        <v>1935.44</v>
      </c>
      <c r="R89" s="94">
        <f t="shared" si="22"/>
        <v>1929.24</v>
      </c>
      <c r="S89" s="94">
        <f t="shared" si="22"/>
        <v>1901.8400000000001</v>
      </c>
      <c r="T89" s="94">
        <f t="shared" si="22"/>
        <v>1951.8400000000001</v>
      </c>
      <c r="U89" s="94">
        <f t="shared" si="22"/>
        <v>1968.64</v>
      </c>
      <c r="V89" s="94">
        <f t="shared" si="22"/>
        <v>1945.44</v>
      </c>
      <c r="W89" s="94">
        <f t="shared" si="22"/>
        <v>1932.7400000000002</v>
      </c>
      <c r="X89" s="94">
        <f t="shared" si="22"/>
        <v>1952.7400000000002</v>
      </c>
      <c r="Y89" s="94">
        <f t="shared" si="22"/>
        <v>1917.3400000000001</v>
      </c>
      <c r="Z89" s="94">
        <f t="shared" si="22"/>
        <v>1944.84</v>
      </c>
      <c r="AA89" s="94">
        <f t="shared" si="22"/>
        <v>2060.2399999999998</v>
      </c>
      <c r="AB89" s="94">
        <f t="shared" si="22"/>
        <v>2074.62</v>
      </c>
      <c r="AC89" s="94">
        <f t="shared" si="22"/>
        <v>2071.2200000000003</v>
      </c>
      <c r="AD89" s="94">
        <f t="shared" si="22"/>
        <v>2050.1200000000003</v>
      </c>
      <c r="AE89" s="94">
        <f t="shared" si="22"/>
        <v>2052.1200000000003</v>
      </c>
      <c r="AF89" s="94">
        <f t="shared" si="22"/>
        <v>1999.7200000000003</v>
      </c>
      <c r="AG89" s="61">
        <f t="shared" si="22"/>
        <v>2111.5500000000002</v>
      </c>
      <c r="AH89" s="47">
        <f t="shared" si="17"/>
        <v>2074.62</v>
      </c>
      <c r="AI89" s="48">
        <f t="shared" si="18"/>
        <v>3.54</v>
      </c>
    </row>
    <row r="90" spans="1:40" ht="15.75" thickBot="1" x14ac:dyDescent="0.3">
      <c r="A90" s="95" t="s">
        <v>101</v>
      </c>
      <c r="B90" s="96">
        <v>80</v>
      </c>
      <c r="C90" s="96">
        <v>80</v>
      </c>
      <c r="D90" s="96">
        <v>80</v>
      </c>
      <c r="E90" s="96">
        <v>80</v>
      </c>
      <c r="F90" s="96">
        <v>80</v>
      </c>
      <c r="G90" s="96">
        <v>80</v>
      </c>
      <c r="H90" s="96">
        <v>80</v>
      </c>
      <c r="I90" s="96">
        <v>120</v>
      </c>
      <c r="J90" s="96">
        <v>100</v>
      </c>
      <c r="K90" s="96">
        <v>80</v>
      </c>
      <c r="L90" s="96">
        <v>80</v>
      </c>
      <c r="M90" s="96">
        <v>80</v>
      </c>
      <c r="N90" s="96">
        <v>80</v>
      </c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7"/>
        <v>120</v>
      </c>
      <c r="AI90" s="48">
        <f t="shared" si="18"/>
        <v>80</v>
      </c>
    </row>
    <row r="91" spans="1:40" ht="15.75" thickBot="1" x14ac:dyDescent="0.3">
      <c r="A91" s="73" t="s">
        <v>102</v>
      </c>
      <c r="B91" s="94">
        <f t="shared" ref="B91:C91" si="23">B89+B90</f>
        <v>1853.0400000000002</v>
      </c>
      <c r="C91" s="94">
        <f t="shared" si="23"/>
        <v>1822.3400000000001</v>
      </c>
      <c r="D91" s="94">
        <f t="shared" ref="D91:AF91" si="24">D89+D90</f>
        <v>1838.54</v>
      </c>
      <c r="E91" s="94">
        <f t="shared" si="24"/>
        <v>1775.94</v>
      </c>
      <c r="F91" s="94">
        <f t="shared" si="24"/>
        <v>1783.44</v>
      </c>
      <c r="G91" s="94">
        <f t="shared" si="24"/>
        <v>1816.44</v>
      </c>
      <c r="H91" s="94">
        <f t="shared" si="24"/>
        <v>1782.44</v>
      </c>
      <c r="I91" s="94">
        <f t="shared" si="24"/>
        <v>1729.54</v>
      </c>
      <c r="J91" s="94">
        <f t="shared" si="24"/>
        <v>1682.94</v>
      </c>
      <c r="K91" s="94">
        <f t="shared" si="24"/>
        <v>1847.64</v>
      </c>
      <c r="L91" s="94">
        <f t="shared" si="24"/>
        <v>1847.64</v>
      </c>
      <c r="M91" s="94">
        <f t="shared" si="24"/>
        <v>1814.8400000000001</v>
      </c>
      <c r="N91" s="94">
        <f t="shared" si="24"/>
        <v>1752.64</v>
      </c>
      <c r="O91" s="94">
        <f t="shared" si="24"/>
        <v>3.54</v>
      </c>
      <c r="P91" s="94">
        <f t="shared" si="24"/>
        <v>1734.54</v>
      </c>
      <c r="Q91" s="94">
        <f t="shared" si="24"/>
        <v>1935.44</v>
      </c>
      <c r="R91" s="94">
        <f t="shared" si="24"/>
        <v>1929.24</v>
      </c>
      <c r="S91" s="94">
        <f t="shared" si="24"/>
        <v>1901.8400000000001</v>
      </c>
      <c r="T91" s="94">
        <f t="shared" si="24"/>
        <v>1951.8400000000001</v>
      </c>
      <c r="U91" s="94">
        <f t="shared" si="24"/>
        <v>1968.64</v>
      </c>
      <c r="V91" s="94">
        <f t="shared" si="24"/>
        <v>1945.44</v>
      </c>
      <c r="W91" s="94">
        <f t="shared" si="24"/>
        <v>1932.7400000000002</v>
      </c>
      <c r="X91" s="94">
        <f t="shared" si="24"/>
        <v>1952.7400000000002</v>
      </c>
      <c r="Y91" s="94">
        <f t="shared" si="24"/>
        <v>1917.3400000000001</v>
      </c>
      <c r="Z91" s="94">
        <f t="shared" si="24"/>
        <v>1944.84</v>
      </c>
      <c r="AA91" s="94">
        <f t="shared" si="24"/>
        <v>2060.2399999999998</v>
      </c>
      <c r="AB91" s="94">
        <f t="shared" si="24"/>
        <v>2074.62</v>
      </c>
      <c r="AC91" s="94">
        <f t="shared" si="24"/>
        <v>2071.2200000000003</v>
      </c>
      <c r="AD91" s="94">
        <f t="shared" si="24"/>
        <v>2050.1200000000003</v>
      </c>
      <c r="AE91" s="94">
        <f t="shared" si="24"/>
        <v>2052.1200000000003</v>
      </c>
      <c r="AF91" s="94">
        <f t="shared" si="24"/>
        <v>1999.7200000000003</v>
      </c>
      <c r="AG91" s="87">
        <f>AG88+AG84+AG72+AG68+AG50+AG90</f>
        <v>1573.45</v>
      </c>
      <c r="AH91" s="47">
        <f t="shared" si="17"/>
        <v>2074.62</v>
      </c>
      <c r="AI91" s="48">
        <f t="shared" si="18"/>
        <v>3.54</v>
      </c>
    </row>
    <row r="92" spans="1:40" ht="15.75" thickBot="1" x14ac:dyDescent="0.3">
      <c r="A92" s="73" t="s">
        <v>103</v>
      </c>
      <c r="B92" s="94">
        <f t="shared" ref="B92:C92" si="25">B91-B99</f>
        <v>1853.0400000000002</v>
      </c>
      <c r="C92" s="94">
        <f t="shared" si="25"/>
        <v>1822.3400000000001</v>
      </c>
      <c r="D92" s="94">
        <f t="shared" ref="D92:AF92" si="26">D91-D99</f>
        <v>1838.54</v>
      </c>
      <c r="E92" s="94">
        <f t="shared" si="26"/>
        <v>1775.94</v>
      </c>
      <c r="F92" s="94">
        <f t="shared" si="26"/>
        <v>1783.44</v>
      </c>
      <c r="G92" s="94">
        <f t="shared" si="26"/>
        <v>1816.44</v>
      </c>
      <c r="H92" s="94">
        <f t="shared" si="26"/>
        <v>1782.44</v>
      </c>
      <c r="I92" s="94">
        <f t="shared" si="26"/>
        <v>1729.54</v>
      </c>
      <c r="J92" s="94">
        <f t="shared" si="26"/>
        <v>1682.94</v>
      </c>
      <c r="K92" s="94">
        <f t="shared" si="26"/>
        <v>1847.64</v>
      </c>
      <c r="L92" s="94">
        <f t="shared" si="26"/>
        <v>1847.64</v>
      </c>
      <c r="M92" s="94">
        <f t="shared" si="26"/>
        <v>1814.8400000000001</v>
      </c>
      <c r="N92" s="94">
        <f t="shared" si="26"/>
        <v>1752.64</v>
      </c>
      <c r="O92" s="94">
        <f t="shared" si="26"/>
        <v>3.54</v>
      </c>
      <c r="P92" s="94">
        <f t="shared" si="26"/>
        <v>1734.54</v>
      </c>
      <c r="Q92" s="94">
        <f t="shared" si="26"/>
        <v>1935.44</v>
      </c>
      <c r="R92" s="94">
        <f t="shared" si="26"/>
        <v>1929.24</v>
      </c>
      <c r="S92" s="94">
        <f t="shared" si="26"/>
        <v>1901.8400000000001</v>
      </c>
      <c r="T92" s="94">
        <f t="shared" si="26"/>
        <v>1951.8400000000001</v>
      </c>
      <c r="U92" s="94">
        <f t="shared" si="26"/>
        <v>1968.64</v>
      </c>
      <c r="V92" s="94">
        <f t="shared" si="26"/>
        <v>1945.44</v>
      </c>
      <c r="W92" s="94">
        <f t="shared" si="26"/>
        <v>1932.7400000000002</v>
      </c>
      <c r="X92" s="94">
        <f t="shared" si="26"/>
        <v>1952.7400000000002</v>
      </c>
      <c r="Y92" s="94">
        <f t="shared" si="26"/>
        <v>1917.3400000000001</v>
      </c>
      <c r="Z92" s="94">
        <f t="shared" si="26"/>
        <v>1944.84</v>
      </c>
      <c r="AA92" s="94">
        <f t="shared" si="26"/>
        <v>2060.2399999999998</v>
      </c>
      <c r="AB92" s="94">
        <f t="shared" si="26"/>
        <v>2074.62</v>
      </c>
      <c r="AC92" s="94">
        <f t="shared" si="26"/>
        <v>2071.2200000000003</v>
      </c>
      <c r="AD92" s="94">
        <f t="shared" si="26"/>
        <v>2050.1200000000003</v>
      </c>
      <c r="AE92" s="94">
        <f t="shared" si="26"/>
        <v>2052.1200000000003</v>
      </c>
      <c r="AF92" s="94">
        <f t="shared" si="26"/>
        <v>1999.7200000000003</v>
      </c>
      <c r="AG92" s="87"/>
      <c r="AH92" s="47">
        <f t="shared" si="17"/>
        <v>2074.62</v>
      </c>
      <c r="AI92" s="48">
        <f t="shared" si="18"/>
        <v>3.54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7"/>
        <v>0</v>
      </c>
      <c r="AI93" s="48">
        <f t="shared" si="18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7"/>
        <v>0</v>
      </c>
      <c r="AI94" s="48">
        <f t="shared" si="18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7"/>
        <v>0</v>
      </c>
      <c r="AI95" s="48">
        <f t="shared" si="18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7"/>
        <v>0</v>
      </c>
      <c r="AI96" s="48">
        <f t="shared" si="18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7"/>
        <v>0</v>
      </c>
      <c r="AI97" s="48">
        <f t="shared" si="18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7"/>
        <v>0</v>
      </c>
      <c r="AI98" s="48">
        <f t="shared" si="18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17"/>
        <v>0</v>
      </c>
      <c r="AI99" s="48">
        <f t="shared" si="18"/>
        <v>0</v>
      </c>
      <c r="AK99" s="50"/>
    </row>
    <row r="100" spans="1:37" ht="15.75" thickBot="1" x14ac:dyDescent="0.3">
      <c r="A100" s="73" t="s">
        <v>108</v>
      </c>
      <c r="B100" s="60">
        <f t="shared" ref="B100:C100" si="27">B84-B99</f>
        <v>26</v>
      </c>
      <c r="C100" s="60">
        <f t="shared" si="27"/>
        <v>17</v>
      </c>
      <c r="D100" s="60">
        <f t="shared" ref="D100:AF100" si="28">D84-D99</f>
        <v>20</v>
      </c>
      <c r="E100" s="60">
        <f t="shared" si="28"/>
        <v>7.9</v>
      </c>
      <c r="F100" s="60">
        <f t="shared" si="28"/>
        <v>13.9</v>
      </c>
      <c r="G100" s="60">
        <f t="shared" si="28"/>
        <v>8.9</v>
      </c>
      <c r="H100" s="60">
        <f t="shared" si="28"/>
        <v>8.9</v>
      </c>
      <c r="I100" s="60">
        <f t="shared" si="28"/>
        <v>16</v>
      </c>
      <c r="J100" s="60">
        <f t="shared" si="28"/>
        <v>24</v>
      </c>
      <c r="K100" s="60">
        <f t="shared" si="28"/>
        <v>0</v>
      </c>
      <c r="L100" s="60">
        <f t="shared" si="28"/>
        <v>0</v>
      </c>
      <c r="M100" s="60">
        <f t="shared" si="28"/>
        <v>0</v>
      </c>
      <c r="N100" s="60">
        <f t="shared" si="28"/>
        <v>0</v>
      </c>
      <c r="O100" s="60">
        <f t="shared" si="28"/>
        <v>0</v>
      </c>
      <c r="P100" s="60">
        <f t="shared" si="28"/>
        <v>0</v>
      </c>
      <c r="Q100" s="60">
        <f t="shared" si="28"/>
        <v>62.8</v>
      </c>
      <c r="R100" s="60">
        <f t="shared" si="28"/>
        <v>62.8</v>
      </c>
      <c r="S100" s="60">
        <f t="shared" si="28"/>
        <v>44.6</v>
      </c>
      <c r="T100" s="60">
        <f t="shared" si="28"/>
        <v>50.6</v>
      </c>
      <c r="U100" s="60">
        <f t="shared" si="28"/>
        <v>44.1</v>
      </c>
      <c r="V100" s="60">
        <f t="shared" si="28"/>
        <v>40.799999999999997</v>
      </c>
      <c r="W100" s="60">
        <f t="shared" si="28"/>
        <v>25.2</v>
      </c>
      <c r="X100" s="60">
        <f t="shared" si="28"/>
        <v>26.5</v>
      </c>
      <c r="Y100" s="60">
        <f t="shared" si="28"/>
        <v>0</v>
      </c>
      <c r="Z100" s="60">
        <f t="shared" si="28"/>
        <v>0</v>
      </c>
      <c r="AA100" s="60">
        <f t="shared" si="28"/>
        <v>0</v>
      </c>
      <c r="AB100" s="60">
        <f t="shared" si="28"/>
        <v>0</v>
      </c>
      <c r="AC100" s="60">
        <f t="shared" si="28"/>
        <v>3.1</v>
      </c>
      <c r="AD100" s="60">
        <f t="shared" si="28"/>
        <v>8</v>
      </c>
      <c r="AE100" s="60">
        <f t="shared" si="28"/>
        <v>9.6</v>
      </c>
      <c r="AF100" s="60">
        <f t="shared" si="28"/>
        <v>0</v>
      </c>
      <c r="AG100" s="87"/>
      <c r="AH100" s="47">
        <f t="shared" si="17"/>
        <v>62.8</v>
      </c>
      <c r="AI100" s="48">
        <f t="shared" si="18"/>
        <v>0</v>
      </c>
    </row>
    <row r="101" spans="1:37" x14ac:dyDescent="0.25">
      <c r="A101" s="99" t="s">
        <v>109</v>
      </c>
      <c r="B101" s="100">
        <v>50.02</v>
      </c>
      <c r="C101" s="100">
        <v>50.04</v>
      </c>
      <c r="D101" s="100">
        <v>50.02</v>
      </c>
      <c r="E101" s="100">
        <v>50.012</v>
      </c>
      <c r="F101" s="100">
        <v>50.012999999999998</v>
      </c>
      <c r="G101" s="100">
        <v>50.057000000000002</v>
      </c>
      <c r="H101" s="100">
        <v>50.033999999999999</v>
      </c>
      <c r="I101" s="100">
        <v>50.030999999999999</v>
      </c>
      <c r="J101" s="100">
        <v>49.948</v>
      </c>
      <c r="K101" s="100">
        <v>50.037999999999997</v>
      </c>
      <c r="L101" s="100">
        <v>50.037999999999997</v>
      </c>
      <c r="M101" s="100">
        <v>50.106999999999999</v>
      </c>
      <c r="N101" s="100">
        <v>50.167999999999999</v>
      </c>
      <c r="O101" s="100"/>
      <c r="P101" s="100">
        <v>50.036999999999999</v>
      </c>
      <c r="Q101" s="100">
        <v>50.286000000000001</v>
      </c>
      <c r="R101" s="100">
        <v>50.29</v>
      </c>
      <c r="S101" s="100">
        <v>50.005000000000003</v>
      </c>
      <c r="T101" s="100">
        <v>50.109000000000002</v>
      </c>
      <c r="U101" s="100">
        <v>50.01</v>
      </c>
      <c r="V101" s="100">
        <v>49.930999999999997</v>
      </c>
      <c r="W101" s="100">
        <v>49.881</v>
      </c>
      <c r="X101" s="100">
        <v>49.914999999999999</v>
      </c>
      <c r="Y101" s="100">
        <v>49.997999999999998</v>
      </c>
      <c r="Z101" s="100">
        <v>49.956000000000003</v>
      </c>
      <c r="AA101" s="100">
        <v>50.005000000000003</v>
      </c>
      <c r="AB101" s="100">
        <v>50.06</v>
      </c>
      <c r="AC101" s="100">
        <v>49.941000000000003</v>
      </c>
      <c r="AD101" s="100">
        <v>49.993000000000002</v>
      </c>
      <c r="AE101" s="100">
        <v>49.97</v>
      </c>
      <c r="AF101" s="100">
        <v>49.988</v>
      </c>
      <c r="AG101" s="101"/>
      <c r="AH101" s="47">
        <f t="shared" si="17"/>
        <v>50.29</v>
      </c>
      <c r="AI101" s="48">
        <f t="shared" si="18"/>
        <v>49.881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7"/>
        <v>0</v>
      </c>
      <c r="AI102" s="48">
        <f t="shared" si="18"/>
        <v>0</v>
      </c>
    </row>
    <row r="103" spans="1:37" x14ac:dyDescent="0.25">
      <c r="A103" s="102" t="s">
        <v>111</v>
      </c>
      <c r="B103" s="64">
        <v>127</v>
      </c>
      <c r="C103" s="64">
        <v>127.5</v>
      </c>
      <c r="D103" s="64">
        <v>127.6</v>
      </c>
      <c r="E103" s="64">
        <v>130</v>
      </c>
      <c r="F103" s="64">
        <v>127.5</v>
      </c>
      <c r="G103" s="64">
        <v>129.19999999999999</v>
      </c>
      <c r="H103" s="64">
        <v>130</v>
      </c>
      <c r="I103" s="64">
        <v>127.9</v>
      </c>
      <c r="J103" s="64">
        <v>125.2</v>
      </c>
      <c r="K103" s="64">
        <v>125.2</v>
      </c>
      <c r="L103" s="64">
        <v>125.2</v>
      </c>
      <c r="M103" s="64">
        <v>124.4</v>
      </c>
      <c r="N103" s="64">
        <v>126.6</v>
      </c>
      <c r="O103" s="64"/>
      <c r="P103" s="64">
        <v>125.7</v>
      </c>
      <c r="Q103" s="64">
        <v>122.9</v>
      </c>
      <c r="R103" s="64">
        <v>124.9</v>
      </c>
      <c r="S103" s="64">
        <v>123.6</v>
      </c>
      <c r="T103" s="64">
        <v>124</v>
      </c>
      <c r="U103" s="64">
        <v>126.4</v>
      </c>
      <c r="V103" s="64">
        <v>127.8</v>
      </c>
      <c r="W103" s="64">
        <v>127.4</v>
      </c>
      <c r="X103" s="64">
        <v>129.19999999999999</v>
      </c>
      <c r="Y103" s="64">
        <v>129</v>
      </c>
      <c r="Z103" s="64">
        <v>128.30000000000001</v>
      </c>
      <c r="AA103" s="64">
        <v>126.3</v>
      </c>
      <c r="AB103" s="64">
        <v>127</v>
      </c>
      <c r="AC103" s="64">
        <v>126.4</v>
      </c>
      <c r="AD103" s="64">
        <v>127.5</v>
      </c>
      <c r="AE103" s="64">
        <v>127.5</v>
      </c>
      <c r="AF103" s="64">
        <v>127.5</v>
      </c>
      <c r="AG103" s="103"/>
      <c r="AH103" s="47">
        <f t="shared" si="17"/>
        <v>130</v>
      </c>
      <c r="AI103" s="48">
        <f t="shared" si="18"/>
        <v>122.9</v>
      </c>
    </row>
    <row r="104" spans="1:37" x14ac:dyDescent="0.25">
      <c r="A104" s="102" t="s">
        <v>112</v>
      </c>
      <c r="B104" s="64">
        <v>128.30000000000001</v>
      </c>
      <c r="C104" s="64">
        <v>130</v>
      </c>
      <c r="D104" s="64">
        <v>129.4</v>
      </c>
      <c r="E104" s="64">
        <v>130</v>
      </c>
      <c r="F104" s="64">
        <v>130.19999999999999</v>
      </c>
      <c r="G104" s="64">
        <v>128.9</v>
      </c>
      <c r="H104" s="64">
        <v>129.9</v>
      </c>
      <c r="I104" s="64">
        <v>128</v>
      </c>
      <c r="J104" s="64">
        <v>125.9</v>
      </c>
      <c r="K104" s="64">
        <v>127.2</v>
      </c>
      <c r="L104" s="64">
        <v>127.2</v>
      </c>
      <c r="M104" s="64">
        <v>126.4</v>
      </c>
      <c r="N104" s="64">
        <v>126.3</v>
      </c>
      <c r="O104" s="64"/>
      <c r="P104" s="64">
        <v>127.9</v>
      </c>
      <c r="Q104" s="64">
        <v>125.6</v>
      </c>
      <c r="R104" s="64">
        <v>125.4</v>
      </c>
      <c r="S104" s="64">
        <v>127.8</v>
      </c>
      <c r="T104" s="64">
        <v>125</v>
      </c>
      <c r="U104" s="64">
        <v>126.7</v>
      </c>
      <c r="V104" s="64">
        <v>128</v>
      </c>
      <c r="W104" s="64">
        <v>128.30000000000001</v>
      </c>
      <c r="X104" s="64">
        <v>126.9</v>
      </c>
      <c r="Y104" s="64">
        <v>128.30000000000001</v>
      </c>
      <c r="Z104" s="64">
        <v>126.4</v>
      </c>
      <c r="AA104" s="64">
        <v>124.8</v>
      </c>
      <c r="AB104" s="64">
        <v>126.1</v>
      </c>
      <c r="AC104" s="64">
        <v>121.8</v>
      </c>
      <c r="AD104" s="64">
        <v>127.5</v>
      </c>
      <c r="AE104" s="64">
        <v>125.6</v>
      </c>
      <c r="AF104" s="64">
        <v>126</v>
      </c>
      <c r="AG104" s="103"/>
      <c r="AH104" s="47">
        <f t="shared" si="17"/>
        <v>130.19999999999999</v>
      </c>
      <c r="AI104" s="48">
        <f t="shared" si="18"/>
        <v>121.8</v>
      </c>
    </row>
    <row r="105" spans="1:37" x14ac:dyDescent="0.25">
      <c r="A105" s="104" t="s">
        <v>113</v>
      </c>
      <c r="B105" s="64">
        <v>133.1</v>
      </c>
      <c r="C105" s="64">
        <v>133.5</v>
      </c>
      <c r="D105" s="64">
        <v>133.30000000000001</v>
      </c>
      <c r="E105" s="64">
        <v>134</v>
      </c>
      <c r="F105" s="64">
        <v>134.4</v>
      </c>
      <c r="G105" s="64">
        <v>132</v>
      </c>
      <c r="H105" s="64">
        <v>132.4</v>
      </c>
      <c r="I105" s="64">
        <v>130.9</v>
      </c>
      <c r="J105" s="64">
        <v>128</v>
      </c>
      <c r="K105" s="64">
        <v>130.4</v>
      </c>
      <c r="L105" s="64">
        <v>130.4</v>
      </c>
      <c r="M105" s="64">
        <v>128.19999999999999</v>
      </c>
      <c r="N105" s="64">
        <v>128</v>
      </c>
      <c r="O105" s="64"/>
      <c r="P105" s="64">
        <v>128.30000000000001</v>
      </c>
      <c r="Q105" s="64">
        <v>127.8</v>
      </c>
      <c r="R105" s="64">
        <v>127</v>
      </c>
      <c r="S105" s="64">
        <v>129.1</v>
      </c>
      <c r="T105" s="64">
        <v>126.8</v>
      </c>
      <c r="U105" s="64">
        <v>128.1</v>
      </c>
      <c r="V105" s="64">
        <v>129.5</v>
      </c>
      <c r="W105" s="64">
        <v>130.9</v>
      </c>
      <c r="X105" s="64">
        <v>129.5</v>
      </c>
      <c r="Y105" s="64">
        <v>128.19999999999999</v>
      </c>
      <c r="Z105" s="64">
        <v>128.69999999999999</v>
      </c>
      <c r="AA105" s="64">
        <v>127.7</v>
      </c>
      <c r="AB105" s="64">
        <v>128.19999999999999</v>
      </c>
      <c r="AC105" s="64">
        <v>124.5</v>
      </c>
      <c r="AD105" s="64">
        <v>125.9</v>
      </c>
      <c r="AE105" s="64">
        <v>128.9</v>
      </c>
      <c r="AF105" s="64">
        <v>128.30000000000001</v>
      </c>
      <c r="AG105" s="103"/>
      <c r="AH105" s="47">
        <f t="shared" si="17"/>
        <v>134.4</v>
      </c>
      <c r="AI105" s="48">
        <f t="shared" si="18"/>
        <v>124.5</v>
      </c>
    </row>
    <row r="106" spans="1:37" x14ac:dyDescent="0.25">
      <c r="A106" s="104" t="s">
        <v>114</v>
      </c>
      <c r="B106" s="105">
        <v>131.4</v>
      </c>
      <c r="C106" s="105">
        <v>134.9</v>
      </c>
      <c r="D106" s="105">
        <v>134.80000000000001</v>
      </c>
      <c r="E106" s="105">
        <v>134.69999999999999</v>
      </c>
      <c r="F106" s="105">
        <v>134</v>
      </c>
      <c r="G106" s="105">
        <v>133.5</v>
      </c>
      <c r="H106" s="105">
        <v>132.69999999999999</v>
      </c>
      <c r="I106" s="105">
        <v>132.4</v>
      </c>
      <c r="J106" s="105">
        <v>132.1</v>
      </c>
      <c r="K106" s="105">
        <v>133.80000000000001</v>
      </c>
      <c r="L106" s="105">
        <v>133.80000000000001</v>
      </c>
      <c r="M106" s="105">
        <v>130</v>
      </c>
      <c r="N106" s="105">
        <v>133.5</v>
      </c>
      <c r="O106" s="105"/>
      <c r="P106" s="105">
        <v>125.8</v>
      </c>
      <c r="Q106" s="105">
        <v>131.69999999999999</v>
      </c>
      <c r="R106" s="105">
        <v>132.4</v>
      </c>
      <c r="S106" s="105">
        <v>133</v>
      </c>
      <c r="T106" s="105">
        <v>131.1</v>
      </c>
      <c r="U106" s="105">
        <v>133.19999999999999</v>
      </c>
      <c r="V106" s="105">
        <v>134</v>
      </c>
      <c r="W106" s="105">
        <v>134.1</v>
      </c>
      <c r="X106" s="105">
        <v>133</v>
      </c>
      <c r="Y106" s="105">
        <v>132.19999999999999</v>
      </c>
      <c r="Z106" s="105">
        <v>132.6</v>
      </c>
      <c r="AA106" s="105">
        <v>128.5</v>
      </c>
      <c r="AB106" s="105">
        <v>133.6</v>
      </c>
      <c r="AC106" s="105">
        <v>134.19999999999999</v>
      </c>
      <c r="AD106" s="105">
        <v>129.69999999999999</v>
      </c>
      <c r="AE106" s="105">
        <v>130.4</v>
      </c>
      <c r="AF106" s="105">
        <v>130.9</v>
      </c>
      <c r="AG106" s="106"/>
      <c r="AH106" s="47">
        <f t="shared" si="17"/>
        <v>134.9</v>
      </c>
      <c r="AI106" s="48">
        <f t="shared" si="18"/>
        <v>125.8</v>
      </c>
    </row>
    <row r="107" spans="1:37" x14ac:dyDescent="0.25">
      <c r="A107" s="102" t="s">
        <v>115</v>
      </c>
      <c r="B107" s="64">
        <v>131.69999999999999</v>
      </c>
      <c r="C107" s="64">
        <v>127.4</v>
      </c>
      <c r="D107" s="64">
        <v>127.5</v>
      </c>
      <c r="E107" s="64">
        <v>128.19999999999999</v>
      </c>
      <c r="F107" s="64">
        <v>129.80000000000001</v>
      </c>
      <c r="G107" s="64">
        <v>130.9</v>
      </c>
      <c r="H107" s="64">
        <v>131.19999999999999</v>
      </c>
      <c r="I107" s="64">
        <v>136.4</v>
      </c>
      <c r="J107" s="64">
        <v>135.30000000000001</v>
      </c>
      <c r="K107" s="64">
        <v>134.19999999999999</v>
      </c>
      <c r="L107" s="64">
        <v>134.19999999999999</v>
      </c>
      <c r="M107" s="64">
        <v>128.19999999999999</v>
      </c>
      <c r="N107" s="64">
        <v>131</v>
      </c>
      <c r="O107" s="64"/>
      <c r="P107" s="64">
        <v>124</v>
      </c>
      <c r="Q107" s="64">
        <v>131.19999999999999</v>
      </c>
      <c r="R107" s="64">
        <v>133</v>
      </c>
      <c r="S107" s="64">
        <v>133</v>
      </c>
      <c r="T107" s="64">
        <v>131.9</v>
      </c>
      <c r="U107" s="64">
        <v>131.5</v>
      </c>
      <c r="V107" s="64">
        <v>135.69999999999999</v>
      </c>
      <c r="W107" s="64">
        <v>129</v>
      </c>
      <c r="X107" s="64">
        <v>129.9</v>
      </c>
      <c r="Y107" s="64">
        <v>132.5</v>
      </c>
      <c r="Z107" s="64">
        <v>129.6</v>
      </c>
      <c r="AA107" s="64">
        <v>131.1</v>
      </c>
      <c r="AB107" s="64">
        <v>133.6</v>
      </c>
      <c r="AC107" s="64">
        <v>135.30000000000001</v>
      </c>
      <c r="AD107" s="64">
        <v>128.9</v>
      </c>
      <c r="AE107" s="64">
        <v>131</v>
      </c>
      <c r="AF107" s="64">
        <v>132.1</v>
      </c>
      <c r="AG107" s="103"/>
      <c r="AH107" s="47">
        <f t="shared" si="17"/>
        <v>136.4</v>
      </c>
      <c r="AI107" s="48">
        <f t="shared" si="18"/>
        <v>124</v>
      </c>
    </row>
    <row r="108" spans="1:37" ht="15.75" thickBot="1" x14ac:dyDescent="0.3">
      <c r="A108" s="102" t="s">
        <v>116</v>
      </c>
      <c r="B108" s="91">
        <v>64.400000000000006</v>
      </c>
      <c r="C108" s="91">
        <v>64.5</v>
      </c>
      <c r="D108" s="91">
        <v>64.599999999999994</v>
      </c>
      <c r="E108" s="91">
        <v>65.599999999999994</v>
      </c>
      <c r="F108" s="91">
        <v>64.3</v>
      </c>
      <c r="G108" s="91">
        <v>65.400000000000006</v>
      </c>
      <c r="H108" s="91">
        <v>65.599999999999994</v>
      </c>
      <c r="I108" s="91">
        <v>64.3</v>
      </c>
      <c r="J108" s="91">
        <v>62.9</v>
      </c>
      <c r="K108" s="91">
        <v>63</v>
      </c>
      <c r="L108" s="91">
        <v>63</v>
      </c>
      <c r="M108" s="91">
        <v>62.4</v>
      </c>
      <c r="N108" s="91">
        <v>63.7</v>
      </c>
      <c r="O108" s="91"/>
      <c r="P108" s="91">
        <v>62.8</v>
      </c>
      <c r="Q108" s="91">
        <v>61.6</v>
      </c>
      <c r="R108" s="91">
        <v>62.9</v>
      </c>
      <c r="S108" s="91">
        <v>61.9</v>
      </c>
      <c r="T108" s="91">
        <v>62.1</v>
      </c>
      <c r="U108" s="91">
        <v>63.1</v>
      </c>
      <c r="V108" s="91">
        <v>64.099999999999994</v>
      </c>
      <c r="W108" s="91">
        <v>64.5</v>
      </c>
      <c r="X108" s="91">
        <v>64.7</v>
      </c>
      <c r="Y108" s="91">
        <v>64.8</v>
      </c>
      <c r="Z108" s="91">
        <v>64.400000000000006</v>
      </c>
      <c r="AA108" s="91">
        <v>63.6</v>
      </c>
      <c r="AB108" s="91">
        <v>63.9</v>
      </c>
      <c r="AC108" s="91">
        <v>63.7</v>
      </c>
      <c r="AD108" s="91">
        <v>64.400000000000006</v>
      </c>
      <c r="AE108" s="91">
        <v>64</v>
      </c>
      <c r="AF108" s="91">
        <v>64.2</v>
      </c>
      <c r="AG108" s="107"/>
      <c r="AH108" s="47">
        <f t="shared" si="17"/>
        <v>65.599999999999994</v>
      </c>
      <c r="AI108" s="48">
        <f t="shared" si="18"/>
        <v>61.6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17"/>
        <v>0</v>
      </c>
      <c r="AI109" s="48">
        <f t="shared" si="18"/>
        <v>0</v>
      </c>
    </row>
    <row r="110" spans="1:37" ht="15.75" thickBot="1" x14ac:dyDescent="0.3">
      <c r="A110" s="109" t="s">
        <v>118</v>
      </c>
      <c r="B110" s="110">
        <f t="shared" ref="B110:C110" si="29">SUM(B20,B26,B29:B30,B58,B60:B61,B63,B65,B111:B115,B138,B144,B150,B159,B161,B173,B180,B183:B184,B191,B193,B195,B199:B201,B203:B205,B210,B216:B217,B219:B221,B229,B234)</f>
        <v>58.2</v>
      </c>
      <c r="C110" s="110">
        <f t="shared" si="29"/>
        <v>41.440000000000005</v>
      </c>
      <c r="D110" s="110">
        <f t="shared" ref="D110:O110" si="30">SUM(D20,D26,D29:D30,D58,D60:D61,D63,D65,D111:D115,D138,D144,D150,D159,D161,D173,D180,D183:D184,D191,D193,D195,D199:D201,D203:D205,D210,D216:D217,D219:D221,D229,D234)</f>
        <v>40.739999999999995</v>
      </c>
      <c r="E110" s="110">
        <f t="shared" si="30"/>
        <v>75.339999999999975</v>
      </c>
      <c r="F110" s="110">
        <f t="shared" si="30"/>
        <v>85.740000000000009</v>
      </c>
      <c r="G110" s="110">
        <f t="shared" si="30"/>
        <v>64.840000000000018</v>
      </c>
      <c r="H110" s="110">
        <f t="shared" si="30"/>
        <v>81.939999999999984</v>
      </c>
      <c r="I110" s="110">
        <f t="shared" si="30"/>
        <v>105.53999999999999</v>
      </c>
      <c r="J110" s="110">
        <f t="shared" si="30"/>
        <v>111.54000000000002</v>
      </c>
      <c r="K110" s="110">
        <f t="shared" si="30"/>
        <v>186.74</v>
      </c>
      <c r="L110" s="110">
        <f t="shared" si="30"/>
        <v>186.74</v>
      </c>
      <c r="M110" s="110">
        <f t="shared" si="30"/>
        <v>191.44</v>
      </c>
      <c r="N110" s="110">
        <f t="shared" si="30"/>
        <v>182.64</v>
      </c>
      <c r="O110" s="110">
        <f t="shared" si="30"/>
        <v>0.94</v>
      </c>
      <c r="P110" s="110">
        <v>42</v>
      </c>
      <c r="Q110" s="110">
        <f t="shared" ref="Q110:AF110" si="31">SUM(Q20,Q26,Q29:Q30,Q58,Q60:Q61,Q63,Q65,Q111:Q115,Q138,Q144,Q150,Q159,Q161,Q173,Q180,Q183:Q184,Q191,Q193,Q195,Q199:Q201,Q203:Q205,Q210,Q216:Q217,Q219:Q221,Q229,Q234)</f>
        <v>194.5</v>
      </c>
      <c r="R110" s="110">
        <f t="shared" si="31"/>
        <v>169.89999999999998</v>
      </c>
      <c r="S110" s="110">
        <f t="shared" si="31"/>
        <v>172.89999999999998</v>
      </c>
      <c r="T110" s="110">
        <f t="shared" si="31"/>
        <v>175.60000000000002</v>
      </c>
      <c r="U110" s="110">
        <f t="shared" si="31"/>
        <v>183.5</v>
      </c>
      <c r="V110" s="110">
        <f t="shared" si="31"/>
        <v>193.1</v>
      </c>
      <c r="W110" s="110">
        <f t="shared" si="31"/>
        <v>150.9</v>
      </c>
      <c r="X110" s="110">
        <f t="shared" si="31"/>
        <v>169.49999999999997</v>
      </c>
      <c r="Y110" s="110">
        <f t="shared" si="31"/>
        <v>181.79999999999998</v>
      </c>
      <c r="Z110" s="110">
        <f t="shared" si="31"/>
        <v>217.29999999999995</v>
      </c>
      <c r="AA110" s="110">
        <f t="shared" si="31"/>
        <v>245.2</v>
      </c>
      <c r="AB110" s="110">
        <f t="shared" si="31"/>
        <v>209.2</v>
      </c>
      <c r="AC110" s="110">
        <f t="shared" si="31"/>
        <v>199.2</v>
      </c>
      <c r="AD110" s="110"/>
      <c r="AE110" s="110">
        <f t="shared" si="31"/>
        <v>95.600000000000023</v>
      </c>
      <c r="AF110" s="110">
        <f t="shared" si="31"/>
        <v>53.599999999999994</v>
      </c>
      <c r="AG110" s="111"/>
      <c r="AH110" s="47">
        <f t="shared" si="17"/>
        <v>245.2</v>
      </c>
      <c r="AI110" s="48">
        <f t="shared" si="18"/>
        <v>0.94</v>
      </c>
    </row>
    <row r="111" spans="1:37" x14ac:dyDescent="0.25">
      <c r="A111" s="99" t="s">
        <v>119</v>
      </c>
      <c r="B111" s="112">
        <v>36.1</v>
      </c>
      <c r="C111" s="112">
        <v>48.5</v>
      </c>
      <c r="D111" s="112">
        <v>40.4</v>
      </c>
      <c r="E111" s="112">
        <v>55.8</v>
      </c>
      <c r="F111" s="112">
        <v>64.7</v>
      </c>
      <c r="G111" s="112">
        <v>41.2</v>
      </c>
      <c r="H111" s="112">
        <v>35.4</v>
      </c>
      <c r="I111" s="112">
        <v>42.1</v>
      </c>
      <c r="J111" s="112">
        <v>46.7</v>
      </c>
      <c r="K111" s="112">
        <v>56.9</v>
      </c>
      <c r="L111" s="112">
        <v>56.9</v>
      </c>
      <c r="M111" s="112">
        <v>55.7</v>
      </c>
      <c r="N111" s="112">
        <v>40.9</v>
      </c>
      <c r="O111" s="112"/>
      <c r="P111" s="112">
        <v>15.2</v>
      </c>
      <c r="Q111" s="112">
        <v>45.7</v>
      </c>
      <c r="R111" s="112">
        <v>48</v>
      </c>
      <c r="S111" s="112">
        <v>39.200000000000003</v>
      </c>
      <c r="T111" s="112">
        <v>47.2</v>
      </c>
      <c r="U111" s="112">
        <v>39.299999999999997</v>
      </c>
      <c r="V111" s="112">
        <v>30</v>
      </c>
      <c r="W111" s="112">
        <v>35.9</v>
      </c>
      <c r="X111" s="112">
        <v>33.299999999999997</v>
      </c>
      <c r="Y111" s="112">
        <v>35.6</v>
      </c>
      <c r="Z111" s="112">
        <v>42.1</v>
      </c>
      <c r="AA111" s="112">
        <v>45</v>
      </c>
      <c r="AB111" s="112">
        <v>67.900000000000006</v>
      </c>
      <c r="AC111" s="112">
        <v>65</v>
      </c>
      <c r="AD111" s="112">
        <v>61.9</v>
      </c>
      <c r="AE111" s="112">
        <v>61.3</v>
      </c>
      <c r="AF111" s="112">
        <v>46.1</v>
      </c>
      <c r="AG111" s="113">
        <v>75</v>
      </c>
      <c r="AH111" s="47">
        <f t="shared" si="17"/>
        <v>67.900000000000006</v>
      </c>
      <c r="AI111" s="48">
        <f t="shared" si="18"/>
        <v>15.2</v>
      </c>
    </row>
    <row r="112" spans="1:37" x14ac:dyDescent="0.25">
      <c r="A112" s="102" t="s">
        <v>120</v>
      </c>
      <c r="B112" s="114">
        <v>60.8</v>
      </c>
      <c r="C112" s="114">
        <v>76.400000000000006</v>
      </c>
      <c r="D112" s="114">
        <v>64.900000000000006</v>
      </c>
      <c r="E112" s="114">
        <v>87.9</v>
      </c>
      <c r="F112" s="114">
        <v>88.9</v>
      </c>
      <c r="G112" s="114">
        <v>65.2</v>
      </c>
      <c r="H112" s="114">
        <v>58.2</v>
      </c>
      <c r="I112" s="114">
        <v>67.400000000000006</v>
      </c>
      <c r="J112" s="114">
        <v>68.8</v>
      </c>
      <c r="K112" s="114">
        <v>83.9</v>
      </c>
      <c r="L112" s="114">
        <v>83.9</v>
      </c>
      <c r="M112" s="114">
        <v>81.900000000000006</v>
      </c>
      <c r="N112" s="114">
        <v>62.7</v>
      </c>
      <c r="O112" s="114"/>
      <c r="P112" s="114">
        <v>64.400000000000006</v>
      </c>
      <c r="Q112" s="114">
        <v>64.7</v>
      </c>
      <c r="R112" s="114">
        <v>67.900000000000006</v>
      </c>
      <c r="S112" s="114">
        <v>57.3</v>
      </c>
      <c r="T112" s="114">
        <v>68.599999999999994</v>
      </c>
      <c r="U112" s="114">
        <v>58.2</v>
      </c>
      <c r="V112" s="114">
        <v>42.5</v>
      </c>
      <c r="W112" s="114">
        <v>52.8</v>
      </c>
      <c r="X112" s="114">
        <v>46.9</v>
      </c>
      <c r="Y112" s="114">
        <v>51.9</v>
      </c>
      <c r="Z112" s="114">
        <v>61.9</v>
      </c>
      <c r="AA112" s="114">
        <v>67.400000000000006</v>
      </c>
      <c r="AB112" s="114">
        <v>99.8</v>
      </c>
      <c r="AC112" s="114">
        <v>97.6</v>
      </c>
      <c r="AD112" s="114">
        <v>91.9</v>
      </c>
      <c r="AE112" s="114">
        <v>92</v>
      </c>
      <c r="AF112" s="114">
        <v>71</v>
      </c>
      <c r="AG112" s="113">
        <v>240</v>
      </c>
      <c r="AH112" s="47">
        <f t="shared" si="17"/>
        <v>99.8</v>
      </c>
      <c r="AI112" s="48">
        <f t="shared" si="18"/>
        <v>42.5</v>
      </c>
    </row>
    <row r="113" spans="1:37" x14ac:dyDescent="0.25">
      <c r="A113" s="102" t="s">
        <v>121</v>
      </c>
      <c r="B113" s="114">
        <f>-71-77.2</f>
        <v>-148.19999999999999</v>
      </c>
      <c r="C113" s="114">
        <f>-82.9-87.1</f>
        <v>-170</v>
      </c>
      <c r="D113" s="114">
        <f>-78.9-81.5</f>
        <v>-160.4</v>
      </c>
      <c r="E113" s="114">
        <v>-157</v>
      </c>
      <c r="F113" s="114">
        <v>-157</v>
      </c>
      <c r="G113" s="114">
        <v>-130.19999999999999</v>
      </c>
      <c r="H113" s="114">
        <v>-102</v>
      </c>
      <c r="I113" s="114">
        <v>-102</v>
      </c>
      <c r="J113" s="114">
        <v>-102</v>
      </c>
      <c r="K113" s="114">
        <v>-91</v>
      </c>
      <c r="L113" s="114">
        <v>-91</v>
      </c>
      <c r="M113" s="114">
        <v>-118</v>
      </c>
      <c r="N113" s="114">
        <v>-90</v>
      </c>
      <c r="O113" s="114"/>
      <c r="P113" s="114">
        <v>-66</v>
      </c>
      <c r="Q113" s="114">
        <v>-80</v>
      </c>
      <c r="R113" s="114">
        <v>-75</v>
      </c>
      <c r="S113" s="114">
        <f>-47-51</f>
        <v>-98</v>
      </c>
      <c r="T113" s="114">
        <f>-45.5-47.8</f>
        <v>-93.3</v>
      </c>
      <c r="U113" s="114">
        <f>-49-51.8</f>
        <v>-100.8</v>
      </c>
      <c r="V113" s="114">
        <f>-17-50</f>
        <v>-67</v>
      </c>
      <c r="W113" s="114">
        <f>-44.8-48.2</f>
        <v>-93</v>
      </c>
      <c r="X113" s="114">
        <f>-31-32</f>
        <v>-63</v>
      </c>
      <c r="Y113" s="114">
        <f>-37-40</f>
        <v>-77</v>
      </c>
      <c r="Z113" s="114">
        <f>-41-44</f>
        <v>-85</v>
      </c>
      <c r="AA113" s="114">
        <f>-31.2-33.5</f>
        <v>-64.7</v>
      </c>
      <c r="AB113" s="114">
        <v>-143</v>
      </c>
      <c r="AC113" s="114">
        <v>-152</v>
      </c>
      <c r="AD113" s="114">
        <v>-160</v>
      </c>
      <c r="AE113" s="114">
        <v>-195</v>
      </c>
      <c r="AF113" s="114">
        <v>-184</v>
      </c>
      <c r="AG113" s="113">
        <v>240</v>
      </c>
      <c r="AH113" s="47">
        <f t="shared" si="17"/>
        <v>-63</v>
      </c>
      <c r="AI113" s="48">
        <f t="shared" si="18"/>
        <v>-195</v>
      </c>
    </row>
    <row r="114" spans="1:37" x14ac:dyDescent="0.25">
      <c r="A114" s="102" t="s">
        <v>122</v>
      </c>
      <c r="B114" s="114">
        <v>-7.8</v>
      </c>
      <c r="C114" s="114">
        <v>-12.9</v>
      </c>
      <c r="D114" s="114">
        <v>-13.2</v>
      </c>
      <c r="E114" s="114">
        <v>-10.4</v>
      </c>
      <c r="F114" s="114">
        <v>-9.9</v>
      </c>
      <c r="G114" s="114">
        <v>-5.4</v>
      </c>
      <c r="H114" s="114">
        <v>-3.7</v>
      </c>
      <c r="I114" s="114">
        <v>4</v>
      </c>
      <c r="J114" s="114">
        <v>4</v>
      </c>
      <c r="K114" s="114">
        <v>3.6</v>
      </c>
      <c r="L114" s="114">
        <v>3.6</v>
      </c>
      <c r="M114" s="114">
        <v>-2.4</v>
      </c>
      <c r="N114" s="114">
        <v>1.2</v>
      </c>
      <c r="O114" s="114"/>
      <c r="P114" s="114">
        <v>8.9</v>
      </c>
      <c r="Q114" s="114">
        <v>8.6999999999999993</v>
      </c>
      <c r="R114" s="114">
        <v>7.9</v>
      </c>
      <c r="S114" s="114">
        <v>4.5999999999999996</v>
      </c>
      <c r="T114" s="114">
        <v>2.4</v>
      </c>
      <c r="U114" s="114">
        <v>0.5</v>
      </c>
      <c r="V114" s="114">
        <v>1.5</v>
      </c>
      <c r="W114" s="114">
        <v>3.3</v>
      </c>
      <c r="X114" s="114">
        <v>7.3</v>
      </c>
      <c r="Y114" s="114">
        <v>9.6</v>
      </c>
      <c r="Z114" s="114">
        <v>7.6</v>
      </c>
      <c r="AA114" s="114">
        <v>9.3000000000000007</v>
      </c>
      <c r="AB114" s="114">
        <v>-0.9</v>
      </c>
      <c r="AC114" s="114">
        <v>-2.7</v>
      </c>
      <c r="AD114" s="114">
        <v>-5.3</v>
      </c>
      <c r="AE114" s="114">
        <v>-13</v>
      </c>
      <c r="AF114" s="114">
        <v>-14</v>
      </c>
      <c r="AG114" s="113">
        <v>60</v>
      </c>
      <c r="AH114" s="47">
        <f t="shared" si="17"/>
        <v>9.6</v>
      </c>
      <c r="AI114" s="48">
        <f t="shared" si="18"/>
        <v>-14</v>
      </c>
    </row>
    <row r="115" spans="1:37" x14ac:dyDescent="0.25">
      <c r="A115" s="115" t="s">
        <v>123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22.3</v>
      </c>
      <c r="L115" s="116">
        <v>22.3</v>
      </c>
      <c r="M115" s="116">
        <v>63.2</v>
      </c>
      <c r="N115" s="116">
        <v>56.8</v>
      </c>
      <c r="O115" s="116"/>
      <c r="P115" s="116">
        <v>35.799999999999997</v>
      </c>
      <c r="Q115" s="116">
        <v>47.8</v>
      </c>
      <c r="R115" s="116">
        <v>19.7</v>
      </c>
      <c r="S115" s="116">
        <v>61.1</v>
      </c>
      <c r="T115" s="116">
        <v>48.1</v>
      </c>
      <c r="U115" s="116">
        <v>56.8</v>
      </c>
      <c r="V115" s="116">
        <v>66.099999999999994</v>
      </c>
      <c r="W115" s="116">
        <v>39.6</v>
      </c>
      <c r="X115" s="116">
        <v>12.7</v>
      </c>
      <c r="Y115" s="116">
        <v>23.5</v>
      </c>
      <c r="Z115" s="116">
        <v>54.8</v>
      </c>
      <c r="AA115" s="116">
        <v>52.3</v>
      </c>
      <c r="AB115" s="116">
        <v>52.8</v>
      </c>
      <c r="AC115" s="116">
        <v>55</v>
      </c>
      <c r="AD115" s="116">
        <v>29.6</v>
      </c>
      <c r="AE115" s="116">
        <v>24</v>
      </c>
      <c r="AF115" s="116">
        <v>13</v>
      </c>
      <c r="AG115" s="117">
        <v>120</v>
      </c>
      <c r="AH115" s="47">
        <f t="shared" si="17"/>
        <v>66.099999999999994</v>
      </c>
      <c r="AI115" s="48">
        <f t="shared" si="18"/>
        <v>0</v>
      </c>
    </row>
    <row r="116" spans="1:37" x14ac:dyDescent="0.25">
      <c r="A116" s="115" t="s">
        <v>124</v>
      </c>
      <c r="B116" s="116">
        <v>61.2</v>
      </c>
      <c r="C116" s="116">
        <v>50.9</v>
      </c>
      <c r="D116" s="116">
        <v>61</v>
      </c>
      <c r="E116" s="116">
        <v>34</v>
      </c>
      <c r="F116" s="116">
        <v>47.9</v>
      </c>
      <c r="G116" s="116">
        <v>50.2</v>
      </c>
      <c r="H116" s="116">
        <v>48.8</v>
      </c>
      <c r="I116" s="116">
        <v>61.4</v>
      </c>
      <c r="J116" s="116">
        <v>61.4</v>
      </c>
      <c r="K116" s="116">
        <v>69</v>
      </c>
      <c r="L116" s="116">
        <v>69</v>
      </c>
      <c r="M116" s="116">
        <v>51.8</v>
      </c>
      <c r="N116" s="116">
        <v>41</v>
      </c>
      <c r="O116" s="116"/>
      <c r="P116" s="116">
        <v>26.6</v>
      </c>
      <c r="Q116" s="116">
        <v>26.6</v>
      </c>
      <c r="R116" s="116">
        <v>25</v>
      </c>
      <c r="S116" s="116">
        <v>23.3</v>
      </c>
      <c r="T116" s="116">
        <v>25.5</v>
      </c>
      <c r="U116" s="116">
        <v>24.9</v>
      </c>
      <c r="V116" s="116">
        <v>25.7</v>
      </c>
      <c r="W116" s="116">
        <v>22</v>
      </c>
      <c r="X116" s="116">
        <v>42</v>
      </c>
      <c r="Y116" s="116">
        <v>42.4</v>
      </c>
      <c r="Z116" s="116">
        <v>36.799999999999997</v>
      </c>
      <c r="AA116" s="116">
        <v>68.099999999999994</v>
      </c>
      <c r="AB116" s="116">
        <v>57.2</v>
      </c>
      <c r="AC116" s="116">
        <v>49</v>
      </c>
      <c r="AD116" s="116">
        <v>57</v>
      </c>
      <c r="AE116" s="116">
        <v>32</v>
      </c>
      <c r="AF116" s="116">
        <v>53</v>
      </c>
      <c r="AG116" s="117"/>
      <c r="AH116" s="47">
        <f t="shared" si="17"/>
        <v>69</v>
      </c>
      <c r="AI116" s="48">
        <f t="shared" si="18"/>
        <v>22</v>
      </c>
    </row>
    <row r="117" spans="1:37" x14ac:dyDescent="0.25">
      <c r="A117" s="115" t="s">
        <v>125</v>
      </c>
      <c r="B117" s="116">
        <v>48</v>
      </c>
      <c r="C117" s="116">
        <v>29.8</v>
      </c>
      <c r="D117" s="116">
        <v>36</v>
      </c>
      <c r="E117" s="116">
        <v>27.1</v>
      </c>
      <c r="F117" s="116">
        <v>28.2</v>
      </c>
      <c r="G117" s="116">
        <v>42.5</v>
      </c>
      <c r="H117" s="116">
        <v>48.2</v>
      </c>
      <c r="I117" s="116">
        <v>44.4</v>
      </c>
      <c r="J117" s="116">
        <v>44.4</v>
      </c>
      <c r="K117" s="116">
        <v>33.4</v>
      </c>
      <c r="L117" s="116">
        <v>33.4</v>
      </c>
      <c r="M117" s="116">
        <v>27</v>
      </c>
      <c r="N117" s="116">
        <v>32.9</v>
      </c>
      <c r="O117" s="116"/>
      <c r="P117" s="116">
        <v>-40</v>
      </c>
      <c r="Q117" s="116">
        <v>-30.7</v>
      </c>
      <c r="R117" s="116">
        <v>-27.9</v>
      </c>
      <c r="S117" s="116">
        <v>-8.1999999999999993</v>
      </c>
      <c r="T117" s="116">
        <v>-15.9</v>
      </c>
      <c r="U117" s="116">
        <v>-13.9</v>
      </c>
      <c r="V117" s="116">
        <v>-3.9</v>
      </c>
      <c r="W117" s="116">
        <v>-10.1</v>
      </c>
      <c r="X117" s="116">
        <v>11.3</v>
      </c>
      <c r="Y117" s="116">
        <v>17.600000000000001</v>
      </c>
      <c r="Z117" s="116">
        <v>11.6</v>
      </c>
      <c r="AA117" s="116">
        <v>19.899999999999999</v>
      </c>
      <c r="AB117" s="116">
        <v>22.2</v>
      </c>
      <c r="AC117" s="116">
        <v>27</v>
      </c>
      <c r="AD117" s="116">
        <v>25</v>
      </c>
      <c r="AE117" s="116">
        <v>24</v>
      </c>
      <c r="AF117" s="116">
        <v>32</v>
      </c>
      <c r="AG117" s="118"/>
      <c r="AH117" s="47">
        <f t="shared" si="17"/>
        <v>48.2</v>
      </c>
      <c r="AI117" s="48">
        <f t="shared" si="18"/>
        <v>-40</v>
      </c>
    </row>
    <row r="118" spans="1:37" x14ac:dyDescent="0.25">
      <c r="A118" s="119" t="s">
        <v>126</v>
      </c>
      <c r="B118" s="105">
        <v>39.6</v>
      </c>
      <c r="C118" s="105">
        <v>39.700000000000003</v>
      </c>
      <c r="D118" s="105">
        <v>42.2</v>
      </c>
      <c r="E118" s="105">
        <v>47.7</v>
      </c>
      <c r="F118" s="105">
        <v>49.6</v>
      </c>
      <c r="G118" s="105">
        <v>57.6</v>
      </c>
      <c r="H118" s="105">
        <v>49.3</v>
      </c>
      <c r="I118" s="105">
        <v>53.7</v>
      </c>
      <c r="J118" s="105">
        <v>53.7</v>
      </c>
      <c r="K118" s="105">
        <v>48.2</v>
      </c>
      <c r="L118" s="105">
        <v>48.2</v>
      </c>
      <c r="M118" s="105">
        <v>33.299999999999997</v>
      </c>
      <c r="N118" s="105">
        <v>38.700000000000003</v>
      </c>
      <c r="O118" s="105"/>
      <c r="P118" s="105">
        <v>32.299999999999997</v>
      </c>
      <c r="Q118" s="105">
        <v>16.3</v>
      </c>
      <c r="R118" s="105">
        <v>14.3</v>
      </c>
      <c r="S118" s="105">
        <v>23.8</v>
      </c>
      <c r="T118" s="105">
        <v>13.6</v>
      </c>
      <c r="U118" s="105">
        <v>21</v>
      </c>
      <c r="V118" s="105">
        <v>22.3</v>
      </c>
      <c r="W118" s="105">
        <v>25.1</v>
      </c>
      <c r="X118" s="105">
        <v>22.2</v>
      </c>
      <c r="Y118" s="105">
        <v>17</v>
      </c>
      <c r="Z118" s="105">
        <v>12.3</v>
      </c>
      <c r="AA118" s="105">
        <v>13.3</v>
      </c>
      <c r="AB118" s="105">
        <v>14.7</v>
      </c>
      <c r="AC118" s="105">
        <v>18</v>
      </c>
      <c r="AD118" s="105">
        <v>14</v>
      </c>
      <c r="AE118" s="105">
        <v>23</v>
      </c>
      <c r="AF118" s="105">
        <v>27</v>
      </c>
      <c r="AG118" s="118"/>
      <c r="AH118" s="47">
        <f t="shared" si="17"/>
        <v>57.6</v>
      </c>
      <c r="AI118" s="48">
        <f t="shared" si="18"/>
        <v>12.3</v>
      </c>
    </row>
    <row r="119" spans="1:37" x14ac:dyDescent="0.25">
      <c r="A119" s="120" t="s">
        <v>127</v>
      </c>
      <c r="B119" s="105">
        <v>93.5</v>
      </c>
      <c r="C119" s="105">
        <v>94.1</v>
      </c>
      <c r="D119" s="105">
        <v>91</v>
      </c>
      <c r="E119" s="105">
        <v>81</v>
      </c>
      <c r="F119" s="105">
        <v>81.400000000000006</v>
      </c>
      <c r="G119" s="105">
        <v>68.599999999999994</v>
      </c>
      <c r="H119" s="105">
        <v>54.6</v>
      </c>
      <c r="I119" s="105">
        <v>45.6</v>
      </c>
      <c r="J119" s="105">
        <v>45.6</v>
      </c>
      <c r="K119" s="105">
        <v>41.4</v>
      </c>
      <c r="L119" s="105">
        <v>41.4</v>
      </c>
      <c r="M119" s="105">
        <v>54.1</v>
      </c>
      <c r="N119" s="105">
        <v>40.799999999999997</v>
      </c>
      <c r="O119" s="105"/>
      <c r="P119" s="105">
        <v>66.7</v>
      </c>
      <c r="Q119" s="105">
        <v>71.2</v>
      </c>
      <c r="R119" s="105">
        <v>72.900000000000006</v>
      </c>
      <c r="S119" s="105">
        <v>77.7</v>
      </c>
      <c r="T119" s="105">
        <v>49.1</v>
      </c>
      <c r="U119" s="105">
        <v>48.5</v>
      </c>
      <c r="V119" s="105">
        <v>70.2</v>
      </c>
      <c r="W119" s="105">
        <v>71.8</v>
      </c>
      <c r="X119" s="105">
        <v>49</v>
      </c>
      <c r="Y119" s="105">
        <v>56.9</v>
      </c>
      <c r="Z119" s="105">
        <v>64.7</v>
      </c>
      <c r="AA119" s="105">
        <v>50.7</v>
      </c>
      <c r="AB119" s="105">
        <v>65.599999999999994</v>
      </c>
      <c r="AC119" s="105">
        <v>71</v>
      </c>
      <c r="AD119" s="105">
        <v>76</v>
      </c>
      <c r="AE119" s="105">
        <v>95</v>
      </c>
      <c r="AF119" s="105">
        <v>89</v>
      </c>
      <c r="AG119" s="118"/>
      <c r="AH119" s="47">
        <f t="shared" si="17"/>
        <v>95</v>
      </c>
      <c r="AI119" s="48">
        <f t="shared" si="18"/>
        <v>40.799999999999997</v>
      </c>
    </row>
    <row r="120" spans="1:37" ht="15.75" thickBot="1" x14ac:dyDescent="0.3">
      <c r="A120" s="119" t="s">
        <v>128</v>
      </c>
      <c r="B120" s="105">
        <v>44.1</v>
      </c>
      <c r="C120" s="105">
        <v>32.700000000000003</v>
      </c>
      <c r="D120" s="105">
        <v>36.9</v>
      </c>
      <c r="E120" s="105">
        <v>39</v>
      </c>
      <c r="F120" s="105">
        <v>27</v>
      </c>
      <c r="G120" s="105">
        <v>15.4</v>
      </c>
      <c r="H120" s="105">
        <v>13.2</v>
      </c>
      <c r="I120" s="105">
        <v>10.7</v>
      </c>
      <c r="J120" s="105">
        <v>10.7</v>
      </c>
      <c r="K120" s="105">
        <v>16.899999999999999</v>
      </c>
      <c r="L120" s="105">
        <v>16.899999999999999</v>
      </c>
      <c r="M120" s="105">
        <v>39.5</v>
      </c>
      <c r="N120" s="105">
        <v>34</v>
      </c>
      <c r="O120" s="105"/>
      <c r="P120" s="105">
        <v>38.700000000000003</v>
      </c>
      <c r="Q120" s="105">
        <v>52.1</v>
      </c>
      <c r="R120" s="105">
        <v>47.3</v>
      </c>
      <c r="S120" s="105">
        <v>44.2</v>
      </c>
      <c r="T120" s="105">
        <v>41.6</v>
      </c>
      <c r="U120" s="105">
        <v>38.5</v>
      </c>
      <c r="V120" s="105">
        <v>31.2</v>
      </c>
      <c r="W120" s="105">
        <v>10.199999999999999</v>
      </c>
      <c r="X120" s="105">
        <v>16.600000000000001</v>
      </c>
      <c r="Y120" s="105">
        <v>33</v>
      </c>
      <c r="Z120" s="105">
        <v>51.4</v>
      </c>
      <c r="AA120" s="105">
        <v>59.9</v>
      </c>
      <c r="AB120" s="105">
        <v>61.9</v>
      </c>
      <c r="AC120" s="105">
        <v>71</v>
      </c>
      <c r="AD120" s="105">
        <v>75</v>
      </c>
      <c r="AE120" s="105">
        <v>66</v>
      </c>
      <c r="AF120" s="105">
        <v>66</v>
      </c>
      <c r="AG120" s="118"/>
      <c r="AH120" s="47">
        <f t="shared" si="17"/>
        <v>75</v>
      </c>
      <c r="AI120" s="48">
        <f t="shared" si="18"/>
        <v>10.199999999999999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32">SUM(B122:B226)</f>
        <v>0</v>
      </c>
      <c r="C227" s="136">
        <f t="shared" si="32"/>
        <v>0</v>
      </c>
      <c r="D227" s="136">
        <f t="shared" si="32"/>
        <v>0</v>
      </c>
      <c r="E227" s="136">
        <f t="shared" si="32"/>
        <v>0</v>
      </c>
      <c r="F227" s="136">
        <f t="shared" si="32"/>
        <v>0</v>
      </c>
      <c r="G227" s="136">
        <f t="shared" si="32"/>
        <v>0</v>
      </c>
      <c r="H227" s="136">
        <f t="shared" si="32"/>
        <v>0</v>
      </c>
      <c r="I227" s="136">
        <f t="shared" si="32"/>
        <v>0</v>
      </c>
      <c r="J227" s="136">
        <f t="shared" si="32"/>
        <v>0</v>
      </c>
      <c r="K227" s="136">
        <f t="shared" si="32"/>
        <v>0</v>
      </c>
      <c r="L227" s="136">
        <f t="shared" si="32"/>
        <v>0</v>
      </c>
      <c r="M227" s="136">
        <f t="shared" si="32"/>
        <v>0</v>
      </c>
      <c r="N227" s="136">
        <f t="shared" si="32"/>
        <v>0</v>
      </c>
      <c r="O227" s="136">
        <f t="shared" si="32"/>
        <v>0</v>
      </c>
      <c r="P227" s="136">
        <f t="shared" si="32"/>
        <v>0</v>
      </c>
      <c r="Q227" s="136">
        <f t="shared" si="32"/>
        <v>0</v>
      </c>
      <c r="R227" s="136">
        <f t="shared" si="32"/>
        <v>0</v>
      </c>
      <c r="S227" s="136">
        <f t="shared" si="32"/>
        <v>0</v>
      </c>
      <c r="T227" s="136">
        <f t="shared" si="32"/>
        <v>0</v>
      </c>
      <c r="U227" s="136">
        <f t="shared" si="32"/>
        <v>0</v>
      </c>
      <c r="V227" s="136">
        <f t="shared" si="32"/>
        <v>0</v>
      </c>
      <c r="W227" s="136">
        <f t="shared" si="32"/>
        <v>0</v>
      </c>
      <c r="X227" s="136">
        <f t="shared" si="32"/>
        <v>0</v>
      </c>
      <c r="Y227" s="136">
        <f t="shared" si="32"/>
        <v>0</v>
      </c>
      <c r="Z227" s="136">
        <f t="shared" si="32"/>
        <v>0</v>
      </c>
      <c r="AA227" s="136">
        <f t="shared" si="32"/>
        <v>0</v>
      </c>
      <c r="AB227" s="136">
        <f t="shared" si="32"/>
        <v>0</v>
      </c>
      <c r="AC227" s="136">
        <f t="shared" si="32"/>
        <v>0</v>
      </c>
      <c r="AD227" s="136">
        <f t="shared" si="32"/>
        <v>0</v>
      </c>
      <c r="AE227" s="136">
        <f t="shared" si="32"/>
        <v>0</v>
      </c>
      <c r="AF227" s="137">
        <f t="shared" si="32"/>
        <v>0</v>
      </c>
      <c r="AG227" s="138">
        <f t="shared" si="32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33">AF229</f>
        <v>0</v>
      </c>
      <c r="C229" s="140">
        <v>0.3</v>
      </c>
      <c r="D229" s="140">
        <f t="shared" ref="D229:P234" si="34">C229</f>
        <v>0.3</v>
      </c>
      <c r="E229" s="140">
        <f t="shared" si="34"/>
        <v>0.3</v>
      </c>
      <c r="F229" s="140">
        <f t="shared" si="34"/>
        <v>0.3</v>
      </c>
      <c r="G229" s="140">
        <f t="shared" si="34"/>
        <v>0.3</v>
      </c>
      <c r="H229" s="140">
        <f t="shared" si="34"/>
        <v>0.3</v>
      </c>
      <c r="I229" s="140">
        <f t="shared" si="34"/>
        <v>0.3</v>
      </c>
      <c r="J229" s="140">
        <f t="shared" si="34"/>
        <v>0.3</v>
      </c>
      <c r="K229" s="140">
        <f t="shared" si="34"/>
        <v>0.3</v>
      </c>
      <c r="L229" s="140">
        <f t="shared" si="34"/>
        <v>0.3</v>
      </c>
      <c r="M229" s="140">
        <f t="shared" si="34"/>
        <v>0.3</v>
      </c>
      <c r="N229" s="140">
        <f t="shared" si="34"/>
        <v>0.3</v>
      </c>
      <c r="O229" s="140">
        <f t="shared" si="34"/>
        <v>0.3</v>
      </c>
      <c r="P229" s="140">
        <f t="shared" si="34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33"/>
        <v>0</v>
      </c>
      <c r="C230" s="128">
        <v>0.4</v>
      </c>
      <c r="D230" s="128">
        <f t="shared" si="34"/>
        <v>0.4</v>
      </c>
      <c r="E230" s="128">
        <f t="shared" si="34"/>
        <v>0.4</v>
      </c>
      <c r="F230" s="128">
        <f t="shared" si="34"/>
        <v>0.4</v>
      </c>
      <c r="G230" s="128">
        <f t="shared" si="34"/>
        <v>0.4</v>
      </c>
      <c r="H230" s="128">
        <f t="shared" si="34"/>
        <v>0.4</v>
      </c>
      <c r="I230" s="128">
        <f t="shared" si="34"/>
        <v>0.4</v>
      </c>
      <c r="J230" s="128">
        <f t="shared" si="34"/>
        <v>0.4</v>
      </c>
      <c r="K230" s="128">
        <f t="shared" si="34"/>
        <v>0.4</v>
      </c>
      <c r="L230" s="128">
        <f t="shared" si="34"/>
        <v>0.4</v>
      </c>
      <c r="M230" s="128">
        <f t="shared" si="34"/>
        <v>0.4</v>
      </c>
      <c r="N230" s="128">
        <f t="shared" si="34"/>
        <v>0.4</v>
      </c>
      <c r="O230" s="128">
        <f t="shared" si="34"/>
        <v>0.4</v>
      </c>
      <c r="P230" s="128">
        <f t="shared" si="34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33"/>
        <v>0</v>
      </c>
      <c r="C231" s="128">
        <v>1.5</v>
      </c>
      <c r="D231" s="128">
        <f t="shared" si="34"/>
        <v>1.5</v>
      </c>
      <c r="E231" s="128">
        <f t="shared" si="34"/>
        <v>1.5</v>
      </c>
      <c r="F231" s="128">
        <f t="shared" si="34"/>
        <v>1.5</v>
      </c>
      <c r="G231" s="128">
        <f t="shared" si="34"/>
        <v>1.5</v>
      </c>
      <c r="H231" s="128">
        <f t="shared" si="34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34"/>
        <v>123.21900000000009</v>
      </c>
      <c r="K231" s="128">
        <f t="shared" ca="1" si="34"/>
        <v>123.21900000000009</v>
      </c>
      <c r="L231" s="128">
        <f t="shared" ca="1" si="34"/>
        <v>123.21900000000009</v>
      </c>
      <c r="M231" s="128">
        <f t="shared" ca="1" si="34"/>
        <v>119.19900000000008</v>
      </c>
      <c r="N231" s="128">
        <f t="shared" ca="1" si="34"/>
        <v>119.19900000000008</v>
      </c>
      <c r="O231" s="128">
        <f t="shared" ca="1" si="34"/>
        <v>119.19900000000008</v>
      </c>
      <c r="P231" s="128">
        <f t="shared" ca="1" si="34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33"/>
        <v>0</v>
      </c>
      <c r="C232" s="128">
        <v>0.3</v>
      </c>
      <c r="D232" s="128">
        <f t="shared" si="34"/>
        <v>0.3</v>
      </c>
      <c r="E232" s="128">
        <f t="shared" si="34"/>
        <v>0.3</v>
      </c>
      <c r="F232" s="128">
        <f t="shared" si="34"/>
        <v>0.3</v>
      </c>
      <c r="G232" s="128">
        <f t="shared" si="34"/>
        <v>0.3</v>
      </c>
      <c r="H232" s="128">
        <f t="shared" si="34"/>
        <v>0.3</v>
      </c>
      <c r="I232" s="128">
        <f t="shared" si="34"/>
        <v>0.3</v>
      </c>
      <c r="J232" s="128">
        <f t="shared" si="34"/>
        <v>0.3</v>
      </c>
      <c r="K232" s="128">
        <f t="shared" si="34"/>
        <v>0.3</v>
      </c>
      <c r="L232" s="128">
        <f t="shared" si="34"/>
        <v>0.3</v>
      </c>
      <c r="M232" s="128">
        <f t="shared" si="34"/>
        <v>0.3</v>
      </c>
      <c r="N232" s="128">
        <f t="shared" si="34"/>
        <v>0.3</v>
      </c>
      <c r="O232" s="128">
        <f t="shared" si="34"/>
        <v>0.3</v>
      </c>
      <c r="P232" s="128">
        <f t="shared" si="34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33"/>
        <v>0</v>
      </c>
      <c r="C233" s="128">
        <v>0.4</v>
      </c>
      <c r="D233" s="128">
        <f t="shared" si="34"/>
        <v>0.4</v>
      </c>
      <c r="E233" s="128">
        <f t="shared" si="34"/>
        <v>0.4</v>
      </c>
      <c r="F233" s="128">
        <f t="shared" si="34"/>
        <v>0.4</v>
      </c>
      <c r="G233" s="128">
        <f t="shared" si="34"/>
        <v>0.4</v>
      </c>
      <c r="H233" s="128">
        <f t="shared" si="34"/>
        <v>0.4</v>
      </c>
      <c r="I233" s="128">
        <f t="shared" si="34"/>
        <v>0.4</v>
      </c>
      <c r="J233" s="128">
        <f t="shared" si="34"/>
        <v>0.4</v>
      </c>
      <c r="K233" s="128">
        <f t="shared" si="34"/>
        <v>0.4</v>
      </c>
      <c r="L233" s="128">
        <f t="shared" si="34"/>
        <v>0.4</v>
      </c>
      <c r="M233" s="128">
        <f t="shared" si="34"/>
        <v>0.4</v>
      </c>
      <c r="N233" s="128">
        <f t="shared" si="34"/>
        <v>0.4</v>
      </c>
      <c r="O233" s="128">
        <f t="shared" si="34"/>
        <v>0.4</v>
      </c>
      <c r="P233" s="128">
        <f t="shared" si="34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33"/>
        <v>0</v>
      </c>
      <c r="C234" s="132">
        <v>0.64</v>
      </c>
      <c r="D234" s="132">
        <f t="shared" si="34"/>
        <v>0.64</v>
      </c>
      <c r="E234" s="132">
        <f t="shared" si="34"/>
        <v>0.64</v>
      </c>
      <c r="F234" s="132">
        <f t="shared" si="34"/>
        <v>0.64</v>
      </c>
      <c r="G234" s="132">
        <f t="shared" si="34"/>
        <v>0.64</v>
      </c>
      <c r="H234" s="132">
        <f t="shared" si="34"/>
        <v>0.64</v>
      </c>
      <c r="I234" s="132">
        <f t="shared" si="34"/>
        <v>0.64</v>
      </c>
      <c r="J234" s="132">
        <f t="shared" si="34"/>
        <v>0.64</v>
      </c>
      <c r="K234" s="132">
        <f t="shared" si="34"/>
        <v>0.64</v>
      </c>
      <c r="L234" s="132">
        <f t="shared" si="34"/>
        <v>0.64</v>
      </c>
      <c r="M234" s="132">
        <f t="shared" si="34"/>
        <v>0.64</v>
      </c>
      <c r="N234" s="132">
        <f t="shared" si="34"/>
        <v>0.64</v>
      </c>
      <c r="O234" s="132">
        <f t="shared" si="34"/>
        <v>0.64</v>
      </c>
      <c r="P234" s="132">
        <f t="shared" si="34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35">SUM(B229:B234)</f>
        <v>0</v>
      </c>
      <c r="C235" s="136">
        <f t="shared" si="35"/>
        <v>3.54</v>
      </c>
      <c r="D235" s="136">
        <f t="shared" si="35"/>
        <v>3.54</v>
      </c>
      <c r="E235" s="136">
        <f t="shared" si="35"/>
        <v>3.54</v>
      </c>
      <c r="F235" s="136">
        <f t="shared" si="35"/>
        <v>3.54</v>
      </c>
      <c r="G235" s="136">
        <f t="shared" si="35"/>
        <v>3.54</v>
      </c>
      <c r="H235" s="136">
        <f t="shared" si="35"/>
        <v>3.54</v>
      </c>
      <c r="I235" s="136">
        <f t="shared" ca="1" si="35"/>
        <v>121.23900000000009</v>
      </c>
      <c r="J235" s="136">
        <f t="shared" ca="1" si="35"/>
        <v>121.23900000000009</v>
      </c>
      <c r="K235" s="136">
        <f t="shared" ca="1" si="35"/>
        <v>121.23900000000009</v>
      </c>
      <c r="L235" s="136">
        <f t="shared" ca="1" si="35"/>
        <v>125.2590000000001</v>
      </c>
      <c r="M235" s="136">
        <f t="shared" ca="1" si="35"/>
        <v>121.23900000000009</v>
      </c>
      <c r="N235" s="136">
        <f t="shared" ca="1" si="35"/>
        <v>121.23900000000009</v>
      </c>
      <c r="O235" s="136">
        <f t="shared" ca="1" si="35"/>
        <v>121.23900000000009</v>
      </c>
      <c r="P235" s="136">
        <f t="shared" ca="1" si="35"/>
        <v>121.23900000000009</v>
      </c>
      <c r="Q235" s="136">
        <f t="shared" si="35"/>
        <v>0</v>
      </c>
      <c r="R235" s="136">
        <f t="shared" si="35"/>
        <v>0</v>
      </c>
      <c r="S235" s="136">
        <f t="shared" si="35"/>
        <v>0</v>
      </c>
      <c r="T235" s="136">
        <f t="shared" si="35"/>
        <v>0</v>
      </c>
      <c r="U235" s="136">
        <f t="shared" si="35"/>
        <v>0</v>
      </c>
      <c r="V235" s="136">
        <f t="shared" si="35"/>
        <v>0</v>
      </c>
      <c r="W235" s="136">
        <f t="shared" si="35"/>
        <v>0</v>
      </c>
      <c r="X235" s="136">
        <f t="shared" si="35"/>
        <v>0</v>
      </c>
      <c r="Y235" s="136">
        <f t="shared" si="35"/>
        <v>0</v>
      </c>
      <c r="Z235" s="136">
        <f t="shared" si="35"/>
        <v>0</v>
      </c>
      <c r="AA235" s="136">
        <f t="shared" si="35"/>
        <v>0</v>
      </c>
      <c r="AB235" s="136">
        <f t="shared" si="35"/>
        <v>0</v>
      </c>
      <c r="AC235" s="136">
        <f t="shared" si="35"/>
        <v>0</v>
      </c>
      <c r="AD235" s="136">
        <f t="shared" si="35"/>
        <v>0</v>
      </c>
      <c r="AE235" s="136">
        <f t="shared" si="35"/>
        <v>0</v>
      </c>
      <c r="AF235" s="136">
        <f t="shared" si="35"/>
        <v>0</v>
      </c>
      <c r="AG235" s="145">
        <f t="shared" si="35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1847.64</v>
      </c>
      <c r="C244" s="161">
        <f>INDEX(G9:N9,1,MATCH(MAX(G91:N91),G91:N91,0))</f>
        <v>0.29166666666666669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14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2080/04/14)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2080/04/14)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36">B91</f>
        <v>1853.0400000000002</v>
      </c>
      <c r="U249" s="170">
        <f t="shared" si="36"/>
        <v>1822.3400000000001</v>
      </c>
      <c r="V249" s="170">
        <f t="shared" si="36"/>
        <v>1838.54</v>
      </c>
      <c r="W249" s="170">
        <f t="shared" si="36"/>
        <v>1775.94</v>
      </c>
      <c r="X249" s="170">
        <f t="shared" si="36"/>
        <v>1783.44</v>
      </c>
      <c r="Y249" s="170">
        <f t="shared" si="36"/>
        <v>1816.44</v>
      </c>
      <c r="Z249" s="170">
        <f t="shared" si="36"/>
        <v>1782.44</v>
      </c>
      <c r="AA249" s="170">
        <f t="shared" si="36"/>
        <v>1729.54</v>
      </c>
      <c r="AB249" s="170">
        <f t="shared" si="36"/>
        <v>1682.94</v>
      </c>
      <c r="AC249" s="170">
        <f t="shared" si="36"/>
        <v>1847.64</v>
      </c>
      <c r="AD249" s="170">
        <f t="shared" si="36"/>
        <v>1847.64</v>
      </c>
      <c r="AE249" s="170">
        <f t="shared" si="36"/>
        <v>1814.8400000000001</v>
      </c>
      <c r="AF249" s="170">
        <f t="shared" si="36"/>
        <v>1752.64</v>
      </c>
      <c r="AG249" s="170">
        <f t="shared" si="36"/>
        <v>3.54</v>
      </c>
      <c r="AH249" s="170">
        <f t="shared" si="36"/>
        <v>1734.54</v>
      </c>
      <c r="AI249" s="170">
        <f t="shared" si="36"/>
        <v>1935.44</v>
      </c>
      <c r="AJ249" s="170">
        <f t="shared" si="36"/>
        <v>1929.24</v>
      </c>
      <c r="AK249" s="170">
        <f t="shared" si="36"/>
        <v>1901.8400000000001</v>
      </c>
      <c r="AL249" s="170">
        <f t="shared" si="36"/>
        <v>1951.8400000000001</v>
      </c>
      <c r="AM249" s="170">
        <f t="shared" si="36"/>
        <v>1968.64</v>
      </c>
      <c r="AN249" s="170">
        <f t="shared" si="36"/>
        <v>1945.44</v>
      </c>
      <c r="AO249" s="170">
        <f t="shared" si="36"/>
        <v>1932.7400000000002</v>
      </c>
      <c r="AP249" s="170">
        <f t="shared" si="36"/>
        <v>1952.7400000000002</v>
      </c>
      <c r="AQ249" s="170">
        <f t="shared" si="36"/>
        <v>1917.3400000000001</v>
      </c>
      <c r="AR249" s="170">
        <f t="shared" si="36"/>
        <v>1944.84</v>
      </c>
      <c r="AS249" s="170">
        <f t="shared" si="36"/>
        <v>2060.2399999999998</v>
      </c>
      <c r="AT249" s="170">
        <f t="shared" si="36"/>
        <v>2074.62</v>
      </c>
      <c r="AU249" s="170">
        <f t="shared" si="36"/>
        <v>2071.2200000000003</v>
      </c>
      <c r="AV249" s="170">
        <f t="shared" si="36"/>
        <v>2050.1200000000003</v>
      </c>
      <c r="AW249" s="170">
        <f t="shared" si="36"/>
        <v>2052.1200000000003</v>
      </c>
      <c r="AX249" s="170">
        <f t="shared" si="36"/>
        <v>1999.7200000000003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37">C234</f>
        <v>0.64</v>
      </c>
      <c r="C270" s="173">
        <f t="shared" si="37"/>
        <v>0.64</v>
      </c>
      <c r="D270" s="173">
        <f t="shared" si="37"/>
        <v>0.64</v>
      </c>
      <c r="E270" s="173">
        <f t="shared" si="37"/>
        <v>0.64</v>
      </c>
      <c r="F270" s="173">
        <f t="shared" si="37"/>
        <v>0.64</v>
      </c>
      <c r="G270" s="173">
        <f t="shared" si="37"/>
        <v>0.64</v>
      </c>
      <c r="H270" s="173">
        <f t="shared" si="37"/>
        <v>0.64</v>
      </c>
      <c r="I270" s="173">
        <f t="shared" si="37"/>
        <v>0.64</v>
      </c>
      <c r="J270" s="173">
        <f t="shared" si="37"/>
        <v>0.64</v>
      </c>
      <c r="K270" s="173">
        <f t="shared" si="37"/>
        <v>0.64</v>
      </c>
      <c r="L270" s="173">
        <f t="shared" si="37"/>
        <v>0.64</v>
      </c>
      <c r="M270" s="173">
        <f t="shared" si="37"/>
        <v>0.64</v>
      </c>
      <c r="N270" s="173">
        <f t="shared" si="37"/>
        <v>0.64</v>
      </c>
      <c r="O270" s="173">
        <f t="shared" si="37"/>
        <v>0.64</v>
      </c>
      <c r="P270" s="173">
        <f t="shared" si="37"/>
        <v>0</v>
      </c>
      <c r="Q270" s="173">
        <f t="shared" si="37"/>
        <v>0</v>
      </c>
      <c r="R270" s="173">
        <f t="shared" si="37"/>
        <v>0</v>
      </c>
      <c r="S270" s="173">
        <f t="shared" si="37"/>
        <v>0</v>
      </c>
      <c r="T270" s="173">
        <f t="shared" si="37"/>
        <v>0</v>
      </c>
      <c r="U270" s="173">
        <f t="shared" si="37"/>
        <v>0</v>
      </c>
      <c r="V270" s="173">
        <f t="shared" si="37"/>
        <v>0</v>
      </c>
      <c r="W270" s="173">
        <f t="shared" si="37"/>
        <v>0</v>
      </c>
      <c r="X270" s="173">
        <f t="shared" si="37"/>
        <v>0</v>
      </c>
      <c r="Y270" s="173">
        <f t="shared" si="37"/>
        <v>0</v>
      </c>
      <c r="Z270" s="173">
        <f t="shared" si="37"/>
        <v>0</v>
      </c>
      <c r="AA270" s="173">
        <f t="shared" si="37"/>
        <v>0</v>
      </c>
      <c r="AB270" s="173">
        <f t="shared" si="37"/>
        <v>0</v>
      </c>
      <c r="AC270" s="173">
        <f t="shared" si="37"/>
        <v>0</v>
      </c>
      <c r="AD270" s="173">
        <f t="shared" si="37"/>
        <v>0</v>
      </c>
      <c r="AE270" s="173">
        <f t="shared" si="37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38">IF(B238&lt;100,"",B238-520)</f>
        <v/>
      </c>
      <c r="C271" s="174" t="str">
        <f t="shared" si="38"/>
        <v/>
      </c>
      <c r="D271" s="174" t="str">
        <f t="shared" si="38"/>
        <v/>
      </c>
      <c r="E271" s="174" t="str">
        <f t="shared" si="38"/>
        <v/>
      </c>
      <c r="F271" s="174" t="str">
        <f t="shared" si="38"/>
        <v/>
      </c>
      <c r="G271" s="174" t="str">
        <f t="shared" si="38"/>
        <v/>
      </c>
      <c r="H271" s="174" t="str">
        <f t="shared" si="38"/>
        <v/>
      </c>
      <c r="I271" s="174" t="str">
        <f t="shared" si="38"/>
        <v/>
      </c>
      <c r="J271" s="174" t="str">
        <f t="shared" si="38"/>
        <v/>
      </c>
      <c r="K271" s="174" t="str">
        <f t="shared" si="38"/>
        <v/>
      </c>
      <c r="L271" s="174" t="str">
        <f t="shared" si="38"/>
        <v/>
      </c>
      <c r="M271" s="174" t="str">
        <f t="shared" si="38"/>
        <v/>
      </c>
      <c r="N271" s="174" t="str">
        <f t="shared" si="38"/>
        <v/>
      </c>
      <c r="O271" s="174" t="str">
        <f t="shared" si="38"/>
        <v/>
      </c>
      <c r="P271" s="174" t="str">
        <f t="shared" si="38"/>
        <v/>
      </c>
      <c r="Q271" s="174" t="str">
        <f t="shared" si="38"/>
        <v/>
      </c>
      <c r="R271" s="174" t="str">
        <f t="shared" si="38"/>
        <v/>
      </c>
      <c r="S271" s="174" t="str">
        <f t="shared" si="38"/>
        <v/>
      </c>
      <c r="T271" s="174" t="str">
        <f t="shared" si="38"/>
        <v/>
      </c>
      <c r="U271" s="174" t="str">
        <f t="shared" si="38"/>
        <v/>
      </c>
      <c r="V271" s="174" t="str">
        <f t="shared" si="38"/>
        <v/>
      </c>
      <c r="W271" s="174" t="str">
        <f t="shared" si="38"/>
        <v/>
      </c>
      <c r="X271" s="174" t="str">
        <f t="shared" si="38"/>
        <v/>
      </c>
      <c r="Y271" s="174" t="str">
        <f t="shared" si="38"/>
        <v/>
      </c>
      <c r="Z271" s="174" t="str">
        <f t="shared" si="38"/>
        <v/>
      </c>
      <c r="AA271" s="174" t="str">
        <f t="shared" si="38"/>
        <v/>
      </c>
      <c r="AB271" s="174" t="str">
        <f t="shared" si="38"/>
        <v/>
      </c>
      <c r="AC271" s="174" t="str">
        <f t="shared" si="38"/>
        <v/>
      </c>
      <c r="AD271" s="174" t="str">
        <f t="shared" si="38"/>
        <v/>
      </c>
      <c r="AE271" s="174" t="str">
        <f t="shared" si="38"/>
        <v/>
      </c>
      <c r="AF271" s="174" t="str">
        <f t="shared" si="38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39">IF(B239&lt;100,"",B239-620)</f>
        <v/>
      </c>
      <c r="C272" s="174" t="str">
        <f t="shared" si="39"/>
        <v/>
      </c>
      <c r="D272" s="174" t="str">
        <f t="shared" si="39"/>
        <v/>
      </c>
      <c r="E272" s="174" t="str">
        <f t="shared" si="39"/>
        <v/>
      </c>
      <c r="F272" s="174" t="str">
        <f t="shared" si="39"/>
        <v/>
      </c>
      <c r="G272" s="174" t="str">
        <f t="shared" si="39"/>
        <v/>
      </c>
      <c r="H272" s="174" t="str">
        <f t="shared" si="39"/>
        <v/>
      </c>
      <c r="I272" s="174" t="str">
        <f t="shared" si="39"/>
        <v/>
      </c>
      <c r="J272" s="174" t="str">
        <f t="shared" si="39"/>
        <v/>
      </c>
      <c r="K272" s="174" t="str">
        <f t="shared" si="39"/>
        <v/>
      </c>
      <c r="L272" s="174" t="str">
        <f t="shared" si="39"/>
        <v/>
      </c>
      <c r="M272" s="174" t="str">
        <f t="shared" si="39"/>
        <v/>
      </c>
      <c r="N272" s="174" t="str">
        <f t="shared" si="39"/>
        <v/>
      </c>
      <c r="O272" s="174" t="str">
        <f t="shared" si="39"/>
        <v/>
      </c>
      <c r="P272" s="174" t="str">
        <f t="shared" si="39"/>
        <v/>
      </c>
      <c r="Q272" s="174" t="str">
        <f t="shared" si="39"/>
        <v/>
      </c>
      <c r="R272" s="174" t="str">
        <f t="shared" si="39"/>
        <v/>
      </c>
      <c r="S272" s="174" t="str">
        <f t="shared" si="39"/>
        <v/>
      </c>
      <c r="T272" s="174" t="str">
        <f t="shared" si="39"/>
        <v/>
      </c>
      <c r="U272" s="174" t="str">
        <f t="shared" si="39"/>
        <v/>
      </c>
      <c r="V272" s="174" t="str">
        <f t="shared" si="39"/>
        <v/>
      </c>
      <c r="W272" s="174" t="str">
        <f t="shared" si="39"/>
        <v/>
      </c>
      <c r="X272" s="174" t="str">
        <f t="shared" si="39"/>
        <v/>
      </c>
      <c r="Y272" s="174" t="str">
        <f t="shared" si="39"/>
        <v/>
      </c>
      <c r="Z272" s="174" t="str">
        <f t="shared" si="39"/>
        <v/>
      </c>
      <c r="AA272" s="174" t="str">
        <f t="shared" si="39"/>
        <v/>
      </c>
      <c r="AB272" s="174" t="str">
        <f t="shared" si="39"/>
        <v/>
      </c>
      <c r="AC272" s="174" t="str">
        <f t="shared" si="39"/>
        <v/>
      </c>
      <c r="AD272" s="174" t="str">
        <f t="shared" si="39"/>
        <v/>
      </c>
      <c r="AE272" s="174" t="str">
        <f t="shared" si="39"/>
        <v/>
      </c>
      <c r="AF272" s="174" t="str">
        <f t="shared" si="39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40">IF(B240&lt;100,"",B240-330)</f>
        <v/>
      </c>
      <c r="C273" s="174" t="str">
        <f t="shared" si="40"/>
        <v/>
      </c>
      <c r="D273" s="174" t="str">
        <f t="shared" si="40"/>
        <v/>
      </c>
      <c r="E273" s="174" t="str">
        <f t="shared" si="40"/>
        <v/>
      </c>
      <c r="F273" s="174" t="str">
        <f t="shared" si="40"/>
        <v/>
      </c>
      <c r="G273" s="174" t="str">
        <f t="shared" si="40"/>
        <v/>
      </c>
      <c r="H273" s="174" t="str">
        <f t="shared" si="40"/>
        <v/>
      </c>
      <c r="I273" s="174" t="str">
        <f t="shared" si="40"/>
        <v/>
      </c>
      <c r="J273" s="174" t="str">
        <f t="shared" si="40"/>
        <v/>
      </c>
      <c r="K273" s="174" t="str">
        <f t="shared" si="40"/>
        <v/>
      </c>
      <c r="L273" s="174" t="str">
        <f t="shared" si="40"/>
        <v/>
      </c>
      <c r="M273" s="174" t="str">
        <f t="shared" si="40"/>
        <v/>
      </c>
      <c r="N273" s="174" t="str">
        <f t="shared" si="40"/>
        <v/>
      </c>
      <c r="O273" s="174" t="str">
        <f t="shared" si="40"/>
        <v/>
      </c>
      <c r="P273" s="174" t="str">
        <f t="shared" si="40"/>
        <v/>
      </c>
      <c r="Q273" s="174" t="str">
        <f t="shared" si="40"/>
        <v/>
      </c>
      <c r="R273" s="174" t="str">
        <f t="shared" si="40"/>
        <v/>
      </c>
      <c r="S273" s="174" t="str">
        <f t="shared" si="40"/>
        <v/>
      </c>
      <c r="T273" s="174" t="str">
        <f t="shared" si="40"/>
        <v/>
      </c>
      <c r="U273" s="174" t="str">
        <f t="shared" si="40"/>
        <v/>
      </c>
      <c r="V273" s="174" t="str">
        <f t="shared" si="40"/>
        <v/>
      </c>
      <c r="W273" s="174" t="str">
        <f t="shared" si="40"/>
        <v/>
      </c>
      <c r="X273" s="174" t="str">
        <f t="shared" si="40"/>
        <v/>
      </c>
      <c r="Y273" s="174" t="str">
        <f t="shared" si="40"/>
        <v/>
      </c>
      <c r="Z273" s="174" t="str">
        <f t="shared" si="40"/>
        <v/>
      </c>
      <c r="AA273" s="174" t="str">
        <f t="shared" si="40"/>
        <v/>
      </c>
      <c r="AB273" s="174" t="str">
        <f t="shared" si="40"/>
        <v/>
      </c>
      <c r="AC273" s="174" t="str">
        <f t="shared" si="40"/>
        <v/>
      </c>
      <c r="AD273" s="174" t="str">
        <f t="shared" si="40"/>
        <v/>
      </c>
      <c r="AE273" s="174" t="str">
        <f t="shared" si="40"/>
        <v/>
      </c>
      <c r="AF273" s="174" t="str">
        <f t="shared" si="40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41">IF(B241&lt;100,"",B241-1500)</f>
        <v/>
      </c>
      <c r="C274" s="174" t="str">
        <f t="shared" si="41"/>
        <v/>
      </c>
      <c r="D274" s="174" t="str">
        <f t="shared" si="41"/>
        <v/>
      </c>
      <c r="E274" s="174" t="str">
        <f t="shared" si="41"/>
        <v/>
      </c>
      <c r="F274" s="174" t="str">
        <f t="shared" si="41"/>
        <v/>
      </c>
      <c r="G274" s="174" t="str">
        <f t="shared" si="41"/>
        <v/>
      </c>
      <c r="H274" s="174" t="str">
        <f t="shared" si="41"/>
        <v/>
      </c>
      <c r="I274" s="174" t="str">
        <f t="shared" si="41"/>
        <v/>
      </c>
      <c r="J274" s="174" t="str">
        <f t="shared" si="41"/>
        <v/>
      </c>
      <c r="K274" s="174" t="str">
        <f t="shared" si="41"/>
        <v/>
      </c>
      <c r="L274" s="174" t="str">
        <f t="shared" si="41"/>
        <v/>
      </c>
      <c r="M274" s="174" t="str">
        <f t="shared" si="41"/>
        <v/>
      </c>
      <c r="N274" s="174" t="str">
        <f t="shared" si="41"/>
        <v/>
      </c>
      <c r="O274" s="174" t="str">
        <f t="shared" si="41"/>
        <v/>
      </c>
      <c r="P274" s="174" t="str">
        <f t="shared" si="41"/>
        <v/>
      </c>
      <c r="Q274" s="174" t="str">
        <f t="shared" si="41"/>
        <v/>
      </c>
      <c r="R274" s="174" t="str">
        <f t="shared" si="41"/>
        <v/>
      </c>
      <c r="S274" s="174" t="str">
        <f t="shared" si="41"/>
        <v/>
      </c>
      <c r="T274" s="174" t="str">
        <f t="shared" si="41"/>
        <v/>
      </c>
      <c r="U274" s="174" t="str">
        <f t="shared" si="41"/>
        <v/>
      </c>
      <c r="V274" s="174" t="str">
        <f t="shared" si="41"/>
        <v/>
      </c>
      <c r="W274" s="174" t="str">
        <f t="shared" si="41"/>
        <v/>
      </c>
      <c r="X274" s="174" t="str">
        <f t="shared" si="41"/>
        <v/>
      </c>
      <c r="Y274" s="174" t="str">
        <f t="shared" si="41"/>
        <v/>
      </c>
      <c r="Z274" s="174" t="str">
        <f t="shared" si="41"/>
        <v/>
      </c>
      <c r="AA274" s="174" t="str">
        <f t="shared" si="41"/>
        <v/>
      </c>
      <c r="AB274" s="174" t="str">
        <f t="shared" si="41"/>
        <v/>
      </c>
      <c r="AC274" s="174" t="str">
        <f t="shared" si="41"/>
        <v/>
      </c>
      <c r="AD274" s="174" t="str">
        <f t="shared" si="41"/>
        <v/>
      </c>
      <c r="AE274" s="174" t="str">
        <f t="shared" si="41"/>
        <v/>
      </c>
      <c r="AF274" s="174" t="str">
        <f t="shared" si="41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1517" priority="166">
      <formula>$AH11=0</formula>
    </cfRule>
  </conditionalFormatting>
  <conditionalFormatting sqref="B8 M8 S8 AB8">
    <cfRule type="expression" dxfId="1516" priority="217">
      <formula>AND(C$9&gt;=14/24,C$9&lt;20/24)</formula>
    </cfRule>
    <cfRule type="expression" dxfId="1515" priority="218">
      <formula>AND(C$9&gt;=8/24,C$9&lt;14/24)</formula>
    </cfRule>
    <cfRule type="expression" dxfId="1514" priority="219">
      <formula>C$9&lt;8/24</formula>
    </cfRule>
  </conditionalFormatting>
  <conditionalFormatting sqref="B11:N45">
    <cfRule type="expression" dxfId="1513" priority="22">
      <formula>B$9&lt;8/24</formula>
    </cfRule>
    <cfRule type="expression" dxfId="1512" priority="19">
      <formula>B$9&gt;=20/24</formula>
    </cfRule>
    <cfRule type="expression" dxfId="1511" priority="20">
      <formula>AND(B$9&gt;=14/24,B$9&lt;20/24)</formula>
    </cfRule>
    <cfRule type="expression" dxfId="1510" priority="21">
      <formula>AND(B$9&gt;=8/24,B$9&lt;14/24)</formula>
    </cfRule>
  </conditionalFormatting>
  <conditionalFormatting sqref="B11:N46">
    <cfRule type="expression" dxfId="1509" priority="18">
      <formula>B11&gt;$AG11</formula>
    </cfRule>
  </conditionalFormatting>
  <conditionalFormatting sqref="B47:N47">
    <cfRule type="expression" dxfId="1508" priority="28">
      <formula>B47&gt;$AG47</formula>
    </cfRule>
  </conditionalFormatting>
  <conditionalFormatting sqref="B55:N60">
    <cfRule type="expression" dxfId="1507" priority="7">
      <formula>AND(B$9&gt;=14/24,B$9&lt;20/24)</formula>
    </cfRule>
    <cfRule type="expression" dxfId="1506" priority="6">
      <formula>B$9&gt;=20/24</formula>
    </cfRule>
    <cfRule type="expression" dxfId="1505" priority="8">
      <formula>AND(B$9&gt;=8/24,B$9&lt;14/24)</formula>
    </cfRule>
    <cfRule type="expression" dxfId="1504" priority="9">
      <formula>B$9&lt;8/24</formula>
    </cfRule>
  </conditionalFormatting>
  <conditionalFormatting sqref="B9:AF10 O11:AF45">
    <cfRule type="expression" dxfId="1503" priority="128">
      <formula>B$9&lt;8/24</formula>
    </cfRule>
    <cfRule type="expression" dxfId="1502" priority="127">
      <formula>AND(B$9&gt;=8/24,B$9&lt;14/24)</formula>
    </cfRule>
    <cfRule type="expression" dxfId="1501" priority="126">
      <formula>AND(B$9&gt;=14/24,B$9&lt;20/24)</formula>
    </cfRule>
  </conditionalFormatting>
  <conditionalFormatting sqref="B46:AF46">
    <cfRule type="expression" dxfId="1500" priority="17">
      <formula>B$9&lt;8/24</formula>
    </cfRule>
    <cfRule type="expression" dxfId="1499" priority="14">
      <formula>B$9&gt;=20/24</formula>
    </cfRule>
    <cfRule type="expression" dxfId="1498" priority="15">
      <formula>AND(B$9&gt;=14/24,B$9&lt;20/24)</formula>
    </cfRule>
    <cfRule type="expression" dxfId="1497" priority="16">
      <formula>AND(B$9&gt;=8/24,B$9&lt;14/24)</formula>
    </cfRule>
  </conditionalFormatting>
  <conditionalFormatting sqref="B47:AF49">
    <cfRule type="expression" dxfId="1496" priority="26">
      <formula>AND(B$9&gt;=8/24,B$9&lt;14/24)</formula>
    </cfRule>
    <cfRule type="expression" dxfId="1495" priority="27">
      <formula>B$9&lt;8/24</formula>
    </cfRule>
    <cfRule type="expression" dxfId="1494" priority="24">
      <formula>B$9&gt;=20/24</formula>
    </cfRule>
    <cfRule type="expression" dxfId="1493" priority="25">
      <formula>AND(B$9&gt;=14/24,B$9&lt;20/24)</formula>
    </cfRule>
  </conditionalFormatting>
  <conditionalFormatting sqref="B51:AF53">
    <cfRule type="expression" dxfId="1492" priority="38">
      <formula>B$9&gt;=20/24</formula>
    </cfRule>
    <cfRule type="expression" dxfId="1491" priority="40">
      <formula>AND(B$9&gt;=8/24,B$9&lt;14/24)</formula>
    </cfRule>
    <cfRule type="expression" dxfId="1490" priority="41">
      <formula>B$9&lt;8/24</formula>
    </cfRule>
    <cfRule type="expression" dxfId="1489" priority="39">
      <formula>AND(B$9&gt;=14/24,B$9&lt;20/24)</formula>
    </cfRule>
  </conditionalFormatting>
  <conditionalFormatting sqref="B55:AF66">
    <cfRule type="expression" dxfId="1488" priority="5">
      <formula>B55&gt;$AG55</formula>
    </cfRule>
  </conditionalFormatting>
  <conditionalFormatting sqref="B61:AF66">
    <cfRule type="expression" dxfId="1487" priority="29">
      <formula>B$9&gt;=20/24</formula>
    </cfRule>
    <cfRule type="expression" dxfId="1486" priority="30">
      <formula>AND(B$9&gt;=14/24,B$9&lt;20/24)</formula>
    </cfRule>
    <cfRule type="expression" dxfId="1485" priority="31">
      <formula>AND(B$9&gt;=8/24,B$9&lt;14/24)</formula>
    </cfRule>
    <cfRule type="expression" dxfId="1484" priority="32">
      <formula>B$9&lt;8/24</formula>
    </cfRule>
  </conditionalFormatting>
  <conditionalFormatting sqref="B69:AF71">
    <cfRule type="expression" dxfId="1483" priority="42">
      <formula>B69&gt;$AG69</formula>
    </cfRule>
    <cfRule type="expression" dxfId="1482" priority="43">
      <formula>B$9&gt;=20/24</formula>
    </cfRule>
    <cfRule type="expression" dxfId="1481" priority="44">
      <formula>AND(B$9&gt;=14/24,B$9&lt;20/24)</formula>
    </cfRule>
    <cfRule type="expression" dxfId="1480" priority="46">
      <formula>B$9&lt;8/24</formula>
    </cfRule>
    <cfRule type="expression" dxfId="1479" priority="45">
      <formula>AND(B$9&gt;=8/24,B$9&lt;14/24)</formula>
    </cfRule>
  </conditionalFormatting>
  <conditionalFormatting sqref="B73:AF91">
    <cfRule type="expression" dxfId="1478" priority="2">
      <formula>AND(B$9&gt;=14/24,B$9&lt;20/24)</formula>
    </cfRule>
    <cfRule type="expression" dxfId="1477" priority="3">
      <formula>AND(B$9&gt;=8/24,B$9&lt;14/24)</formula>
    </cfRule>
    <cfRule type="expression" dxfId="1476" priority="1">
      <formula>B$9&gt;=20/24</formula>
    </cfRule>
    <cfRule type="expression" dxfId="1475" priority="4">
      <formula>B$9&lt;8/24</formula>
    </cfRule>
  </conditionalFormatting>
  <conditionalFormatting sqref="B111:AF120">
    <cfRule type="expression" dxfId="1474" priority="13">
      <formula>B$9&lt;8/24</formula>
    </cfRule>
    <cfRule type="expression" dxfId="1473" priority="12">
      <formula>AND(B$9&gt;=8/24,B$9&lt;14/24)</formula>
    </cfRule>
    <cfRule type="expression" dxfId="1472" priority="11">
      <formula>AND(B$9&gt;=14/24,B$9&lt;20/24)</formula>
    </cfRule>
    <cfRule type="expression" dxfId="1471" priority="10">
      <formula>B$9&gt;=20/24</formula>
    </cfRule>
  </conditionalFormatting>
  <conditionalFormatting sqref="B227:AF227 D229:AF230 B229:B235 D231:H231 J231:AF231 D232:AF235 U248:AF248">
    <cfRule type="expression" dxfId="1470" priority="213">
      <formula>B$9&lt;8/24</formula>
    </cfRule>
    <cfRule type="expression" dxfId="1469" priority="212">
      <formula>AND(B$9&gt;=8/24,B$9&lt;14/24)</formula>
    </cfRule>
    <cfRule type="expression" dxfId="1468" priority="211">
      <formula>AND(B$9&gt;=14/24,B$9&lt;20/24)</formula>
    </cfRule>
    <cfRule type="expression" dxfId="1467" priority="210">
      <formula>B$9&gt;=20/24</formula>
    </cfRule>
  </conditionalFormatting>
  <conditionalFormatting sqref="B54:AG54">
    <cfRule type="expression" dxfId="1466" priority="50">
      <formula>AND(B$9&gt;=8/24,B$9&lt;14/24)</formula>
    </cfRule>
    <cfRule type="expression" dxfId="1465" priority="47">
      <formula>B54&gt;$AG54</formula>
    </cfRule>
    <cfRule type="expression" dxfId="1464" priority="48">
      <formula>B$9&gt;=20/24</formula>
    </cfRule>
    <cfRule type="expression" dxfId="1463" priority="49">
      <formula>AND(B$9&gt;=14/24,B$9&lt;20/24)</formula>
    </cfRule>
    <cfRule type="expression" dxfId="1462" priority="51">
      <formula>B$9&lt;8/24</formula>
    </cfRule>
  </conditionalFormatting>
  <conditionalFormatting sqref="B67:AG68 B72:AG72">
    <cfRule type="expression" dxfId="1461" priority="33">
      <formula>B67&gt;$AG67</formula>
    </cfRule>
  </conditionalFormatting>
  <conditionalFormatting sqref="B72:AG72 B93:AF109">
    <cfRule type="expression" dxfId="1460" priority="34">
      <formula>B$9&gt;=20/24</formula>
    </cfRule>
    <cfRule type="expression" dxfId="1459" priority="35">
      <formula>AND(B$9&gt;=14/24,B$9&lt;20/24)</formula>
    </cfRule>
    <cfRule type="expression" dxfId="1458" priority="36">
      <formula>AND(B$9&gt;=8/24,B$9&lt;14/24)</formula>
    </cfRule>
    <cfRule type="expression" dxfId="1457" priority="37">
      <formula>B$9&lt;8/24</formula>
    </cfRule>
  </conditionalFormatting>
  <conditionalFormatting sqref="E48:AF49 B48:D53 E51:AF53">
    <cfRule type="expression" dxfId="1456" priority="23">
      <formula>B48&gt;$AG48</formula>
    </cfRule>
  </conditionalFormatting>
  <conditionalFormatting sqref="E50:AG50">
    <cfRule type="expression" dxfId="1455" priority="129">
      <formula>E50&gt;$AG50</formula>
    </cfRule>
  </conditionalFormatting>
  <conditionalFormatting sqref="L55:L57">
    <cfRule type="expression" dxfId="1454" priority="194">
      <formula>L$9&lt;8/24</formula>
    </cfRule>
    <cfRule type="expression" dxfId="1453" priority="193">
      <formula>AND(L$9&gt;=8/24,L$9&lt;14/24)</formula>
    </cfRule>
    <cfRule type="expression" dxfId="1452" priority="192">
      <formula>AND(L$9&gt;=14/24,L$9&lt;20/24)</formula>
    </cfRule>
    <cfRule type="expression" dxfId="1451" priority="191">
      <formula>L$9&gt;=20/24</formula>
    </cfRule>
  </conditionalFormatting>
  <conditionalFormatting sqref="L60:S60">
    <cfRule type="expression" dxfId="1450" priority="154">
      <formula>AND(L$9&gt;=14/24,L$9&lt;20/24)</formula>
    </cfRule>
    <cfRule type="expression" dxfId="1449" priority="153">
      <formula>L$9&gt;=20/24</formula>
    </cfRule>
    <cfRule type="expression" dxfId="1448" priority="156">
      <formula>L$9&lt;8/24</formula>
    </cfRule>
    <cfRule type="expression" dxfId="1447" priority="155">
      <formula>AND(L$9&gt;=8/24,L$9&lt;14/24)</formula>
    </cfRule>
  </conditionalFormatting>
  <conditionalFormatting sqref="M55:R59 S59">
    <cfRule type="expression" dxfId="1446" priority="198">
      <formula>M$9&lt;8/24</formula>
    </cfRule>
    <cfRule type="expression" dxfId="1445" priority="196">
      <formula>AND(M$9&gt;=14/24,M$9&lt;20/24)</formula>
    </cfRule>
    <cfRule type="expression" dxfId="1444" priority="197">
      <formula>AND(M$9&gt;=8/24,M$9&lt;14/24)</formula>
    </cfRule>
  </conditionalFormatting>
  <conditionalFormatting sqref="O3:P3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O11:AF45 B9:AF10">
    <cfRule type="expression" dxfId="1443" priority="125">
      <formula>B$9&gt;=20/24</formula>
    </cfRule>
  </conditionalFormatting>
  <conditionalFormatting sqref="O11:AF47">
    <cfRule type="expression" dxfId="1442" priority="124">
      <formula>O11&gt;$AG11</formula>
    </cfRule>
  </conditionalFormatting>
  <conditionalFormatting sqref="S8 AB8 B8 M8">
    <cfRule type="expression" dxfId="1441" priority="216">
      <formula>C$9&gt;=20/24</formula>
    </cfRule>
  </conditionalFormatting>
  <conditionalFormatting sqref="S8">
    <cfRule type="expression" dxfId="1440" priority="206">
      <formula>U$9&lt;8/24</formula>
    </cfRule>
    <cfRule type="expression" dxfId="1439" priority="205">
      <formula>AND(U$9&gt;=8/24,U$9&lt;14/24)</formula>
    </cfRule>
    <cfRule type="expression" dxfId="1438" priority="204">
      <formula>AND(U$9&gt;=14/24,U$9&lt;20/24)</formula>
    </cfRule>
    <cfRule type="expression" dxfId="1437" priority="203">
      <formula>U$9&gt;=20/24</formula>
    </cfRule>
  </conditionalFormatting>
  <conditionalFormatting sqref="S59 M55:R59">
    <cfRule type="expression" dxfId="1436" priority="195">
      <formula>M$9&gt;=20/24</formula>
    </cfRule>
  </conditionalFormatting>
  <conditionalFormatting sqref="S55:AF60">
    <cfRule type="expression" dxfId="1435" priority="112">
      <formula>S$9&gt;=20/24</formula>
    </cfRule>
    <cfRule type="expression" dxfId="1434" priority="113">
      <formula>AND(S$9&gt;=14/24,S$9&lt;20/24)</formula>
    </cfRule>
    <cfRule type="expression" dxfId="1433" priority="114">
      <formula>AND(S$9&gt;=8/24,S$9&lt;14/24)</formula>
    </cfRule>
    <cfRule type="expression" dxfId="1432" priority="115">
      <formula>S$9&lt;8/24</formula>
    </cfRule>
  </conditionalFormatting>
  <conditionalFormatting sqref="T248">
    <cfRule type="expression" dxfId="1431" priority="228">
      <formula>AX$9&gt;=20/24</formula>
    </cfRule>
    <cfRule type="expression" dxfId="1430" priority="229">
      <formula>AND(AX$9&gt;=14/24,AX$9&lt;20/24)</formula>
    </cfRule>
    <cfRule type="expression" dxfId="1429" priority="230">
      <formula>AND(AX$9&gt;=8/24,AX$9&lt;14/24)</formula>
    </cfRule>
    <cfRule type="expression" dxfId="1428" priority="231">
      <formula>AX$9&lt;8/24</formula>
    </cfRule>
  </conditionalFormatting>
  <conditionalFormatting sqref="V3 AB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427" priority="199">
      <formula>AD$9&gt;=20/24</formula>
    </cfRule>
    <cfRule type="expression" dxfId="1426" priority="200">
      <formula>AND(AD$9&gt;=14/24,AD$9&lt;20/24)</formula>
    </cfRule>
    <cfRule type="expression" dxfId="1425" priority="201">
      <formula>AND(AD$9&gt;=8/24,AD$9&lt;14/24)</formula>
    </cfRule>
    <cfRule type="expression" dxfId="1424" priority="202">
      <formula>AD$9&lt;8/24</formula>
    </cfRule>
  </conditionalFormatting>
  <conditionalFormatting sqref="AG89">
    <cfRule type="expression" dxfId="1423" priority="190">
      <formula>AG$9&lt;8/24</formula>
    </cfRule>
    <cfRule type="expression" dxfId="1422" priority="189">
      <formula>AND(AG$9&gt;=8/24,AG$9&lt;14/24)</formula>
    </cfRule>
    <cfRule type="expression" dxfId="1421" priority="188">
      <formula>AND(AG$9&gt;=14/24,AG$9&lt;20/24)</formula>
    </cfRule>
    <cfRule type="expression" dxfId="1420" priority="187">
      <formula>AG$9&gt;=20/24</formula>
    </cfRule>
  </conditionalFormatting>
  <conditionalFormatting sqref="AG248">
    <cfRule type="expression" dxfId="1419" priority="223">
      <formula>B$9&lt;8/24</formula>
    </cfRule>
    <cfRule type="expression" dxfId="1418" priority="220">
      <formula>B$9&gt;=20/24</formula>
    </cfRule>
    <cfRule type="expression" dxfId="1417" priority="221">
      <formula>AND(B$9&gt;=14/24,B$9&lt;20/24)</formula>
    </cfRule>
    <cfRule type="expression" dxfId="1416" priority="222">
      <formula>AND(B$9&gt;=8/24,B$9&lt;14/24)</formula>
    </cfRule>
  </conditionalFormatting>
  <conditionalFormatting sqref="AH248:AX248">
    <cfRule type="expression" dxfId="1415" priority="224">
      <formula>AG$9&gt;=20/24</formula>
    </cfRule>
    <cfRule type="expression" dxfId="1414" priority="225">
      <formula>AND(AG$9&gt;=14/24,AG$9&lt;20/24)</formula>
    </cfRule>
    <cfRule type="expression" dxfId="1413" priority="226">
      <formula>AND(AG$9&gt;=8/24,AG$9&lt;14/24)</formula>
    </cfRule>
    <cfRule type="expression" dxfId="1412" priority="227">
      <formula>AG$9&lt;8/24</formula>
    </cfRule>
  </conditionalFormatting>
  <conditionalFormatting sqref="AL4:AL6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6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411" priority="233">
      <formula>AJ$9&gt;=20/24</formula>
    </cfRule>
    <cfRule type="expression" dxfId="1410" priority="234">
      <formula>AND(AJ$9&gt;=14/24,AJ$9&lt;20/24)</formula>
    </cfRule>
    <cfRule type="expression" dxfId="1409" priority="235">
      <formula>AND(AJ$9&gt;=8/24,AJ$9&lt;14/24)</formula>
    </cfRule>
    <cfRule type="expression" dxfId="1408" priority="236">
      <formula>AJ$9&lt;8/24</formula>
    </cfRule>
  </conditionalFormatting>
  <conditionalFormatting sqref="AL80:AN80 AL86:AN86">
    <cfRule type="expression" dxfId="1407" priority="177">
      <formula>AL$9&lt;8/24</formula>
    </cfRule>
    <cfRule type="expression" dxfId="1406" priority="176">
      <formula>AND(AL$9&gt;=8/24,AL$9&lt;14/24)</formula>
    </cfRule>
    <cfRule type="expression" dxfId="1405" priority="175">
      <formula>AND(AL$9&gt;=14/24,AL$9&lt;20/24)</formula>
    </cfRule>
    <cfRule type="expression" dxfId="1404" priority="174">
      <formula>AL$9&gt;=20/24</formula>
    </cfRule>
  </conditionalFormatting>
  <conditionalFormatting sqref="AN81:AN84">
    <cfRule type="expression" dxfId="1403" priority="173">
      <formula>AN$9&lt;8/24</formula>
    </cfRule>
    <cfRule type="expression" dxfId="1402" priority="172">
      <formula>AND(AN$9&gt;=8/24,AN$9&lt;14/24)</formula>
    </cfRule>
    <cfRule type="expression" dxfId="1401" priority="171">
      <formula>AND(AN$9&gt;=14/24,AN$9&lt;20/24)</formula>
    </cfRule>
    <cfRule type="expression" dxfId="1400" priority="170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1A75-F920-4068-8D22-D55F0737D513}">
  <dimension ref="A1:CJ281"/>
  <sheetViews>
    <sheetView zoomScale="90" zoomScaleNormal="90" workbookViewId="0">
      <pane xSplit="1" ySplit="10" topLeftCell="B103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N24" sqref="N2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3" width="6.140625" style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7.85546875" style="1" customWidth="1"/>
    <col min="19" max="19" width="7" style="1" customWidth="1"/>
    <col min="20" max="20" width="8.28515625" style="1" customWidth="1"/>
    <col min="21" max="21" width="8.5703125" style="1" customWidth="1"/>
    <col min="22" max="22" width="6.85546875" style="1" customWidth="1"/>
    <col min="23" max="23" width="8.28515625" style="1" customWidth="1"/>
    <col min="24" max="24" width="7.7109375" style="1" customWidth="1"/>
    <col min="25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2080/04/15</v>
      </c>
      <c r="C4" s="203"/>
      <c r="D4" s="203"/>
      <c r="E4" s="204" t="str">
        <f ca="1">"2079/"&amp;"12/"&amp;INT(MID(CELL("filename",G6),FIND("]",CELL("filename",G6))+1,200))</f>
        <v>2079/12/15</v>
      </c>
      <c r="F4" s="204"/>
      <c r="G4" s="204"/>
      <c r="H4" s="204" t="str">
        <f ca="1">TEXT(E4,"dddd")</f>
        <v>Friday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8.1999999999999993</v>
      </c>
      <c r="C5" s="30">
        <f t="shared" si="0"/>
        <v>4</v>
      </c>
      <c r="D5" s="30">
        <f t="shared" si="0"/>
        <v>4</v>
      </c>
      <c r="E5" s="30">
        <f t="shared" si="0"/>
        <v>4</v>
      </c>
      <c r="F5" s="30">
        <f t="shared" si="0"/>
        <v>4</v>
      </c>
      <c r="G5" s="30">
        <f t="shared" si="0"/>
        <v>35.4</v>
      </c>
      <c r="H5" s="30">
        <f t="shared" si="0"/>
        <v>27.1</v>
      </c>
      <c r="I5" s="30">
        <f t="shared" si="0"/>
        <v>4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23</v>
      </c>
      <c r="N5" s="30">
        <f t="shared" si="0"/>
        <v>15.1</v>
      </c>
      <c r="O5" s="30">
        <f t="shared" si="0"/>
        <v>19.100000000000001</v>
      </c>
      <c r="P5" s="30">
        <f t="shared" si="0"/>
        <v>19.100000000000001</v>
      </c>
      <c r="Q5" s="30">
        <f t="shared" si="0"/>
        <v>14.8</v>
      </c>
      <c r="R5" s="30">
        <f t="shared" si="0"/>
        <v>14.5</v>
      </c>
      <c r="S5" s="30">
        <f t="shared" si="0"/>
        <v>14.5</v>
      </c>
      <c r="T5" s="30">
        <f t="shared" si="0"/>
        <v>29</v>
      </c>
      <c r="U5" s="30">
        <f t="shared" si="0"/>
        <v>11.9</v>
      </c>
      <c r="V5" s="30">
        <f t="shared" si="0"/>
        <v>8.6999999999999993</v>
      </c>
      <c r="W5" s="30">
        <f t="shared" si="0"/>
        <v>5.8</v>
      </c>
      <c r="X5" s="30">
        <f t="shared" si="0"/>
        <v>11.36</v>
      </c>
      <c r="Y5" s="30">
        <f t="shared" si="0"/>
        <v>11.2</v>
      </c>
      <c r="Z5" s="30">
        <f t="shared" si="0"/>
        <v>21</v>
      </c>
      <c r="AA5" s="30">
        <f t="shared" si="0"/>
        <v>21</v>
      </c>
      <c r="AB5" s="30">
        <f t="shared" si="0"/>
        <v>30</v>
      </c>
      <c r="AC5" s="30">
        <f t="shared" si="0"/>
        <v>18.5</v>
      </c>
      <c r="AD5" s="30">
        <f t="shared" si="0"/>
        <v>27.6</v>
      </c>
      <c r="AE5" s="30">
        <f t="shared" si="0"/>
        <v>0</v>
      </c>
      <c r="AF5" s="30">
        <f>B84</f>
        <v>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2031MW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Load=1850</v>
      </c>
      <c r="B7" s="35">
        <f t="shared" ref="B7:AF7" si="1">B91</f>
        <v>2003.7200000000003</v>
      </c>
      <c r="C7" s="35">
        <f t="shared" si="1"/>
        <v>2000.9200000000003</v>
      </c>
      <c r="D7" s="35">
        <f t="shared" si="1"/>
        <v>1918.1200000000001</v>
      </c>
      <c r="E7" s="35">
        <f t="shared" si="1"/>
        <v>1925.8200000000002</v>
      </c>
      <c r="F7" s="35">
        <f t="shared" si="1"/>
        <v>1924.62</v>
      </c>
      <c r="G7" s="35">
        <f t="shared" si="1"/>
        <v>1929.52</v>
      </c>
      <c r="H7" s="35">
        <f t="shared" si="1"/>
        <v>1887.5200000000002</v>
      </c>
      <c r="I7" s="35">
        <f t="shared" si="1"/>
        <v>1916.42</v>
      </c>
      <c r="J7" s="35">
        <f t="shared" si="1"/>
        <v>2006.8200000000002</v>
      </c>
      <c r="K7" s="35">
        <f t="shared" si="1"/>
        <v>2028.3200000000002</v>
      </c>
      <c r="L7" s="35">
        <f t="shared" si="1"/>
        <v>2030.7200000000003</v>
      </c>
      <c r="M7" s="35">
        <f t="shared" si="1"/>
        <v>1999.2200000000003</v>
      </c>
      <c r="N7" s="35">
        <f>N91</f>
        <v>2023.7200000000003</v>
      </c>
      <c r="O7" s="35">
        <f t="shared" si="1"/>
        <v>2017.8200000000002</v>
      </c>
      <c r="P7" s="35">
        <f t="shared" si="1"/>
        <v>2028.52</v>
      </c>
      <c r="Q7" s="35">
        <f t="shared" si="1"/>
        <v>2028.52</v>
      </c>
      <c r="R7" s="35">
        <f t="shared" si="1"/>
        <v>2050.7200000000003</v>
      </c>
      <c r="S7" s="35">
        <f t="shared" si="1"/>
        <v>2039.2200000000003</v>
      </c>
      <c r="T7" s="35">
        <f t="shared" si="1"/>
        <v>2048.92</v>
      </c>
      <c r="U7" s="35">
        <f t="shared" si="1"/>
        <v>2023.52</v>
      </c>
      <c r="V7" s="35">
        <f t="shared" si="1"/>
        <v>2024.42</v>
      </c>
      <c r="W7" s="35">
        <f t="shared" si="1"/>
        <v>2019.0200000000002</v>
      </c>
      <c r="X7" s="35">
        <f t="shared" si="1"/>
        <v>2012.6200000000001</v>
      </c>
      <c r="Y7" s="35">
        <f t="shared" si="1"/>
        <v>2026.58</v>
      </c>
      <c r="Z7" s="35">
        <f t="shared" si="1"/>
        <v>2042.92</v>
      </c>
      <c r="AA7" s="35">
        <f t="shared" si="1"/>
        <v>2029.92</v>
      </c>
      <c r="AB7" s="35">
        <f t="shared" si="1"/>
        <v>1849.92</v>
      </c>
      <c r="AC7" s="35">
        <f t="shared" si="1"/>
        <v>2036.92</v>
      </c>
      <c r="AD7" s="35">
        <f t="shared" si="1"/>
        <v>2090.7200000000003</v>
      </c>
      <c r="AE7" s="35">
        <f t="shared" si="1"/>
        <v>2082.12</v>
      </c>
      <c r="AF7" s="35">
        <f t="shared" si="1"/>
        <v>1985.8200000000002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</v>
      </c>
      <c r="C11" s="45">
        <v>90</v>
      </c>
      <c r="D11" s="45">
        <v>90</v>
      </c>
      <c r="E11" s="45">
        <v>90</v>
      </c>
      <c r="F11" s="45">
        <v>90</v>
      </c>
      <c r="G11" s="45">
        <v>90</v>
      </c>
      <c r="H11" s="45">
        <v>90</v>
      </c>
      <c r="I11" s="45">
        <v>90</v>
      </c>
      <c r="J11" s="45">
        <v>90</v>
      </c>
      <c r="K11" s="45">
        <v>90</v>
      </c>
      <c r="L11" s="45">
        <v>90</v>
      </c>
      <c r="M11" s="45">
        <v>90.1</v>
      </c>
      <c r="N11" s="45">
        <v>90.1</v>
      </c>
      <c r="O11" s="45">
        <v>90.1</v>
      </c>
      <c r="P11" s="45">
        <v>90.1</v>
      </c>
      <c r="Q11" s="45">
        <v>90.1</v>
      </c>
      <c r="R11" s="45">
        <v>90.1</v>
      </c>
      <c r="S11" s="45">
        <v>90.1</v>
      </c>
      <c r="T11" s="45">
        <v>90.5</v>
      </c>
      <c r="U11" s="45">
        <v>90.2</v>
      </c>
      <c r="V11" s="45">
        <v>90.2</v>
      </c>
      <c r="W11" s="45">
        <v>90.2</v>
      </c>
      <c r="X11" s="45">
        <v>90.2</v>
      </c>
      <c r="Y11" s="45">
        <v>90.2</v>
      </c>
      <c r="Z11" s="45">
        <v>90.6</v>
      </c>
      <c r="AA11" s="45">
        <v>90.6</v>
      </c>
      <c r="AB11" s="45">
        <v>90.6</v>
      </c>
      <c r="AC11" s="45">
        <v>90.6</v>
      </c>
      <c r="AD11" s="45">
        <v>90.6</v>
      </c>
      <c r="AE11" s="45">
        <v>90.6</v>
      </c>
      <c r="AF11" s="45">
        <v>90.6</v>
      </c>
      <c r="AG11" s="46">
        <v>86</v>
      </c>
      <c r="AH11" s="47">
        <f t="shared" ref="AH11:AH76" si="2">MAX(B11:AF11)</f>
        <v>90.6</v>
      </c>
      <c r="AI11" s="48">
        <f t="shared" ref="AI11:AI76" si="3">MIN(B11:AF11)</f>
        <v>90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26</v>
      </c>
      <c r="C12" s="45">
        <v>26</v>
      </c>
      <c r="D12" s="45">
        <v>0</v>
      </c>
      <c r="E12" s="45">
        <v>0</v>
      </c>
      <c r="F12" s="45">
        <v>8</v>
      </c>
      <c r="G12" s="45">
        <v>8</v>
      </c>
      <c r="H12" s="45">
        <v>8</v>
      </c>
      <c r="I12" s="45">
        <v>27</v>
      </c>
      <c r="J12" s="45">
        <v>27</v>
      </c>
      <c r="K12" s="45">
        <v>27</v>
      </c>
      <c r="L12" s="45">
        <v>27</v>
      </c>
      <c r="M12" s="45">
        <v>27</v>
      </c>
      <c r="N12" s="45">
        <v>27</v>
      </c>
      <c r="O12" s="45">
        <v>27</v>
      </c>
      <c r="P12" s="45">
        <v>27</v>
      </c>
      <c r="Q12" s="45">
        <v>27</v>
      </c>
      <c r="R12" s="45">
        <v>27</v>
      </c>
      <c r="S12" s="45">
        <v>27</v>
      </c>
      <c r="T12" s="45">
        <v>27</v>
      </c>
      <c r="U12" s="45">
        <v>27</v>
      </c>
      <c r="V12" s="45">
        <v>27</v>
      </c>
      <c r="W12" s="45">
        <v>27</v>
      </c>
      <c r="X12" s="45">
        <v>27</v>
      </c>
      <c r="Y12" s="45">
        <v>27</v>
      </c>
      <c r="Z12" s="45">
        <v>27</v>
      </c>
      <c r="AA12" s="45">
        <v>27</v>
      </c>
      <c r="AB12" s="45">
        <v>27</v>
      </c>
      <c r="AC12" s="45">
        <v>27</v>
      </c>
      <c r="AD12" s="45">
        <v>27</v>
      </c>
      <c r="AE12" s="45">
        <v>27</v>
      </c>
      <c r="AF12" s="45">
        <v>18</v>
      </c>
      <c r="AG12" s="49">
        <v>54</v>
      </c>
      <c r="AH12" s="47">
        <f t="shared" si="2"/>
        <v>27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55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>
        <v>55</v>
      </c>
      <c r="K13" s="45">
        <v>55</v>
      </c>
      <c r="L13" s="45">
        <v>55</v>
      </c>
      <c r="M13" s="45">
        <v>55</v>
      </c>
      <c r="N13" s="45">
        <v>55</v>
      </c>
      <c r="O13" s="45">
        <v>55</v>
      </c>
      <c r="P13" s="45">
        <v>55</v>
      </c>
      <c r="Q13" s="45">
        <v>55</v>
      </c>
      <c r="R13" s="45">
        <v>55</v>
      </c>
      <c r="S13" s="45">
        <v>55</v>
      </c>
      <c r="T13" s="45">
        <v>55</v>
      </c>
      <c r="U13" s="45">
        <v>55</v>
      </c>
      <c r="V13" s="45">
        <v>55</v>
      </c>
      <c r="W13" s="45">
        <v>55</v>
      </c>
      <c r="X13" s="45">
        <v>55</v>
      </c>
      <c r="Y13" s="45">
        <v>55</v>
      </c>
      <c r="Z13" s="45">
        <v>55</v>
      </c>
      <c r="AA13" s="45">
        <v>55</v>
      </c>
      <c r="AB13" s="45">
        <v>55</v>
      </c>
      <c r="AC13" s="45">
        <v>55</v>
      </c>
      <c r="AD13" s="45">
        <v>55</v>
      </c>
      <c r="AE13" s="45">
        <v>55</v>
      </c>
      <c r="AF13" s="45">
        <v>55</v>
      </c>
      <c r="AG13" s="46">
        <v>52.4</v>
      </c>
      <c r="AH13" s="47">
        <f t="shared" si="2"/>
        <v>55</v>
      </c>
      <c r="AI13" s="48">
        <f t="shared" si="3"/>
        <v>55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50.2</v>
      </c>
      <c r="C14" s="58">
        <v>50.2</v>
      </c>
      <c r="D14" s="58">
        <v>50.2</v>
      </c>
      <c r="E14" s="58">
        <v>50.2</v>
      </c>
      <c r="F14" s="58">
        <v>50.2</v>
      </c>
      <c r="G14" s="58">
        <v>50.2</v>
      </c>
      <c r="H14" s="58">
        <v>50.2</v>
      </c>
      <c r="I14" s="58">
        <v>50.2</v>
      </c>
      <c r="J14" s="58">
        <v>50.2</v>
      </c>
      <c r="K14" s="58">
        <v>50.2</v>
      </c>
      <c r="L14" s="58">
        <v>50.2</v>
      </c>
      <c r="M14" s="58">
        <v>50.2</v>
      </c>
      <c r="N14" s="58">
        <v>50.2</v>
      </c>
      <c r="O14" s="58">
        <v>50.2</v>
      </c>
      <c r="P14" s="58">
        <v>50.2</v>
      </c>
      <c r="Q14" s="58">
        <v>50.2</v>
      </c>
      <c r="R14" s="58">
        <v>50.2</v>
      </c>
      <c r="S14" s="58">
        <v>50.2</v>
      </c>
      <c r="T14" s="58">
        <v>50.2</v>
      </c>
      <c r="U14" s="58">
        <v>50.5</v>
      </c>
      <c r="V14" s="58">
        <v>50.5</v>
      </c>
      <c r="W14" s="58">
        <v>50.5</v>
      </c>
      <c r="X14" s="58">
        <v>50.5</v>
      </c>
      <c r="Y14" s="58">
        <v>50.5</v>
      </c>
      <c r="Z14" s="45">
        <v>50.3</v>
      </c>
      <c r="AA14" s="45">
        <v>50.3</v>
      </c>
      <c r="AB14" s="45">
        <v>50.3</v>
      </c>
      <c r="AC14" s="45">
        <v>50.3</v>
      </c>
      <c r="AD14" s="45">
        <v>50.3</v>
      </c>
      <c r="AE14" s="45">
        <v>50.3</v>
      </c>
      <c r="AF14" s="45">
        <v>50.3</v>
      </c>
      <c r="AG14" s="49">
        <v>50</v>
      </c>
      <c r="AH14" s="47">
        <f t="shared" si="2"/>
        <v>50.5</v>
      </c>
      <c r="AI14" s="48">
        <f t="shared" si="3"/>
        <v>50.2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46.1</v>
      </c>
      <c r="C15" s="45">
        <v>46.1</v>
      </c>
      <c r="D15" s="45">
        <v>46.1</v>
      </c>
      <c r="E15" s="45">
        <v>46.1</v>
      </c>
      <c r="F15" s="45">
        <v>46.1</v>
      </c>
      <c r="G15" s="45">
        <v>46.1</v>
      </c>
      <c r="H15" s="45">
        <v>46.1</v>
      </c>
      <c r="I15" s="45">
        <v>46.1</v>
      </c>
      <c r="J15" s="45">
        <v>46.1</v>
      </c>
      <c r="K15" s="45">
        <v>46.1</v>
      </c>
      <c r="L15" s="45">
        <v>46.1</v>
      </c>
      <c r="M15" s="45">
        <v>46.1</v>
      </c>
      <c r="N15" s="45">
        <v>46.1</v>
      </c>
      <c r="O15" s="45">
        <v>46.1</v>
      </c>
      <c r="P15" s="45">
        <v>46.1</v>
      </c>
      <c r="Q15" s="45">
        <v>46.1</v>
      </c>
      <c r="R15" s="45">
        <v>46.1</v>
      </c>
      <c r="S15" s="45">
        <v>46.1</v>
      </c>
      <c r="T15" s="45">
        <v>46.1</v>
      </c>
      <c r="U15" s="45">
        <v>46.1</v>
      </c>
      <c r="V15" s="45">
        <v>46.1</v>
      </c>
      <c r="W15" s="45">
        <v>46.1</v>
      </c>
      <c r="X15" s="45">
        <v>46.1</v>
      </c>
      <c r="Y15" s="45">
        <v>46.1</v>
      </c>
      <c r="Z15" s="45">
        <v>46.1</v>
      </c>
      <c r="AA15" s="45">
        <v>46.1</v>
      </c>
      <c r="AB15" s="45">
        <v>46.1</v>
      </c>
      <c r="AC15" s="45">
        <v>46.1</v>
      </c>
      <c r="AD15" s="45">
        <v>46.1</v>
      </c>
      <c r="AE15" s="45">
        <v>46.1</v>
      </c>
      <c r="AF15" s="45">
        <v>46.1</v>
      </c>
      <c r="AG15" s="49">
        <v>45</v>
      </c>
      <c r="AH15" s="47">
        <f t="shared" si="2"/>
        <v>46.1</v>
      </c>
      <c r="AI15" s="48">
        <f t="shared" si="3"/>
        <v>46.1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0</v>
      </c>
      <c r="AB16" s="45">
        <v>0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29</v>
      </c>
      <c r="C17" s="45">
        <v>29</v>
      </c>
      <c r="D17" s="45">
        <v>29</v>
      </c>
      <c r="E17" s="45">
        <v>29</v>
      </c>
      <c r="F17" s="45">
        <v>29</v>
      </c>
      <c r="G17" s="45">
        <v>29</v>
      </c>
      <c r="H17" s="45">
        <v>29</v>
      </c>
      <c r="I17" s="45">
        <v>29</v>
      </c>
      <c r="J17" s="45">
        <v>29</v>
      </c>
      <c r="K17" s="45">
        <v>29</v>
      </c>
      <c r="L17" s="45">
        <v>29</v>
      </c>
      <c r="M17" s="45">
        <v>29</v>
      </c>
      <c r="N17" s="45">
        <v>29</v>
      </c>
      <c r="O17" s="45">
        <v>29</v>
      </c>
      <c r="P17" s="45">
        <v>29</v>
      </c>
      <c r="Q17" s="45">
        <v>29</v>
      </c>
      <c r="R17" s="45">
        <v>29</v>
      </c>
      <c r="S17" s="45">
        <v>29</v>
      </c>
      <c r="T17" s="45">
        <v>29</v>
      </c>
      <c r="U17" s="45">
        <v>31</v>
      </c>
      <c r="V17" s="45">
        <v>31</v>
      </c>
      <c r="W17" s="45">
        <v>31</v>
      </c>
      <c r="X17" s="45">
        <v>31</v>
      </c>
      <c r="Y17" s="45">
        <v>31</v>
      </c>
      <c r="Z17" s="45">
        <v>31</v>
      </c>
      <c r="AA17" s="45">
        <v>0</v>
      </c>
      <c r="AB17" s="45">
        <v>0</v>
      </c>
      <c r="AC17" s="45">
        <v>0</v>
      </c>
      <c r="AD17" s="45">
        <v>33.700000000000003</v>
      </c>
      <c r="AE17" s="45">
        <v>29</v>
      </c>
      <c r="AF17" s="45">
        <v>29</v>
      </c>
      <c r="AG17" s="49">
        <v>42</v>
      </c>
      <c r="AH17" s="47">
        <f t="shared" si="2"/>
        <v>33.700000000000003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36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0</v>
      </c>
      <c r="E20" s="45">
        <v>0</v>
      </c>
      <c r="F20" s="45">
        <v>5.4</v>
      </c>
      <c r="G20" s="45">
        <v>5.4</v>
      </c>
      <c r="H20" s="45">
        <v>15.6</v>
      </c>
      <c r="I20" s="45">
        <v>15.6</v>
      </c>
      <c r="J20" s="45">
        <v>16</v>
      </c>
      <c r="K20" s="45">
        <v>16</v>
      </c>
      <c r="L20" s="45">
        <v>16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30</v>
      </c>
      <c r="AE20" s="45">
        <v>30</v>
      </c>
      <c r="AF20" s="45">
        <v>10.8</v>
      </c>
      <c r="AG20" s="51">
        <v>30</v>
      </c>
      <c r="AH20" s="47">
        <f t="shared" si="2"/>
        <v>30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</v>
      </c>
      <c r="C21" s="45">
        <v>20</v>
      </c>
      <c r="D21" s="45">
        <v>20</v>
      </c>
      <c r="E21" s="45">
        <v>20</v>
      </c>
      <c r="F21" s="45">
        <v>20</v>
      </c>
      <c r="G21" s="45">
        <v>20</v>
      </c>
      <c r="H21" s="45">
        <v>20</v>
      </c>
      <c r="I21" s="45">
        <v>20</v>
      </c>
      <c r="J21" s="45">
        <v>20</v>
      </c>
      <c r="K21" s="45">
        <v>20</v>
      </c>
      <c r="L21" s="45">
        <v>20</v>
      </c>
      <c r="M21" s="45">
        <v>20.5</v>
      </c>
      <c r="N21" s="45">
        <v>20.5</v>
      </c>
      <c r="O21" s="45">
        <v>20.5</v>
      </c>
      <c r="P21" s="45">
        <v>20.5</v>
      </c>
      <c r="Q21" s="45">
        <v>20.5</v>
      </c>
      <c r="R21" s="45">
        <v>20.5</v>
      </c>
      <c r="S21" s="45">
        <v>20.5</v>
      </c>
      <c r="T21" s="45">
        <v>20.5</v>
      </c>
      <c r="U21" s="45">
        <v>20.7</v>
      </c>
      <c r="V21" s="45">
        <v>20.7</v>
      </c>
      <c r="W21" s="45">
        <v>20.7</v>
      </c>
      <c r="X21" s="45">
        <v>20.7</v>
      </c>
      <c r="Y21" s="45">
        <v>20.7</v>
      </c>
      <c r="Z21" s="45">
        <v>26</v>
      </c>
      <c r="AA21" s="45">
        <v>26</v>
      </c>
      <c r="AB21" s="45">
        <v>26</v>
      </c>
      <c r="AC21" s="45">
        <v>26</v>
      </c>
      <c r="AD21" s="45">
        <v>25.6</v>
      </c>
      <c r="AE21" s="45">
        <v>25.6</v>
      </c>
      <c r="AF21" s="45">
        <v>20.7</v>
      </c>
      <c r="AG21" s="49">
        <v>24.2</v>
      </c>
      <c r="AH21" s="47">
        <f t="shared" si="2"/>
        <v>26</v>
      </c>
      <c r="AI21" s="48">
        <f t="shared" si="3"/>
        <v>20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21</v>
      </c>
      <c r="C22" s="45">
        <v>21</v>
      </c>
      <c r="D22" s="45">
        <v>21</v>
      </c>
      <c r="E22" s="45">
        <v>21</v>
      </c>
      <c r="F22" s="45">
        <v>21</v>
      </c>
      <c r="G22" s="45">
        <v>21</v>
      </c>
      <c r="H22" s="45">
        <v>21</v>
      </c>
      <c r="I22" s="45">
        <v>21</v>
      </c>
      <c r="J22" s="45">
        <v>21</v>
      </c>
      <c r="K22" s="45">
        <v>21</v>
      </c>
      <c r="L22" s="45">
        <v>21</v>
      </c>
      <c r="M22" s="45">
        <v>21</v>
      </c>
      <c r="N22" s="45">
        <v>21</v>
      </c>
      <c r="O22" s="45">
        <v>21</v>
      </c>
      <c r="P22" s="45">
        <v>21</v>
      </c>
      <c r="Q22" s="45">
        <v>21</v>
      </c>
      <c r="R22" s="45">
        <v>21</v>
      </c>
      <c r="S22" s="45">
        <v>21</v>
      </c>
      <c r="T22" s="45">
        <v>21</v>
      </c>
      <c r="U22" s="45">
        <v>21</v>
      </c>
      <c r="V22" s="45">
        <v>21</v>
      </c>
      <c r="W22" s="45">
        <v>21</v>
      </c>
      <c r="X22" s="45">
        <v>21</v>
      </c>
      <c r="Y22" s="45">
        <v>21</v>
      </c>
      <c r="Z22" s="45">
        <v>26</v>
      </c>
      <c r="AA22" s="45">
        <v>26</v>
      </c>
      <c r="AB22" s="45">
        <v>26</v>
      </c>
      <c r="AC22" s="45">
        <v>26</v>
      </c>
      <c r="AD22" s="45">
        <v>26</v>
      </c>
      <c r="AE22" s="45">
        <v>26</v>
      </c>
      <c r="AF22" s="45">
        <v>20.7</v>
      </c>
      <c r="AG22" s="49">
        <v>28</v>
      </c>
      <c r="AH22" s="47">
        <f t="shared" si="2"/>
        <v>26</v>
      </c>
      <c r="AI22" s="48">
        <f t="shared" si="3"/>
        <v>20.7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0</v>
      </c>
      <c r="E23" s="45">
        <v>0</v>
      </c>
      <c r="F23" s="45">
        <v>4</v>
      </c>
      <c r="G23" s="45">
        <v>4</v>
      </c>
      <c r="H23" s="45">
        <v>4</v>
      </c>
      <c r="I23" s="45">
        <v>14</v>
      </c>
      <c r="J23" s="45">
        <v>14</v>
      </c>
      <c r="K23" s="45">
        <v>14</v>
      </c>
      <c r="L23" s="45">
        <v>14</v>
      </c>
      <c r="M23" s="45">
        <v>14</v>
      </c>
      <c r="N23" s="45">
        <v>14</v>
      </c>
      <c r="O23" s="45">
        <v>14</v>
      </c>
      <c r="P23" s="45">
        <v>14</v>
      </c>
      <c r="Q23" s="45">
        <v>14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13</v>
      </c>
      <c r="AG23" s="51">
        <v>30</v>
      </c>
      <c r="AH23" s="47">
        <f t="shared" si="2"/>
        <v>18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26.1</v>
      </c>
      <c r="C24" s="45">
        <v>26.1</v>
      </c>
      <c r="D24" s="45">
        <v>26.1</v>
      </c>
      <c r="E24" s="45">
        <v>26.1</v>
      </c>
      <c r="F24" s="45">
        <v>26.1</v>
      </c>
      <c r="G24" s="45">
        <v>26.1</v>
      </c>
      <c r="H24" s="45">
        <v>26.1</v>
      </c>
      <c r="I24" s="45">
        <v>26.1</v>
      </c>
      <c r="J24" s="45">
        <v>26.1</v>
      </c>
      <c r="K24" s="45">
        <v>26.1</v>
      </c>
      <c r="L24" s="45">
        <v>26.1</v>
      </c>
      <c r="M24" s="45">
        <v>24</v>
      </c>
      <c r="N24" s="45">
        <v>24</v>
      </c>
      <c r="O24" s="45">
        <v>24</v>
      </c>
      <c r="P24" s="45">
        <v>24</v>
      </c>
      <c r="Q24" s="45">
        <v>24</v>
      </c>
      <c r="R24" s="45">
        <v>24</v>
      </c>
      <c r="S24" s="45">
        <v>24</v>
      </c>
      <c r="T24" s="45">
        <v>24</v>
      </c>
      <c r="U24" s="45">
        <v>24</v>
      </c>
      <c r="V24" s="45">
        <v>24</v>
      </c>
      <c r="W24" s="45">
        <v>24</v>
      </c>
      <c r="X24" s="45">
        <v>24</v>
      </c>
      <c r="Y24" s="45">
        <v>24</v>
      </c>
      <c r="Z24" s="45">
        <v>24.4</v>
      </c>
      <c r="AA24" s="45">
        <v>24.4</v>
      </c>
      <c r="AB24" s="45">
        <v>24.4</v>
      </c>
      <c r="AC24" s="45">
        <v>24.4</v>
      </c>
      <c r="AD24" s="45">
        <v>24.4</v>
      </c>
      <c r="AE24" s="45">
        <v>24.4</v>
      </c>
      <c r="AF24" s="45">
        <v>26.1</v>
      </c>
      <c r="AG24" s="49">
        <v>25</v>
      </c>
      <c r="AH24" s="47">
        <f t="shared" si="2"/>
        <v>26.1</v>
      </c>
      <c r="AI24" s="48">
        <f t="shared" si="3"/>
        <v>24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0</v>
      </c>
      <c r="E27" s="45">
        <v>0</v>
      </c>
      <c r="F27" s="45">
        <v>4</v>
      </c>
      <c r="G27" s="45">
        <v>4</v>
      </c>
      <c r="H27" s="45">
        <v>12.5</v>
      </c>
      <c r="I27" s="45">
        <v>12.5</v>
      </c>
      <c r="J27" s="45">
        <v>12.5</v>
      </c>
      <c r="K27" s="45">
        <v>12.5</v>
      </c>
      <c r="L27" s="45">
        <v>12.5</v>
      </c>
      <c r="M27" s="45">
        <v>12.5</v>
      </c>
      <c r="N27" s="45">
        <v>12.5</v>
      </c>
      <c r="O27" s="45">
        <v>12.5</v>
      </c>
      <c r="P27" s="45">
        <v>12.5</v>
      </c>
      <c r="Q27" s="45">
        <v>12.5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25</v>
      </c>
      <c r="X27" s="45">
        <v>25</v>
      </c>
      <c r="Y27" s="45">
        <v>25</v>
      </c>
      <c r="Z27" s="45">
        <v>25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8</v>
      </c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24.9</v>
      </c>
      <c r="C28" s="45">
        <v>24.9</v>
      </c>
      <c r="D28" s="45">
        <v>24.9</v>
      </c>
      <c r="E28" s="45">
        <v>24.9</v>
      </c>
      <c r="F28" s="45">
        <v>24.9</v>
      </c>
      <c r="G28" s="45">
        <v>24.9</v>
      </c>
      <c r="H28" s="45">
        <v>24.9</v>
      </c>
      <c r="I28" s="45">
        <v>24.9</v>
      </c>
      <c r="J28" s="45">
        <v>24.9</v>
      </c>
      <c r="K28" s="45">
        <v>24.9</v>
      </c>
      <c r="L28" s="45">
        <v>24.9</v>
      </c>
      <c r="M28" s="45">
        <v>24.9</v>
      </c>
      <c r="N28" s="45">
        <v>24.9</v>
      </c>
      <c r="O28" s="45">
        <v>24.9</v>
      </c>
      <c r="P28" s="45">
        <v>24.9</v>
      </c>
      <c r="Q28" s="45">
        <v>24.9</v>
      </c>
      <c r="R28" s="45">
        <v>24.9</v>
      </c>
      <c r="S28" s="45">
        <v>24.9</v>
      </c>
      <c r="T28" s="45">
        <v>24.9</v>
      </c>
      <c r="U28" s="45">
        <v>24.9</v>
      </c>
      <c r="V28" s="45">
        <v>24.9</v>
      </c>
      <c r="W28" s="45">
        <v>24.9</v>
      </c>
      <c r="X28" s="45">
        <v>24.9</v>
      </c>
      <c r="Y28" s="45">
        <v>24.9</v>
      </c>
      <c r="Z28" s="45">
        <v>25</v>
      </c>
      <c r="AA28" s="45">
        <v>25</v>
      </c>
      <c r="AB28" s="45">
        <v>25</v>
      </c>
      <c r="AC28" s="45">
        <v>25</v>
      </c>
      <c r="AD28" s="45">
        <v>25</v>
      </c>
      <c r="AE28" s="45">
        <v>25</v>
      </c>
      <c r="AF28" s="45">
        <v>25</v>
      </c>
      <c r="AG28" s="49">
        <v>23.5</v>
      </c>
      <c r="AH28" s="47">
        <f t="shared" si="2"/>
        <v>25</v>
      </c>
      <c r="AI28" s="48">
        <f t="shared" si="3"/>
        <v>24.9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0</v>
      </c>
      <c r="E33" s="45">
        <v>0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5</v>
      </c>
      <c r="AF33" s="45">
        <v>5</v>
      </c>
      <c r="AG33" s="49">
        <v>20</v>
      </c>
      <c r="AH33" s="47">
        <f t="shared" si="2"/>
        <v>10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4</v>
      </c>
      <c r="I34" s="45">
        <v>4</v>
      </c>
      <c r="J34" s="45">
        <v>4</v>
      </c>
      <c r="K34" s="45">
        <v>4</v>
      </c>
      <c r="L34" s="45">
        <v>4</v>
      </c>
      <c r="M34" s="45">
        <v>4</v>
      </c>
      <c r="N34" s="45">
        <v>4</v>
      </c>
      <c r="O34" s="45">
        <v>4</v>
      </c>
      <c r="P34" s="45">
        <v>4</v>
      </c>
      <c r="Q34" s="45">
        <v>4</v>
      </c>
      <c r="R34" s="45">
        <v>5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5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12</v>
      </c>
      <c r="AE34" s="45">
        <v>4</v>
      </c>
      <c r="AF34" s="45">
        <v>0</v>
      </c>
      <c r="AG34" s="49">
        <v>18</v>
      </c>
      <c r="AH34" s="47">
        <f t="shared" si="2"/>
        <v>12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6</v>
      </c>
      <c r="C39" s="45">
        <v>6</v>
      </c>
      <c r="D39" s="45">
        <v>0</v>
      </c>
      <c r="E39" s="45">
        <v>0</v>
      </c>
      <c r="F39" s="45">
        <v>2</v>
      </c>
      <c r="G39" s="45">
        <v>2</v>
      </c>
      <c r="H39" s="45">
        <v>4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6</v>
      </c>
      <c r="P39" s="45">
        <v>6</v>
      </c>
      <c r="Q39" s="45">
        <v>6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12</v>
      </c>
      <c r="X39" s="45">
        <v>12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6</v>
      </c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0</v>
      </c>
      <c r="C40" s="45">
        <v>0</v>
      </c>
      <c r="D40" s="45">
        <v>0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5</v>
      </c>
      <c r="L40" s="45">
        <v>5</v>
      </c>
      <c r="M40" s="45">
        <v>5</v>
      </c>
      <c r="N40" s="45">
        <v>5</v>
      </c>
      <c r="O40" s="45">
        <v>5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5</v>
      </c>
      <c r="X40" s="45">
        <v>5</v>
      </c>
      <c r="Y40" s="45">
        <v>5</v>
      </c>
      <c r="Z40" s="45">
        <v>5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12</v>
      </c>
      <c r="AH40" s="47">
        <f t="shared" si="2"/>
        <v>5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7</v>
      </c>
      <c r="C41" s="45">
        <v>7</v>
      </c>
      <c r="D41" s="45">
        <v>0</v>
      </c>
      <c r="E41" s="45">
        <v>0</v>
      </c>
      <c r="F41" s="45">
        <v>0</v>
      </c>
      <c r="G41" s="45">
        <v>3</v>
      </c>
      <c r="H41" s="45">
        <v>6</v>
      </c>
      <c r="I41" s="45">
        <v>12</v>
      </c>
      <c r="J41" s="45">
        <v>12</v>
      </c>
      <c r="K41" s="45">
        <v>12</v>
      </c>
      <c r="L41" s="45">
        <v>12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11.88</v>
      </c>
      <c r="C43" s="45">
        <v>11.88</v>
      </c>
      <c r="D43" s="45">
        <v>11.88</v>
      </c>
      <c r="E43" s="45">
        <v>11.88</v>
      </c>
      <c r="F43" s="45">
        <v>11.88</v>
      </c>
      <c r="G43" s="45">
        <v>11.88</v>
      </c>
      <c r="H43" s="45">
        <v>11.88</v>
      </c>
      <c r="I43" s="45">
        <v>11.88</v>
      </c>
      <c r="J43" s="45">
        <v>11.88</v>
      </c>
      <c r="K43" s="45">
        <v>11.88</v>
      </c>
      <c r="L43" s="45">
        <v>11.88</v>
      </c>
      <c r="M43" s="45">
        <v>11.88</v>
      </c>
      <c r="N43" s="45">
        <v>11.88</v>
      </c>
      <c r="O43" s="45">
        <v>11.88</v>
      </c>
      <c r="P43" s="45">
        <v>11.88</v>
      </c>
      <c r="Q43" s="45">
        <v>11.88</v>
      </c>
      <c r="R43" s="45">
        <v>11.88</v>
      </c>
      <c r="S43" s="45">
        <v>11.88</v>
      </c>
      <c r="T43" s="45">
        <v>11.88</v>
      </c>
      <c r="U43" s="45">
        <v>11.88</v>
      </c>
      <c r="V43" s="45">
        <v>11.88</v>
      </c>
      <c r="W43" s="45">
        <v>11.88</v>
      </c>
      <c r="X43" s="45">
        <v>11.88</v>
      </c>
      <c r="Y43" s="45">
        <v>11.88</v>
      </c>
      <c r="Z43" s="45">
        <v>11.88</v>
      </c>
      <c r="AA43" s="45">
        <v>11.88</v>
      </c>
      <c r="AB43" s="45">
        <v>11.88</v>
      </c>
      <c r="AC43" s="45">
        <v>11.88</v>
      </c>
      <c r="AD43" s="45">
        <v>11.88</v>
      </c>
      <c r="AE43" s="45">
        <v>11.88</v>
      </c>
      <c r="AF43" s="45">
        <v>11.88</v>
      </c>
      <c r="AG43" s="51">
        <v>11.88</v>
      </c>
      <c r="AH43" s="47">
        <f t="shared" si="2"/>
        <v>11.88</v>
      </c>
      <c r="AI43" s="48">
        <f t="shared" si="3"/>
        <v>11.88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10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358</v>
      </c>
      <c r="C48" s="56">
        <v>358</v>
      </c>
      <c r="D48" s="56">
        <v>358</v>
      </c>
      <c r="E48" s="56">
        <v>358</v>
      </c>
      <c r="F48" s="56">
        <v>358</v>
      </c>
      <c r="G48" s="56">
        <v>358</v>
      </c>
      <c r="H48" s="56">
        <v>358</v>
      </c>
      <c r="I48" s="56">
        <v>358</v>
      </c>
      <c r="J48" s="56">
        <v>358</v>
      </c>
      <c r="K48" s="56">
        <v>358</v>
      </c>
      <c r="L48" s="56">
        <v>358</v>
      </c>
      <c r="M48" s="56">
        <v>358</v>
      </c>
      <c r="N48" s="56">
        <v>358</v>
      </c>
      <c r="O48" s="56">
        <v>358</v>
      </c>
      <c r="P48" s="56">
        <v>358</v>
      </c>
      <c r="Q48" s="56">
        <v>358</v>
      </c>
      <c r="R48" s="56">
        <v>358</v>
      </c>
      <c r="S48" s="56">
        <v>358</v>
      </c>
      <c r="T48" s="56">
        <v>358</v>
      </c>
      <c r="U48" s="56">
        <v>358</v>
      </c>
      <c r="V48" s="56">
        <v>358</v>
      </c>
      <c r="W48" s="56">
        <v>358</v>
      </c>
      <c r="X48" s="56">
        <v>358</v>
      </c>
      <c r="Y48" s="56">
        <v>358</v>
      </c>
      <c r="Z48" s="56">
        <v>358</v>
      </c>
      <c r="AA48" s="56">
        <v>358</v>
      </c>
      <c r="AB48" s="56">
        <v>358</v>
      </c>
      <c r="AC48" s="56">
        <v>358</v>
      </c>
      <c r="AD48" s="56">
        <v>358</v>
      </c>
      <c r="AE48" s="56">
        <v>358</v>
      </c>
      <c r="AF48" s="56">
        <v>358</v>
      </c>
      <c r="AG48" s="54">
        <v>85</v>
      </c>
      <c r="AH48" s="47">
        <f t="shared" si="2"/>
        <v>358</v>
      </c>
      <c r="AI48" s="48">
        <f t="shared" si="3"/>
        <v>358</v>
      </c>
      <c r="AK48" s="50"/>
    </row>
    <row r="49" spans="1:41" ht="15.75" thickBot="1" x14ac:dyDescent="0.3">
      <c r="A49" s="57" t="s">
        <v>57</v>
      </c>
      <c r="B49" s="56">
        <v>107</v>
      </c>
      <c r="C49" s="56">
        <v>108</v>
      </c>
      <c r="D49" s="56">
        <v>108</v>
      </c>
      <c r="E49" s="56">
        <v>108</v>
      </c>
      <c r="F49" s="56">
        <v>108</v>
      </c>
      <c r="G49" s="56">
        <f>24.5+83.3</f>
        <v>107.8</v>
      </c>
      <c r="H49" s="56">
        <f>24.5+83.3</f>
        <v>107.8</v>
      </c>
      <c r="I49" s="56">
        <f>24.5+83.3</f>
        <v>107.8</v>
      </c>
      <c r="J49" s="56">
        <f>18.5+64.2</f>
        <v>82.7</v>
      </c>
      <c r="K49" s="56">
        <f>77.2+22.5</f>
        <v>99.7</v>
      </c>
      <c r="L49" s="56">
        <f>22.6+78.6</f>
        <v>101.19999999999999</v>
      </c>
      <c r="M49" s="56">
        <f t="shared" ref="M49:AF49" si="4">22.6+78.6</f>
        <v>101.19999999999999</v>
      </c>
      <c r="N49" s="56">
        <f t="shared" si="4"/>
        <v>101.19999999999999</v>
      </c>
      <c r="O49" s="56">
        <f t="shared" si="4"/>
        <v>101.19999999999999</v>
      </c>
      <c r="P49" s="56">
        <f t="shared" si="4"/>
        <v>101.19999999999999</v>
      </c>
      <c r="Q49" s="56">
        <f t="shared" si="4"/>
        <v>101.19999999999999</v>
      </c>
      <c r="R49" s="56">
        <f t="shared" si="4"/>
        <v>101.19999999999999</v>
      </c>
      <c r="S49" s="56">
        <f t="shared" si="4"/>
        <v>101.19999999999999</v>
      </c>
      <c r="T49" s="56">
        <f t="shared" si="4"/>
        <v>101.19999999999999</v>
      </c>
      <c r="U49" s="56">
        <f t="shared" si="4"/>
        <v>101.19999999999999</v>
      </c>
      <c r="V49" s="56">
        <f t="shared" si="4"/>
        <v>101.19999999999999</v>
      </c>
      <c r="W49" s="56">
        <f t="shared" si="4"/>
        <v>101.19999999999999</v>
      </c>
      <c r="X49" s="56">
        <f t="shared" si="4"/>
        <v>101.19999999999999</v>
      </c>
      <c r="Y49" s="56">
        <f t="shared" si="4"/>
        <v>101.19999999999999</v>
      </c>
      <c r="Z49" s="56">
        <f t="shared" si="4"/>
        <v>101.19999999999999</v>
      </c>
      <c r="AA49" s="56">
        <f t="shared" si="4"/>
        <v>101.19999999999999</v>
      </c>
      <c r="AB49" s="56">
        <f t="shared" si="4"/>
        <v>101.19999999999999</v>
      </c>
      <c r="AC49" s="56">
        <f t="shared" si="4"/>
        <v>101.19999999999999</v>
      </c>
      <c r="AD49" s="56">
        <f t="shared" si="4"/>
        <v>101.19999999999999</v>
      </c>
      <c r="AE49" s="56">
        <f t="shared" si="4"/>
        <v>101.19999999999999</v>
      </c>
      <c r="AF49" s="56">
        <f t="shared" si="4"/>
        <v>101.19999999999999</v>
      </c>
      <c r="AG49" s="54">
        <v>240</v>
      </c>
      <c r="AH49" s="47">
        <f t="shared" si="2"/>
        <v>108</v>
      </c>
      <c r="AI49" s="48">
        <f t="shared" si="3"/>
        <v>82.7</v>
      </c>
      <c r="AK49" s="50"/>
    </row>
    <row r="50" spans="1:41" ht="15.75" thickBot="1" x14ac:dyDescent="0.3">
      <c r="A50" s="59" t="s">
        <v>58</v>
      </c>
      <c r="B50" s="60">
        <f t="shared" ref="B50:AF50" si="5">SUM(B11:B48)</f>
        <v>1073.8800000000001</v>
      </c>
      <c r="C50" s="60">
        <f t="shared" si="5"/>
        <v>1073.8800000000001</v>
      </c>
      <c r="D50" s="60">
        <f t="shared" si="5"/>
        <v>998.88</v>
      </c>
      <c r="E50" s="60">
        <f t="shared" si="5"/>
        <v>1003.88</v>
      </c>
      <c r="F50" s="60">
        <f t="shared" si="5"/>
        <v>1032.28</v>
      </c>
      <c r="G50" s="60">
        <f t="shared" si="5"/>
        <v>1035.28</v>
      </c>
      <c r="H50" s="60">
        <f t="shared" si="5"/>
        <v>1062.98</v>
      </c>
      <c r="I50" s="60">
        <f t="shared" si="5"/>
        <v>1099.98</v>
      </c>
      <c r="J50" s="60">
        <f t="shared" si="5"/>
        <v>1100.3800000000001</v>
      </c>
      <c r="K50" s="60">
        <f t="shared" si="5"/>
        <v>1100.3800000000001</v>
      </c>
      <c r="L50" s="60">
        <f t="shared" si="5"/>
        <v>1100.3800000000001</v>
      </c>
      <c r="M50" s="60">
        <f t="shared" si="5"/>
        <v>1082.8800000000001</v>
      </c>
      <c r="N50" s="60">
        <f t="shared" si="5"/>
        <v>1082.8800000000001</v>
      </c>
      <c r="O50" s="60">
        <f t="shared" si="5"/>
        <v>1082.8800000000001</v>
      </c>
      <c r="P50" s="60">
        <f t="shared" si="5"/>
        <v>1082.8800000000001</v>
      </c>
      <c r="Q50" s="60">
        <f t="shared" si="5"/>
        <v>1082.8800000000001</v>
      </c>
      <c r="R50" s="60">
        <f t="shared" si="5"/>
        <v>1109.3800000000001</v>
      </c>
      <c r="S50" s="60">
        <f t="shared" si="5"/>
        <v>1109.3800000000001</v>
      </c>
      <c r="T50" s="60">
        <f t="shared" si="5"/>
        <v>1109.78</v>
      </c>
      <c r="U50" s="60">
        <f t="shared" si="5"/>
        <v>1111.98</v>
      </c>
      <c r="V50" s="60">
        <f t="shared" si="5"/>
        <v>1111.98</v>
      </c>
      <c r="W50" s="60">
        <f t="shared" si="5"/>
        <v>1111.98</v>
      </c>
      <c r="X50" s="60">
        <f t="shared" si="5"/>
        <v>1111.98</v>
      </c>
      <c r="Y50" s="60">
        <f t="shared" si="5"/>
        <v>1116.98</v>
      </c>
      <c r="Z50" s="60">
        <f t="shared" si="5"/>
        <v>1129.98</v>
      </c>
      <c r="AA50" s="60">
        <f t="shared" si="5"/>
        <v>1054.98</v>
      </c>
      <c r="AB50" s="60">
        <f t="shared" si="5"/>
        <v>1054.98</v>
      </c>
      <c r="AC50" s="60">
        <f t="shared" si="5"/>
        <v>1098.98</v>
      </c>
      <c r="AD50" s="60">
        <f t="shared" si="5"/>
        <v>1164.28</v>
      </c>
      <c r="AE50" s="60">
        <f t="shared" si="5"/>
        <v>1146.58</v>
      </c>
      <c r="AF50" s="60">
        <f t="shared" si="5"/>
        <v>1077.8800000000001</v>
      </c>
      <c r="AG50" s="61">
        <f>SUM(AG13:AG48)</f>
        <v>922.14</v>
      </c>
      <c r="AH50" s="47">
        <f t="shared" si="2"/>
        <v>1164.28</v>
      </c>
      <c r="AI50" s="48">
        <f t="shared" si="3"/>
        <v>998.88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53</v>
      </c>
      <c r="C52" s="64">
        <v>53</v>
      </c>
      <c r="D52" s="64">
        <v>53</v>
      </c>
      <c r="E52" s="64">
        <v>53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53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22.4</v>
      </c>
      <c r="AK53" s="50"/>
    </row>
    <row r="54" spans="1:41" ht="15.75" thickBot="1" x14ac:dyDescent="0.3">
      <c r="A54" s="68" t="s">
        <v>62</v>
      </c>
      <c r="B54" s="60">
        <f t="shared" ref="B54:AG54" si="6">SUM(B51:B53)</f>
        <v>531.5</v>
      </c>
      <c r="C54" s="60">
        <f t="shared" si="6"/>
        <v>531.5</v>
      </c>
      <c r="D54" s="60">
        <f t="shared" si="6"/>
        <v>531.5</v>
      </c>
      <c r="E54" s="60">
        <f t="shared" si="6"/>
        <v>531.5</v>
      </c>
      <c r="F54" s="60">
        <f t="shared" si="6"/>
        <v>533.4</v>
      </c>
      <c r="G54" s="60">
        <f t="shared" si="6"/>
        <v>533.4</v>
      </c>
      <c r="H54" s="60">
        <f t="shared" si="6"/>
        <v>533.4</v>
      </c>
      <c r="I54" s="60">
        <f t="shared" si="6"/>
        <v>533.4</v>
      </c>
      <c r="J54" s="60">
        <f t="shared" si="6"/>
        <v>533.4</v>
      </c>
      <c r="K54" s="60">
        <f t="shared" si="6"/>
        <v>533.4</v>
      </c>
      <c r="L54" s="60">
        <f t="shared" si="6"/>
        <v>533.5</v>
      </c>
      <c r="M54" s="60">
        <f t="shared" si="6"/>
        <v>533.5</v>
      </c>
      <c r="N54" s="60">
        <f t="shared" si="6"/>
        <v>533.5</v>
      </c>
      <c r="O54" s="60">
        <f t="shared" si="6"/>
        <v>533.5</v>
      </c>
      <c r="P54" s="60">
        <f t="shared" si="6"/>
        <v>533.5</v>
      </c>
      <c r="Q54" s="60">
        <f t="shared" si="6"/>
        <v>533.5</v>
      </c>
      <c r="R54" s="60">
        <f t="shared" si="6"/>
        <v>533.5</v>
      </c>
      <c r="S54" s="60">
        <f t="shared" si="6"/>
        <v>533.5</v>
      </c>
      <c r="T54" s="60">
        <f t="shared" si="6"/>
        <v>533.5</v>
      </c>
      <c r="U54" s="60">
        <f t="shared" si="6"/>
        <v>533.5</v>
      </c>
      <c r="V54" s="60">
        <f t="shared" si="6"/>
        <v>533.5</v>
      </c>
      <c r="W54" s="60">
        <f t="shared" si="6"/>
        <v>533.5</v>
      </c>
      <c r="X54" s="60">
        <f t="shared" si="6"/>
        <v>533.5</v>
      </c>
      <c r="Y54" s="60">
        <f t="shared" si="6"/>
        <v>533.5</v>
      </c>
      <c r="Z54" s="60">
        <f t="shared" si="6"/>
        <v>533.5</v>
      </c>
      <c r="AA54" s="60">
        <f t="shared" si="6"/>
        <v>533.5</v>
      </c>
      <c r="AB54" s="60">
        <f t="shared" si="6"/>
        <v>533.5</v>
      </c>
      <c r="AC54" s="60">
        <f t="shared" si="6"/>
        <v>533.5</v>
      </c>
      <c r="AD54" s="60">
        <f t="shared" si="6"/>
        <v>533.5</v>
      </c>
      <c r="AE54" s="60">
        <f t="shared" si="6"/>
        <v>533.5</v>
      </c>
      <c r="AF54" s="60">
        <f t="shared" si="6"/>
        <v>533.5</v>
      </c>
      <c r="AG54" s="61">
        <f t="shared" si="6"/>
        <v>538.1</v>
      </c>
      <c r="AH54" s="47">
        <f t="shared" si="2"/>
        <v>533.5</v>
      </c>
      <c r="AI54" s="48">
        <f t="shared" si="3"/>
        <v>531.5</v>
      </c>
      <c r="AK54" s="50"/>
    </row>
    <row r="55" spans="1:41" x14ac:dyDescent="0.25">
      <c r="A55" s="44" t="s">
        <v>63</v>
      </c>
      <c r="B55" s="45">
        <v>137.5</v>
      </c>
      <c r="C55" s="45">
        <v>137.5</v>
      </c>
      <c r="D55" s="45">
        <v>132</v>
      </c>
      <c r="E55" s="45">
        <v>131.5</v>
      </c>
      <c r="F55" s="45">
        <v>101.1</v>
      </c>
      <c r="G55" s="45">
        <v>101.3</v>
      </c>
      <c r="H55" s="45">
        <v>0</v>
      </c>
      <c r="I55" s="45">
        <v>0</v>
      </c>
      <c r="J55" s="45">
        <v>130.5</v>
      </c>
      <c r="K55" s="45">
        <v>134.9</v>
      </c>
      <c r="L55" s="45">
        <v>135.4</v>
      </c>
      <c r="M55" s="45">
        <v>125.7</v>
      </c>
      <c r="N55" s="45">
        <v>125.7</v>
      </c>
      <c r="O55" s="45">
        <v>125.7</v>
      </c>
      <c r="P55" s="45">
        <v>125.7</v>
      </c>
      <c r="Q55" s="45">
        <v>125.7</v>
      </c>
      <c r="R55" s="45">
        <v>125.7</v>
      </c>
      <c r="S55" s="45">
        <v>130.69999999999999</v>
      </c>
      <c r="T55" s="45">
        <v>134.1</v>
      </c>
      <c r="U55" s="45">
        <v>92</v>
      </c>
      <c r="V55" s="45">
        <v>110</v>
      </c>
      <c r="W55" s="45">
        <v>110</v>
      </c>
      <c r="X55" s="45">
        <v>110</v>
      </c>
      <c r="Y55" s="45">
        <v>111.4</v>
      </c>
      <c r="Z55" s="45">
        <v>111.6</v>
      </c>
      <c r="AA55" s="45">
        <v>0</v>
      </c>
      <c r="AB55" s="45">
        <v>0</v>
      </c>
      <c r="AC55" s="45">
        <v>134</v>
      </c>
      <c r="AD55" s="45">
        <v>134</v>
      </c>
      <c r="AE55" s="45">
        <v>134</v>
      </c>
      <c r="AF55" s="45">
        <v>134</v>
      </c>
      <c r="AG55" s="51">
        <v>144</v>
      </c>
      <c r="AH55" s="47">
        <f t="shared" si="2"/>
        <v>137.5</v>
      </c>
      <c r="AI55" s="48">
        <f t="shared" si="3"/>
        <v>0</v>
      </c>
      <c r="AK55" s="50"/>
    </row>
    <row r="56" spans="1:41" x14ac:dyDescent="0.25">
      <c r="A56" s="53" t="s">
        <v>64</v>
      </c>
      <c r="B56" s="64">
        <v>70.3</v>
      </c>
      <c r="C56" s="64">
        <v>70.3</v>
      </c>
      <c r="D56" s="64">
        <v>65</v>
      </c>
      <c r="E56" s="64">
        <v>69.5</v>
      </c>
      <c r="F56" s="64">
        <v>68.8</v>
      </c>
      <c r="G56" s="64">
        <v>69.900000000000006</v>
      </c>
      <c r="H56" s="64">
        <v>70.5</v>
      </c>
      <c r="I56" s="64">
        <v>70.5</v>
      </c>
      <c r="J56" s="64">
        <v>63.8</v>
      </c>
      <c r="K56" s="64">
        <v>69.7</v>
      </c>
      <c r="L56" s="64">
        <v>70.2</v>
      </c>
      <c r="M56" s="64">
        <v>70</v>
      </c>
      <c r="N56" s="64">
        <v>70</v>
      </c>
      <c r="O56" s="64">
        <v>70</v>
      </c>
      <c r="P56" s="64">
        <v>70</v>
      </c>
      <c r="Q56" s="64">
        <v>70</v>
      </c>
      <c r="R56" s="64">
        <v>70</v>
      </c>
      <c r="S56" s="45">
        <v>71.7</v>
      </c>
      <c r="T56" s="45">
        <v>70.400000000000006</v>
      </c>
      <c r="U56" s="45">
        <v>70.400000000000006</v>
      </c>
      <c r="V56" s="45">
        <v>70.400000000000006</v>
      </c>
      <c r="W56" s="45">
        <v>70.400000000000006</v>
      </c>
      <c r="X56" s="45">
        <v>70.400000000000006</v>
      </c>
      <c r="Y56" s="45">
        <v>70.400000000000006</v>
      </c>
      <c r="Z56" s="45">
        <v>71.3</v>
      </c>
      <c r="AA56" s="45">
        <v>70</v>
      </c>
      <c r="AB56" s="45">
        <v>70</v>
      </c>
      <c r="AC56" s="45">
        <v>70</v>
      </c>
      <c r="AD56" s="45">
        <v>70</v>
      </c>
      <c r="AE56" s="45">
        <v>70</v>
      </c>
      <c r="AF56" s="45">
        <v>70</v>
      </c>
      <c r="AG56" s="54">
        <v>70</v>
      </c>
      <c r="AH56" s="47">
        <f t="shared" si="2"/>
        <v>71.7</v>
      </c>
      <c r="AI56" s="48">
        <f t="shared" si="3"/>
        <v>63.8</v>
      </c>
      <c r="AK56" s="50"/>
    </row>
    <row r="57" spans="1:41" x14ac:dyDescent="0.25">
      <c r="A57" s="53" t="s">
        <v>65</v>
      </c>
      <c r="B57" s="64">
        <v>65.599999999999994</v>
      </c>
      <c r="C57" s="64">
        <v>65.599999999999994</v>
      </c>
      <c r="D57" s="64">
        <v>65.599999999999994</v>
      </c>
      <c r="E57" s="64">
        <v>64.3</v>
      </c>
      <c r="F57" s="64">
        <v>63.9</v>
      </c>
      <c r="G57" s="64">
        <v>64.5</v>
      </c>
      <c r="H57" s="64">
        <v>64.099999999999994</v>
      </c>
      <c r="I57" s="64">
        <v>64</v>
      </c>
      <c r="J57" s="64">
        <v>52.7</v>
      </c>
      <c r="K57" s="64">
        <v>65.2</v>
      </c>
      <c r="L57" s="64">
        <v>64.5</v>
      </c>
      <c r="M57" s="64">
        <v>61.9</v>
      </c>
      <c r="N57" s="64">
        <v>61.9</v>
      </c>
      <c r="O57" s="64">
        <v>61.9</v>
      </c>
      <c r="P57" s="64">
        <v>61.9</v>
      </c>
      <c r="Q57" s="64">
        <v>61.9</v>
      </c>
      <c r="R57" s="64">
        <v>61.9</v>
      </c>
      <c r="S57" s="45">
        <v>53.7</v>
      </c>
      <c r="T57" s="45">
        <v>60.9</v>
      </c>
      <c r="U57" s="45">
        <v>60.9</v>
      </c>
      <c r="V57" s="45">
        <v>60.9</v>
      </c>
      <c r="W57" s="45">
        <v>60.9</v>
      </c>
      <c r="X57" s="45">
        <v>60.9</v>
      </c>
      <c r="Y57" s="45">
        <v>65</v>
      </c>
      <c r="Z57" s="45">
        <v>64.900000000000006</v>
      </c>
      <c r="AA57" s="45">
        <v>50</v>
      </c>
      <c r="AB57" s="45">
        <v>50</v>
      </c>
      <c r="AC57" s="45">
        <v>50</v>
      </c>
      <c r="AD57" s="45">
        <v>50</v>
      </c>
      <c r="AE57" s="45">
        <v>50</v>
      </c>
      <c r="AF57" s="45">
        <v>50</v>
      </c>
      <c r="AG57" s="54">
        <v>69</v>
      </c>
      <c r="AH57" s="47">
        <f t="shared" si="2"/>
        <v>65.599999999999994</v>
      </c>
      <c r="AI57" s="48">
        <f t="shared" si="3"/>
        <v>50</v>
      </c>
      <c r="AK57" s="50"/>
    </row>
    <row r="58" spans="1:41" x14ac:dyDescent="0.25">
      <c r="A58" s="53" t="s">
        <v>66</v>
      </c>
      <c r="B58" s="64">
        <v>28.2</v>
      </c>
      <c r="C58" s="64">
        <v>28.2</v>
      </c>
      <c r="D58" s="64">
        <v>28.2</v>
      </c>
      <c r="E58" s="56">
        <v>28.2</v>
      </c>
      <c r="F58" s="56">
        <v>28.2</v>
      </c>
      <c r="G58" s="56">
        <v>28.2</v>
      </c>
      <c r="H58" s="56">
        <v>28.2</v>
      </c>
      <c r="I58" s="56">
        <v>28.2</v>
      </c>
      <c r="J58" s="56">
        <v>28</v>
      </c>
      <c r="K58" s="56">
        <v>28.2</v>
      </c>
      <c r="L58" s="56">
        <v>28.2</v>
      </c>
      <c r="M58" s="64">
        <v>25</v>
      </c>
      <c r="N58" s="64">
        <v>25</v>
      </c>
      <c r="O58" s="64">
        <v>25</v>
      </c>
      <c r="P58" s="64">
        <v>25</v>
      </c>
      <c r="Q58" s="64">
        <v>25</v>
      </c>
      <c r="R58" s="64">
        <v>25</v>
      </c>
      <c r="S58" s="45">
        <v>27.2</v>
      </c>
      <c r="T58" s="45">
        <v>27.2</v>
      </c>
      <c r="U58" s="45">
        <v>27.2</v>
      </c>
      <c r="V58" s="45">
        <v>27.2</v>
      </c>
      <c r="W58" s="45">
        <v>27.2</v>
      </c>
      <c r="X58" s="45">
        <v>27.2</v>
      </c>
      <c r="Y58" s="45">
        <v>27.2</v>
      </c>
      <c r="Z58" s="45">
        <v>29.7</v>
      </c>
      <c r="AA58" s="45">
        <v>30.5</v>
      </c>
      <c r="AB58" s="45">
        <v>30.5</v>
      </c>
      <c r="AC58" s="45">
        <v>30.5</v>
      </c>
      <c r="AD58" s="45">
        <v>30.5</v>
      </c>
      <c r="AE58" s="45">
        <v>30.5</v>
      </c>
      <c r="AF58" s="45">
        <v>30.5</v>
      </c>
      <c r="AG58" s="54">
        <v>60</v>
      </c>
      <c r="AH58" s="47">
        <f t="shared" si="2"/>
        <v>30.5</v>
      </c>
      <c r="AI58" s="48">
        <f t="shared" si="3"/>
        <v>25</v>
      </c>
      <c r="AK58" s="50"/>
    </row>
    <row r="59" spans="1:41" x14ac:dyDescent="0.25">
      <c r="A59" s="53" t="s">
        <v>67</v>
      </c>
      <c r="B59" s="64">
        <v>30</v>
      </c>
      <c r="C59" s="64">
        <v>30</v>
      </c>
      <c r="D59" s="64">
        <v>30</v>
      </c>
      <c r="E59" s="56">
        <v>30</v>
      </c>
      <c r="F59" s="56">
        <v>30</v>
      </c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30</v>
      </c>
      <c r="M59" s="64">
        <v>30</v>
      </c>
      <c r="N59" s="64">
        <v>30</v>
      </c>
      <c r="O59" s="64">
        <v>30</v>
      </c>
      <c r="P59" s="64">
        <v>30</v>
      </c>
      <c r="Q59" s="64">
        <v>30</v>
      </c>
      <c r="R59" s="64">
        <v>30</v>
      </c>
      <c r="S59" s="45">
        <v>30</v>
      </c>
      <c r="T59" s="45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28</v>
      </c>
      <c r="AB59" s="45">
        <v>28</v>
      </c>
      <c r="AC59" s="45">
        <v>28</v>
      </c>
      <c r="AD59" s="45">
        <v>28</v>
      </c>
      <c r="AE59" s="45">
        <v>28</v>
      </c>
      <c r="AF59" s="45">
        <v>28</v>
      </c>
      <c r="AG59" s="54">
        <v>30</v>
      </c>
      <c r="AH59" s="47">
        <f t="shared" si="2"/>
        <v>30</v>
      </c>
      <c r="AI59" s="48">
        <f t="shared" si="3"/>
        <v>28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0.3</v>
      </c>
      <c r="J60" s="64">
        <v>1.1000000000000001</v>
      </c>
      <c r="K60" s="64">
        <v>3.6</v>
      </c>
      <c r="L60" s="64">
        <v>5.6</v>
      </c>
      <c r="M60" s="64">
        <v>8.5</v>
      </c>
      <c r="N60" s="64">
        <v>10</v>
      </c>
      <c r="O60" s="64">
        <v>12</v>
      </c>
      <c r="P60" s="64">
        <v>18.7</v>
      </c>
      <c r="Q60" s="64">
        <v>18.7</v>
      </c>
      <c r="R60" s="64">
        <v>18.7</v>
      </c>
      <c r="S60" s="45">
        <v>7.8</v>
      </c>
      <c r="T60" s="45">
        <v>7.8</v>
      </c>
      <c r="U60" s="45">
        <v>7.8</v>
      </c>
      <c r="V60" s="45">
        <v>7.8</v>
      </c>
      <c r="W60" s="45">
        <v>5.6</v>
      </c>
      <c r="X60" s="45">
        <v>2.1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18.7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15.5</v>
      </c>
      <c r="T61" s="64">
        <v>15.5</v>
      </c>
      <c r="U61" s="64">
        <v>15.5</v>
      </c>
      <c r="V61" s="64">
        <v>15.5</v>
      </c>
      <c r="W61" s="64">
        <v>15.5</v>
      </c>
      <c r="X61" s="64">
        <v>15.5</v>
      </c>
      <c r="Y61" s="64">
        <v>15.5</v>
      </c>
      <c r="Z61" s="64">
        <v>15.5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15.5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3.1</v>
      </c>
      <c r="C62" s="64">
        <v>3.1</v>
      </c>
      <c r="D62" s="64">
        <v>3.1</v>
      </c>
      <c r="E62" s="64">
        <v>3.1</v>
      </c>
      <c r="F62" s="64">
        <v>3.1</v>
      </c>
      <c r="G62" s="64">
        <v>3.1</v>
      </c>
      <c r="H62" s="64">
        <v>3.1</v>
      </c>
      <c r="I62" s="64">
        <v>3.1</v>
      </c>
      <c r="J62" s="64">
        <v>3.1</v>
      </c>
      <c r="K62" s="64">
        <v>3.1</v>
      </c>
      <c r="L62" s="64">
        <v>3.1</v>
      </c>
      <c r="M62" s="64">
        <v>3.1</v>
      </c>
      <c r="N62" s="64">
        <v>3.1</v>
      </c>
      <c r="O62" s="64">
        <v>3.1</v>
      </c>
      <c r="P62" s="64">
        <v>3.1</v>
      </c>
      <c r="Q62" s="64">
        <v>3.1</v>
      </c>
      <c r="R62" s="64">
        <v>3.1</v>
      </c>
      <c r="S62" s="64">
        <v>3.1</v>
      </c>
      <c r="T62" s="64">
        <v>3.1</v>
      </c>
      <c r="U62" s="64">
        <v>3.1</v>
      </c>
      <c r="V62" s="64">
        <v>3.1</v>
      </c>
      <c r="W62" s="64">
        <v>3.1</v>
      </c>
      <c r="X62" s="64">
        <v>3.1</v>
      </c>
      <c r="Y62" s="64">
        <v>3.1</v>
      </c>
      <c r="Z62" s="64">
        <v>3.1</v>
      </c>
      <c r="AA62" s="64">
        <v>3.1</v>
      </c>
      <c r="AB62" s="64">
        <v>3.1</v>
      </c>
      <c r="AC62" s="64">
        <v>3.1</v>
      </c>
      <c r="AD62" s="64">
        <v>3.1</v>
      </c>
      <c r="AE62" s="64">
        <v>3.1</v>
      </c>
      <c r="AF62" s="64">
        <v>3.1</v>
      </c>
      <c r="AG62" s="54">
        <v>15</v>
      </c>
      <c r="AH62" s="47">
        <f t="shared" si="2"/>
        <v>3.1</v>
      </c>
      <c r="AI62" s="48">
        <f t="shared" si="3"/>
        <v>3.1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11.8</v>
      </c>
      <c r="C63" s="64">
        <v>11.8</v>
      </c>
      <c r="D63" s="64">
        <v>11.8</v>
      </c>
      <c r="E63" s="64">
        <v>11.8</v>
      </c>
      <c r="F63" s="64">
        <v>11.8</v>
      </c>
      <c r="G63" s="64">
        <v>11.8</v>
      </c>
      <c r="H63" s="64">
        <v>11.8</v>
      </c>
      <c r="I63" s="64">
        <v>11.8</v>
      </c>
      <c r="J63" s="64">
        <v>11.8</v>
      </c>
      <c r="K63" s="64">
        <v>11.8</v>
      </c>
      <c r="L63" s="64">
        <v>11.8</v>
      </c>
      <c r="M63" s="64">
        <v>10.8</v>
      </c>
      <c r="N63" s="64">
        <v>10.8</v>
      </c>
      <c r="O63" s="64">
        <v>10.8</v>
      </c>
      <c r="P63" s="64">
        <v>10.8</v>
      </c>
      <c r="Q63" s="64">
        <v>10.8</v>
      </c>
      <c r="R63" s="64">
        <v>10.8</v>
      </c>
      <c r="S63" s="64">
        <v>9.1</v>
      </c>
      <c r="T63" s="64">
        <v>9.1</v>
      </c>
      <c r="U63" s="64">
        <v>9.1</v>
      </c>
      <c r="V63" s="64">
        <v>9.1</v>
      </c>
      <c r="W63" s="64">
        <v>9.1</v>
      </c>
      <c r="X63" s="64">
        <v>9.1</v>
      </c>
      <c r="Y63" s="64">
        <v>9.1</v>
      </c>
      <c r="Z63" s="64">
        <v>9.1</v>
      </c>
      <c r="AA63" s="64">
        <v>11.1</v>
      </c>
      <c r="AB63" s="64">
        <v>11.1</v>
      </c>
      <c r="AC63" s="64">
        <v>11.1</v>
      </c>
      <c r="AD63" s="64">
        <v>11.1</v>
      </c>
      <c r="AE63" s="64">
        <v>11.1</v>
      </c>
      <c r="AF63" s="64">
        <v>11.1</v>
      </c>
      <c r="AG63" s="54">
        <v>14.1</v>
      </c>
      <c r="AH63" s="47">
        <f t="shared" si="2"/>
        <v>11.8</v>
      </c>
      <c r="AI63" s="48">
        <f t="shared" si="3"/>
        <v>9.1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13.6</v>
      </c>
      <c r="C64" s="64">
        <v>6.6</v>
      </c>
      <c r="D64" s="64">
        <v>13.8</v>
      </c>
      <c r="E64" s="64">
        <v>13.8</v>
      </c>
      <c r="F64" s="64">
        <v>13.8</v>
      </c>
      <c r="G64" s="64">
        <v>13.8</v>
      </c>
      <c r="H64" s="64">
        <v>13.8</v>
      </c>
      <c r="I64" s="64">
        <v>13.8</v>
      </c>
      <c r="J64" s="64">
        <v>13.8</v>
      </c>
      <c r="K64" s="64">
        <v>13.8</v>
      </c>
      <c r="L64" s="64">
        <v>13.8</v>
      </c>
      <c r="M64" s="64">
        <v>13.6</v>
      </c>
      <c r="N64" s="64">
        <v>13.6</v>
      </c>
      <c r="O64" s="64">
        <v>13.6</v>
      </c>
      <c r="P64" s="64">
        <v>13.6</v>
      </c>
      <c r="Q64" s="64">
        <v>13.6</v>
      </c>
      <c r="R64" s="64">
        <v>13.6</v>
      </c>
      <c r="S64" s="64">
        <v>13.8</v>
      </c>
      <c r="T64" s="64">
        <v>13.8</v>
      </c>
      <c r="U64" s="64">
        <v>13.8</v>
      </c>
      <c r="V64" s="64">
        <v>13.8</v>
      </c>
      <c r="W64" s="64">
        <v>13.8</v>
      </c>
      <c r="X64" s="64">
        <v>13.8</v>
      </c>
      <c r="Y64" s="64">
        <v>13.8</v>
      </c>
      <c r="Z64" s="64">
        <v>13.8</v>
      </c>
      <c r="AA64" s="64">
        <v>13.5</v>
      </c>
      <c r="AB64" s="64">
        <v>13.5</v>
      </c>
      <c r="AC64" s="64">
        <v>13.5</v>
      </c>
      <c r="AD64" s="64">
        <v>13.5</v>
      </c>
      <c r="AE64" s="64">
        <v>13.5</v>
      </c>
      <c r="AF64" s="64">
        <v>13.5</v>
      </c>
      <c r="AG64" s="54">
        <v>14</v>
      </c>
      <c r="AH64" s="47">
        <f t="shared" si="2"/>
        <v>13.8</v>
      </c>
      <c r="AI64" s="48">
        <f t="shared" si="3"/>
        <v>6.6</v>
      </c>
      <c r="AK64" s="50"/>
    </row>
    <row r="65" spans="1:40" x14ac:dyDescent="0.25">
      <c r="A65" s="53" t="s">
        <v>73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7">SUM(B55:B67)</f>
        <v>394.34000000000003</v>
      </c>
      <c r="C68" s="60">
        <f t="shared" si="7"/>
        <v>387.34000000000003</v>
      </c>
      <c r="D68" s="60">
        <f t="shared" si="7"/>
        <v>383.74000000000007</v>
      </c>
      <c r="E68" s="60">
        <f t="shared" si="7"/>
        <v>386.44000000000005</v>
      </c>
      <c r="F68" s="60">
        <f t="shared" si="7"/>
        <v>354.94000000000005</v>
      </c>
      <c r="G68" s="60">
        <f t="shared" si="7"/>
        <v>356.84000000000003</v>
      </c>
      <c r="H68" s="60">
        <f t="shared" si="7"/>
        <v>255.73999999999998</v>
      </c>
      <c r="I68" s="60">
        <f t="shared" si="7"/>
        <v>255.94</v>
      </c>
      <c r="J68" s="60">
        <f t="shared" si="7"/>
        <v>369.04000000000008</v>
      </c>
      <c r="K68" s="60">
        <f t="shared" si="7"/>
        <v>394.54000000000008</v>
      </c>
      <c r="L68" s="60">
        <f t="shared" si="7"/>
        <v>396.84000000000009</v>
      </c>
      <c r="M68" s="60">
        <f t="shared" si="7"/>
        <v>382.84000000000003</v>
      </c>
      <c r="N68" s="60">
        <f t="shared" si="7"/>
        <v>384.34000000000003</v>
      </c>
      <c r="O68" s="60">
        <f t="shared" si="7"/>
        <v>386.34000000000003</v>
      </c>
      <c r="P68" s="60">
        <f t="shared" si="7"/>
        <v>393.04</v>
      </c>
      <c r="Q68" s="60">
        <f t="shared" si="7"/>
        <v>393.04</v>
      </c>
      <c r="R68" s="60">
        <f t="shared" si="7"/>
        <v>393.04</v>
      </c>
      <c r="S68" s="60">
        <f t="shared" si="7"/>
        <v>381.84000000000003</v>
      </c>
      <c r="T68" s="60">
        <f t="shared" si="7"/>
        <v>391.14000000000004</v>
      </c>
      <c r="U68" s="60">
        <f t="shared" si="7"/>
        <v>349.04000000000008</v>
      </c>
      <c r="V68" s="60">
        <f t="shared" si="7"/>
        <v>367.04000000000008</v>
      </c>
      <c r="W68" s="60">
        <f>SUM(W55:W67)</f>
        <v>364.84000000000009</v>
      </c>
      <c r="X68" s="60">
        <f t="shared" si="7"/>
        <v>361.34000000000009</v>
      </c>
      <c r="Y68" s="60">
        <f t="shared" si="7"/>
        <v>364.74000000000007</v>
      </c>
      <c r="Z68" s="60">
        <f t="shared" si="7"/>
        <v>368.24000000000007</v>
      </c>
      <c r="AA68" s="60">
        <f t="shared" si="7"/>
        <v>240.43999999999997</v>
      </c>
      <c r="AB68" s="60">
        <f t="shared" si="7"/>
        <v>240.43999999999997</v>
      </c>
      <c r="AC68" s="60">
        <f t="shared" si="7"/>
        <v>374.44000000000005</v>
      </c>
      <c r="AD68" s="60">
        <f t="shared" si="7"/>
        <v>374.44000000000005</v>
      </c>
      <c r="AE68" s="60">
        <f t="shared" si="7"/>
        <v>374.44000000000005</v>
      </c>
      <c r="AF68" s="60">
        <f t="shared" si="7"/>
        <v>374.44000000000005</v>
      </c>
      <c r="AG68" s="61">
        <f t="shared" si="7"/>
        <v>489.91</v>
      </c>
      <c r="AH68" s="47">
        <f t="shared" si="2"/>
        <v>396.84000000000009</v>
      </c>
      <c r="AI68" s="48">
        <f t="shared" si="3"/>
        <v>240.43999999999997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>
        <v>0</v>
      </c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>
        <v>0</v>
      </c>
      <c r="AB70" s="64"/>
      <c r="AC70" s="64"/>
      <c r="AD70" s="64"/>
      <c r="AE70" s="64"/>
      <c r="AF70" s="64"/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>
        <v>0</v>
      </c>
      <c r="AB71" s="66"/>
      <c r="AC71" s="66"/>
      <c r="AD71" s="66"/>
      <c r="AE71" s="66"/>
      <c r="AF71" s="66"/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8">M69+M70+M71</f>
        <v>0</v>
      </c>
      <c r="N72" s="60">
        <f t="shared" si="8"/>
        <v>0</v>
      </c>
      <c r="O72" s="60">
        <f t="shared" si="8"/>
        <v>0</v>
      </c>
      <c r="P72" s="60">
        <f t="shared" si="8"/>
        <v>0</v>
      </c>
      <c r="Q72" s="60">
        <f t="shared" si="8"/>
        <v>0</v>
      </c>
      <c r="R72" s="60">
        <f t="shared" si="8"/>
        <v>0</v>
      </c>
      <c r="S72" s="60">
        <f t="shared" si="8"/>
        <v>0</v>
      </c>
      <c r="T72" s="60">
        <f t="shared" si="8"/>
        <v>0</v>
      </c>
      <c r="U72" s="60">
        <f t="shared" si="8"/>
        <v>0</v>
      </c>
      <c r="V72" s="60">
        <f t="shared" si="8"/>
        <v>0</v>
      </c>
      <c r="W72" s="60">
        <f t="shared" si="8"/>
        <v>0</v>
      </c>
      <c r="X72" s="60">
        <f t="shared" si="8"/>
        <v>0</v>
      </c>
      <c r="Y72" s="60">
        <f t="shared" si="8"/>
        <v>0</v>
      </c>
      <c r="Z72" s="60">
        <f t="shared" si="8"/>
        <v>0</v>
      </c>
      <c r="AA72" s="60">
        <f t="shared" si="8"/>
        <v>0</v>
      </c>
      <c r="AB72" s="60">
        <f t="shared" si="8"/>
        <v>0</v>
      </c>
      <c r="AC72" s="60">
        <f t="shared" si="8"/>
        <v>0</v>
      </c>
      <c r="AD72" s="60">
        <f t="shared" si="8"/>
        <v>0</v>
      </c>
      <c r="AE72" s="60">
        <f t="shared" si="8"/>
        <v>0</v>
      </c>
      <c r="AF72" s="60">
        <f t="shared" si="8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-4.5999999999999996</v>
      </c>
      <c r="C73" s="45">
        <v>4.2</v>
      </c>
      <c r="D73" s="45">
        <v>0</v>
      </c>
      <c r="E73" s="45">
        <v>-2.7</v>
      </c>
      <c r="F73" s="45">
        <v>-7.6</v>
      </c>
      <c r="G73" s="45">
        <v>-12.5</v>
      </c>
      <c r="H73" s="45">
        <v>31.4</v>
      </c>
      <c r="I73" s="45">
        <v>23.1</v>
      </c>
      <c r="J73" s="45">
        <v>-33.4</v>
      </c>
      <c r="K73" s="45">
        <v>-31</v>
      </c>
      <c r="L73" s="45">
        <v>-26.3</v>
      </c>
      <c r="M73" s="45">
        <v>-8</v>
      </c>
      <c r="N73" s="45">
        <v>23</v>
      </c>
      <c r="O73" s="45">
        <v>15.1</v>
      </c>
      <c r="P73" s="45">
        <v>19.100000000000001</v>
      </c>
      <c r="Q73" s="45">
        <v>19.100000000000001</v>
      </c>
      <c r="R73" s="45">
        <v>14.8</v>
      </c>
      <c r="S73" s="45">
        <v>14.5</v>
      </c>
      <c r="T73" s="45">
        <v>14.5</v>
      </c>
      <c r="U73" s="45">
        <v>29</v>
      </c>
      <c r="V73" s="45">
        <v>11.9</v>
      </c>
      <c r="W73" s="45">
        <v>8.6999999999999993</v>
      </c>
      <c r="X73" s="45">
        <v>5.8</v>
      </c>
      <c r="Y73" s="45">
        <v>11.36</v>
      </c>
      <c r="Z73" s="45">
        <v>11.2</v>
      </c>
      <c r="AA73" s="45">
        <v>21</v>
      </c>
      <c r="AB73" s="45">
        <v>21</v>
      </c>
      <c r="AC73" s="45">
        <v>30</v>
      </c>
      <c r="AD73" s="45">
        <v>18.5</v>
      </c>
      <c r="AE73" s="45">
        <v>27.6</v>
      </c>
      <c r="AF73" s="45">
        <v>-1.6</v>
      </c>
      <c r="AG73" s="51"/>
      <c r="AH73" s="47">
        <f t="shared" si="2"/>
        <v>31.4</v>
      </c>
      <c r="AI73" s="48">
        <f t="shared" si="3"/>
        <v>-33.4</v>
      </c>
      <c r="AK73" s="50"/>
    </row>
    <row r="74" spans="1:40" x14ac:dyDescent="0.25">
      <c r="A74" s="53" t="s">
        <v>82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-334</v>
      </c>
      <c r="C75" s="64">
        <v>-324</v>
      </c>
      <c r="D75" s="64">
        <v>-339</v>
      </c>
      <c r="E75" s="64">
        <v>-316.3</v>
      </c>
      <c r="F75" s="64">
        <v>-355</v>
      </c>
      <c r="G75" s="64">
        <v>-364.2</v>
      </c>
      <c r="H75" s="64">
        <v>-381.9</v>
      </c>
      <c r="I75" s="64">
        <v>-392</v>
      </c>
      <c r="J75" s="64">
        <v>-388</v>
      </c>
      <c r="K75" s="64">
        <v>-409.3</v>
      </c>
      <c r="L75" s="64">
        <f>-321.8</f>
        <v>-321.8</v>
      </c>
      <c r="M75" s="64">
        <v>-292.8</v>
      </c>
      <c r="N75" s="64">
        <v>-256</v>
      </c>
      <c r="O75" s="64">
        <v>-235.1</v>
      </c>
      <c r="P75" s="64">
        <v>-225.3</v>
      </c>
      <c r="Q75" s="64">
        <v>-225.3</v>
      </c>
      <c r="R75" s="64">
        <v>-223</v>
      </c>
      <c r="S75" s="64">
        <v>-170</v>
      </c>
      <c r="T75" s="64">
        <v>-170</v>
      </c>
      <c r="U75" s="64">
        <v>-300</v>
      </c>
      <c r="V75" s="64">
        <v>-307</v>
      </c>
      <c r="W75" s="64">
        <v>-340</v>
      </c>
      <c r="X75" s="64">
        <v>-304</v>
      </c>
      <c r="Y75" s="64">
        <v>-290</v>
      </c>
      <c r="Z75" s="64">
        <v>-180</v>
      </c>
      <c r="AA75" s="64">
        <v>-245</v>
      </c>
      <c r="AB75" s="64">
        <v>-245</v>
      </c>
      <c r="AC75" s="64">
        <v>-203</v>
      </c>
      <c r="AD75" s="64">
        <v>-261</v>
      </c>
      <c r="AE75" s="64">
        <v>-292</v>
      </c>
      <c r="AF75" s="64">
        <v>-252</v>
      </c>
      <c r="AG75" s="74"/>
      <c r="AH75" s="47">
        <f t="shared" si="2"/>
        <v>-170</v>
      </c>
      <c r="AI75" s="48">
        <f t="shared" si="3"/>
        <v>-409.3</v>
      </c>
      <c r="AK75" s="50"/>
    </row>
    <row r="76" spans="1:40" x14ac:dyDescent="0.25">
      <c r="A76" s="53" t="s">
        <v>84</v>
      </c>
      <c r="B76" s="64"/>
      <c r="C76" s="64"/>
      <c r="D76" s="64"/>
      <c r="E76" s="75"/>
      <c r="F76" s="75"/>
      <c r="G76" s="75"/>
      <c r="H76" s="75"/>
      <c r="I76" s="75"/>
      <c r="J76" s="75"/>
      <c r="K76" s="75"/>
      <c r="L76" s="75"/>
      <c r="M76" s="75"/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/>
      <c r="AC76" s="75"/>
      <c r="AD76" s="64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45"/>
      <c r="D77" s="64"/>
      <c r="E77" s="45"/>
      <c r="F77" s="45"/>
      <c r="G77" s="45"/>
      <c r="H77" s="45"/>
      <c r="I77" s="45"/>
      <c r="J77" s="45"/>
      <c r="K77" s="45"/>
      <c r="L77" s="45"/>
      <c r="M77" s="45"/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/>
      <c r="AC77" s="45"/>
      <c r="AD77" s="45"/>
      <c r="AE77" s="45"/>
      <c r="AF77" s="45"/>
      <c r="AG77" s="74"/>
      <c r="AH77" s="47">
        <f t="shared" ref="AH77:AH120" si="9">MAX(B77:AF77)</f>
        <v>0</v>
      </c>
      <c r="AI77" s="48">
        <f t="shared" ref="AI77:AI120" si="10">MIN(B77:AF77)</f>
        <v>0</v>
      </c>
      <c r="AK77" s="50"/>
    </row>
    <row r="78" spans="1:40" x14ac:dyDescent="0.25">
      <c r="A78" s="53" t="s">
        <v>86</v>
      </c>
      <c r="B78" s="45">
        <v>4</v>
      </c>
      <c r="C78" s="45">
        <v>4</v>
      </c>
      <c r="D78" s="45">
        <v>4</v>
      </c>
      <c r="E78" s="45">
        <v>4</v>
      </c>
      <c r="F78" s="45">
        <v>4</v>
      </c>
      <c r="G78" s="45">
        <v>4</v>
      </c>
      <c r="H78" s="45">
        <v>4</v>
      </c>
      <c r="I78" s="45">
        <v>4</v>
      </c>
      <c r="J78" s="45">
        <v>4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/>
      <c r="AC78" s="76"/>
      <c r="AD78" s="76"/>
      <c r="AE78" s="76"/>
      <c r="AF78" s="76"/>
      <c r="AG78" s="74"/>
      <c r="AH78" s="47">
        <f t="shared" si="9"/>
        <v>4</v>
      </c>
      <c r="AI78" s="48">
        <f t="shared" si="10"/>
        <v>0</v>
      </c>
      <c r="AK78" s="50"/>
    </row>
    <row r="79" spans="1:40" ht="15.75" thickBot="1" x14ac:dyDescent="0.3">
      <c r="A79" s="53" t="s">
        <v>87</v>
      </c>
      <c r="B79" s="45"/>
      <c r="C79" s="76"/>
      <c r="D79" s="64"/>
      <c r="E79" s="76"/>
      <c r="F79" s="76"/>
      <c r="G79" s="76"/>
      <c r="H79" s="76"/>
      <c r="I79" s="76"/>
      <c r="J79" s="76"/>
      <c r="K79" s="76"/>
      <c r="L79" s="76"/>
      <c r="M79" s="76"/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/>
      <c r="AC79" s="76"/>
      <c r="AD79" s="76"/>
      <c r="AE79" s="76"/>
      <c r="AF79" s="76"/>
      <c r="AG79" s="74"/>
      <c r="AH79" s="47">
        <f t="shared" si="9"/>
        <v>0</v>
      </c>
      <c r="AI79" s="48">
        <f t="shared" si="10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/>
      <c r="C80" s="76"/>
      <c r="D80" s="64"/>
      <c r="E80" s="76"/>
      <c r="F80" s="76"/>
      <c r="G80" s="76"/>
      <c r="H80" s="76"/>
      <c r="I80" s="76"/>
      <c r="J80" s="76"/>
      <c r="K80" s="76"/>
      <c r="L80" s="76"/>
      <c r="M80" s="76"/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/>
      <c r="AC80" s="76"/>
      <c r="AD80" s="76"/>
      <c r="AE80" s="76"/>
      <c r="AF80" s="76"/>
      <c r="AG80" s="74"/>
      <c r="AH80" s="47">
        <f t="shared" si="9"/>
        <v>0</v>
      </c>
      <c r="AI80" s="48">
        <f t="shared" si="10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/>
      <c r="C81" s="76"/>
      <c r="D81" s="64"/>
      <c r="E81" s="76"/>
      <c r="F81" s="76"/>
      <c r="G81" s="76"/>
      <c r="H81" s="76"/>
      <c r="I81" s="76"/>
      <c r="J81" s="76"/>
      <c r="K81" s="76"/>
      <c r="L81" s="76"/>
      <c r="M81" s="76"/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/>
      <c r="AC81" s="76"/>
      <c r="AD81" s="76"/>
      <c r="AE81" s="76"/>
      <c r="AF81" s="76"/>
      <c r="AG81" s="74"/>
      <c r="AH81" s="47">
        <f t="shared" si="9"/>
        <v>0</v>
      </c>
      <c r="AI81" s="48">
        <f t="shared" si="10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/>
      <c r="C82" s="76"/>
      <c r="D82" s="64"/>
      <c r="E82" s="76"/>
      <c r="F82" s="76"/>
      <c r="G82" s="76"/>
      <c r="H82" s="76"/>
      <c r="I82" s="76"/>
      <c r="J82" s="76"/>
      <c r="K82" s="76"/>
      <c r="L82" s="76"/>
      <c r="M82" s="76"/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/>
      <c r="AC82" s="76"/>
      <c r="AD82" s="76"/>
      <c r="AE82" s="76"/>
      <c r="AF82" s="76"/>
      <c r="AG82" s="84"/>
      <c r="AH82" s="47">
        <f t="shared" si="9"/>
        <v>0</v>
      </c>
      <c r="AI82" s="48">
        <f t="shared" si="10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/>
      <c r="C83" s="76"/>
      <c r="D83" s="64"/>
      <c r="E83" s="76"/>
      <c r="F83" s="76"/>
      <c r="G83" s="76"/>
      <c r="H83" s="76"/>
      <c r="I83" s="76"/>
      <c r="J83" s="76"/>
      <c r="K83" s="76"/>
      <c r="L83" s="76"/>
      <c r="M83" s="76"/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/>
      <c r="AB83" s="76"/>
      <c r="AC83" s="76"/>
      <c r="AD83" s="76"/>
      <c r="AE83" s="76"/>
      <c r="AF83" s="76"/>
      <c r="AG83" s="84"/>
      <c r="AH83" s="47">
        <f t="shared" si="9"/>
        <v>0</v>
      </c>
      <c r="AI83" s="48">
        <f t="shared" si="10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11">SUMIF(B73:B83,"&gt;0")</f>
        <v>4</v>
      </c>
      <c r="C84" s="60">
        <f t="shared" si="11"/>
        <v>8.1999999999999993</v>
      </c>
      <c r="D84" s="60">
        <f t="shared" si="11"/>
        <v>4</v>
      </c>
      <c r="E84" s="60">
        <f t="shared" si="11"/>
        <v>4</v>
      </c>
      <c r="F84" s="60">
        <f t="shared" si="11"/>
        <v>4</v>
      </c>
      <c r="G84" s="60">
        <f t="shared" si="11"/>
        <v>4</v>
      </c>
      <c r="H84" s="60">
        <f t="shared" si="11"/>
        <v>35.4</v>
      </c>
      <c r="I84" s="60">
        <f t="shared" si="11"/>
        <v>27.1</v>
      </c>
      <c r="J84" s="60">
        <f t="shared" si="11"/>
        <v>4</v>
      </c>
      <c r="K84" s="60">
        <f t="shared" si="11"/>
        <v>0</v>
      </c>
      <c r="L84" s="60">
        <f t="shared" si="11"/>
        <v>0</v>
      </c>
      <c r="M84" s="60">
        <f t="shared" si="11"/>
        <v>0</v>
      </c>
      <c r="N84" s="60">
        <f t="shared" si="11"/>
        <v>23</v>
      </c>
      <c r="O84" s="60">
        <f>SUMIF(O73:O83,"&gt;0")</f>
        <v>15.1</v>
      </c>
      <c r="P84" s="60">
        <f t="shared" si="11"/>
        <v>19.100000000000001</v>
      </c>
      <c r="Q84" s="60">
        <f t="shared" si="11"/>
        <v>19.100000000000001</v>
      </c>
      <c r="R84" s="60">
        <f t="shared" si="11"/>
        <v>14.8</v>
      </c>
      <c r="S84" s="60">
        <f t="shared" si="11"/>
        <v>14.5</v>
      </c>
      <c r="T84" s="60">
        <f t="shared" si="11"/>
        <v>14.5</v>
      </c>
      <c r="U84" s="60">
        <f t="shared" si="11"/>
        <v>29</v>
      </c>
      <c r="V84" s="60">
        <f t="shared" si="11"/>
        <v>11.9</v>
      </c>
      <c r="W84" s="60">
        <f t="shared" si="11"/>
        <v>8.6999999999999993</v>
      </c>
      <c r="X84" s="60">
        <f t="shared" si="11"/>
        <v>5.8</v>
      </c>
      <c r="Y84" s="60">
        <f t="shared" si="11"/>
        <v>11.36</v>
      </c>
      <c r="Z84" s="60">
        <f t="shared" si="11"/>
        <v>11.2</v>
      </c>
      <c r="AA84" s="60">
        <f>SUMIF(AA73:AA83,"&gt;0")</f>
        <v>21</v>
      </c>
      <c r="AB84" s="60">
        <f t="shared" si="11"/>
        <v>21</v>
      </c>
      <c r="AC84" s="60">
        <f t="shared" si="11"/>
        <v>30</v>
      </c>
      <c r="AD84" s="60">
        <f t="shared" si="11"/>
        <v>18.5</v>
      </c>
      <c r="AE84" s="60">
        <f t="shared" si="11"/>
        <v>27.6</v>
      </c>
      <c r="AF84" s="60">
        <f t="shared" si="11"/>
        <v>0</v>
      </c>
      <c r="AG84" s="87">
        <f>SUM(AG73:AG83)</f>
        <v>0</v>
      </c>
      <c r="AH84" s="47">
        <f t="shared" si="9"/>
        <v>35.4</v>
      </c>
      <c r="AI84" s="48">
        <f t="shared" si="10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9"/>
        <v>0</v>
      </c>
      <c r="AI85" s="48">
        <f t="shared" si="10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9"/>
        <v>0</v>
      </c>
      <c r="AI86" s="48">
        <f t="shared" si="10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9"/>
        <v>0</v>
      </c>
      <c r="AI87" s="48">
        <f t="shared" si="10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9"/>
        <v>0</v>
      </c>
      <c r="AI88" s="48">
        <f t="shared" si="10"/>
        <v>0</v>
      </c>
    </row>
    <row r="89" spans="1:40" ht="15.75" thickBot="1" x14ac:dyDescent="0.3">
      <c r="A89" s="73" t="s">
        <v>100</v>
      </c>
      <c r="B89" s="94">
        <f t="shared" ref="B89:AG89" si="12">B50+B54+B72+B68+B84+B88</f>
        <v>2003.7200000000003</v>
      </c>
      <c r="C89" s="94">
        <f t="shared" si="12"/>
        <v>2000.9200000000003</v>
      </c>
      <c r="D89" s="94">
        <f t="shared" si="12"/>
        <v>1918.1200000000001</v>
      </c>
      <c r="E89" s="94">
        <f t="shared" si="12"/>
        <v>1925.8200000000002</v>
      </c>
      <c r="F89" s="94">
        <f t="shared" si="12"/>
        <v>1924.62</v>
      </c>
      <c r="G89" s="94">
        <f t="shared" si="12"/>
        <v>1929.52</v>
      </c>
      <c r="H89" s="94">
        <f t="shared" si="12"/>
        <v>1887.5200000000002</v>
      </c>
      <c r="I89" s="94">
        <f t="shared" si="12"/>
        <v>1916.42</v>
      </c>
      <c r="J89" s="94">
        <f t="shared" si="12"/>
        <v>2006.8200000000002</v>
      </c>
      <c r="K89" s="94">
        <f t="shared" si="12"/>
        <v>2028.3200000000002</v>
      </c>
      <c r="L89" s="94">
        <f t="shared" si="12"/>
        <v>2030.7200000000003</v>
      </c>
      <c r="M89" s="94">
        <f t="shared" si="12"/>
        <v>1999.2200000000003</v>
      </c>
      <c r="N89" s="94">
        <f t="shared" si="12"/>
        <v>2023.7200000000003</v>
      </c>
      <c r="O89" s="94">
        <f t="shared" si="12"/>
        <v>2017.8200000000002</v>
      </c>
      <c r="P89" s="94">
        <f t="shared" si="12"/>
        <v>2028.52</v>
      </c>
      <c r="Q89" s="94">
        <f t="shared" si="12"/>
        <v>2028.52</v>
      </c>
      <c r="R89" s="94">
        <f t="shared" si="12"/>
        <v>2050.7200000000003</v>
      </c>
      <c r="S89" s="94">
        <f t="shared" si="12"/>
        <v>2039.2200000000003</v>
      </c>
      <c r="T89" s="94">
        <f t="shared" si="12"/>
        <v>2048.92</v>
      </c>
      <c r="U89" s="94">
        <f t="shared" si="12"/>
        <v>2023.52</v>
      </c>
      <c r="V89" s="94">
        <f t="shared" si="12"/>
        <v>2024.42</v>
      </c>
      <c r="W89" s="94">
        <f t="shared" si="12"/>
        <v>2019.0200000000002</v>
      </c>
      <c r="X89" s="94">
        <f t="shared" si="12"/>
        <v>2012.6200000000001</v>
      </c>
      <c r="Y89" s="94">
        <f t="shared" si="12"/>
        <v>2026.58</v>
      </c>
      <c r="Z89" s="94">
        <f t="shared" si="12"/>
        <v>2042.92</v>
      </c>
      <c r="AA89" s="94">
        <f>AA50+AA54+AA72+AA68+AA84+AA88</f>
        <v>1849.92</v>
      </c>
      <c r="AB89" s="94">
        <f t="shared" si="12"/>
        <v>1849.92</v>
      </c>
      <c r="AC89" s="94">
        <f t="shared" si="12"/>
        <v>2036.92</v>
      </c>
      <c r="AD89" s="94">
        <f t="shared" si="12"/>
        <v>2090.7200000000003</v>
      </c>
      <c r="AE89" s="94">
        <f t="shared" si="12"/>
        <v>2082.12</v>
      </c>
      <c r="AF89" s="94">
        <f t="shared" si="12"/>
        <v>1985.8200000000002</v>
      </c>
      <c r="AG89" s="61">
        <f t="shared" si="12"/>
        <v>2111.5500000000002</v>
      </c>
      <c r="AH89" s="47">
        <f t="shared" si="9"/>
        <v>2090.7200000000003</v>
      </c>
      <c r="AI89" s="48">
        <f t="shared" si="10"/>
        <v>1849.92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>
        <v>180</v>
      </c>
      <c r="AB90" s="96"/>
      <c r="AC90" s="96"/>
      <c r="AD90" s="96"/>
      <c r="AE90" s="96"/>
      <c r="AF90" s="96"/>
      <c r="AG90" s="87"/>
      <c r="AH90" s="47">
        <f t="shared" si="9"/>
        <v>180</v>
      </c>
      <c r="AI90" s="48">
        <f t="shared" si="10"/>
        <v>180</v>
      </c>
    </row>
    <row r="91" spans="1:40" ht="15.75" thickBot="1" x14ac:dyDescent="0.3">
      <c r="A91" s="73" t="s">
        <v>102</v>
      </c>
      <c r="B91" s="94">
        <f t="shared" ref="B91:AF91" si="13">B89+B90</f>
        <v>2003.7200000000003</v>
      </c>
      <c r="C91" s="94">
        <f t="shared" si="13"/>
        <v>2000.9200000000003</v>
      </c>
      <c r="D91" s="94">
        <f t="shared" si="13"/>
        <v>1918.1200000000001</v>
      </c>
      <c r="E91" s="94">
        <f t="shared" si="13"/>
        <v>1925.8200000000002</v>
      </c>
      <c r="F91" s="94">
        <f t="shared" si="13"/>
        <v>1924.62</v>
      </c>
      <c r="G91" s="94">
        <f t="shared" si="13"/>
        <v>1929.52</v>
      </c>
      <c r="H91" s="94">
        <f t="shared" si="13"/>
        <v>1887.5200000000002</v>
      </c>
      <c r="I91" s="94">
        <f t="shared" si="13"/>
        <v>1916.42</v>
      </c>
      <c r="J91" s="94">
        <f t="shared" si="13"/>
        <v>2006.8200000000002</v>
      </c>
      <c r="K91" s="94">
        <f t="shared" si="13"/>
        <v>2028.3200000000002</v>
      </c>
      <c r="L91" s="94">
        <f t="shared" si="13"/>
        <v>2030.7200000000003</v>
      </c>
      <c r="M91" s="94">
        <f t="shared" si="13"/>
        <v>1999.2200000000003</v>
      </c>
      <c r="N91" s="94">
        <f t="shared" si="13"/>
        <v>2023.7200000000003</v>
      </c>
      <c r="O91" s="94">
        <f t="shared" si="13"/>
        <v>2017.8200000000002</v>
      </c>
      <c r="P91" s="94">
        <f t="shared" si="13"/>
        <v>2028.52</v>
      </c>
      <c r="Q91" s="94">
        <f t="shared" si="13"/>
        <v>2028.52</v>
      </c>
      <c r="R91" s="94">
        <f t="shared" si="13"/>
        <v>2050.7200000000003</v>
      </c>
      <c r="S91" s="94">
        <f t="shared" si="13"/>
        <v>2039.2200000000003</v>
      </c>
      <c r="T91" s="94">
        <f t="shared" si="13"/>
        <v>2048.92</v>
      </c>
      <c r="U91" s="94">
        <f t="shared" si="13"/>
        <v>2023.52</v>
      </c>
      <c r="V91" s="94">
        <f t="shared" si="13"/>
        <v>2024.42</v>
      </c>
      <c r="W91" s="94">
        <f t="shared" si="13"/>
        <v>2019.0200000000002</v>
      </c>
      <c r="X91" s="94">
        <f t="shared" si="13"/>
        <v>2012.6200000000001</v>
      </c>
      <c r="Y91" s="94">
        <f t="shared" si="13"/>
        <v>2026.58</v>
      </c>
      <c r="Z91" s="94">
        <f t="shared" si="13"/>
        <v>2042.92</v>
      </c>
      <c r="AA91" s="94">
        <f>AA89+AA90</f>
        <v>2029.92</v>
      </c>
      <c r="AB91" s="94">
        <f t="shared" si="13"/>
        <v>1849.92</v>
      </c>
      <c r="AC91" s="94">
        <f t="shared" si="13"/>
        <v>2036.92</v>
      </c>
      <c r="AD91" s="94">
        <f t="shared" si="13"/>
        <v>2090.7200000000003</v>
      </c>
      <c r="AE91" s="94">
        <f t="shared" si="13"/>
        <v>2082.12</v>
      </c>
      <c r="AF91" s="94">
        <f t="shared" si="13"/>
        <v>1985.8200000000002</v>
      </c>
      <c r="AG91" s="87">
        <f>AG88+AG84+AG72+AG68+AG50+AG90</f>
        <v>1573.45</v>
      </c>
      <c r="AH91" s="47">
        <f t="shared" si="9"/>
        <v>2090.7200000000003</v>
      </c>
      <c r="AI91" s="48">
        <f t="shared" si="10"/>
        <v>1849.92</v>
      </c>
    </row>
    <row r="92" spans="1:40" ht="15.75" thickBot="1" x14ac:dyDescent="0.3">
      <c r="A92" s="73" t="s">
        <v>103</v>
      </c>
      <c r="B92" s="94">
        <f t="shared" ref="B92:AF92" si="14">B91-B99</f>
        <v>2003.7200000000003</v>
      </c>
      <c r="C92" s="94">
        <f t="shared" si="14"/>
        <v>2000.9200000000003</v>
      </c>
      <c r="D92" s="94">
        <f t="shared" si="14"/>
        <v>1918.1200000000001</v>
      </c>
      <c r="E92" s="94">
        <f t="shared" si="14"/>
        <v>1925.8200000000002</v>
      </c>
      <c r="F92" s="94">
        <f t="shared" si="14"/>
        <v>1924.62</v>
      </c>
      <c r="G92" s="94">
        <f t="shared" si="14"/>
        <v>1929.52</v>
      </c>
      <c r="H92" s="94">
        <f t="shared" si="14"/>
        <v>1887.5200000000002</v>
      </c>
      <c r="I92" s="94">
        <f t="shared" si="14"/>
        <v>1916.42</v>
      </c>
      <c r="J92" s="94">
        <f t="shared" si="14"/>
        <v>2006.8200000000002</v>
      </c>
      <c r="K92" s="94">
        <f t="shared" si="14"/>
        <v>2028.3200000000002</v>
      </c>
      <c r="L92" s="94">
        <f t="shared" si="14"/>
        <v>2030.7200000000003</v>
      </c>
      <c r="M92" s="94">
        <f t="shared" si="14"/>
        <v>1999.2200000000003</v>
      </c>
      <c r="N92" s="94">
        <f t="shared" si="14"/>
        <v>2023.7200000000003</v>
      </c>
      <c r="O92" s="94">
        <f t="shared" si="14"/>
        <v>2017.8200000000002</v>
      </c>
      <c r="P92" s="94">
        <f t="shared" si="14"/>
        <v>2028.52</v>
      </c>
      <c r="Q92" s="94">
        <f t="shared" si="14"/>
        <v>2028.52</v>
      </c>
      <c r="R92" s="94">
        <f t="shared" si="14"/>
        <v>2050.7200000000003</v>
      </c>
      <c r="S92" s="94">
        <f t="shared" si="14"/>
        <v>2039.2200000000003</v>
      </c>
      <c r="T92" s="94">
        <f t="shared" si="14"/>
        <v>2048.92</v>
      </c>
      <c r="U92" s="94">
        <f t="shared" si="14"/>
        <v>2023.52</v>
      </c>
      <c r="V92" s="94">
        <f t="shared" si="14"/>
        <v>2024.42</v>
      </c>
      <c r="W92" s="94">
        <f t="shared" si="14"/>
        <v>2019.0200000000002</v>
      </c>
      <c r="X92" s="94">
        <f t="shared" si="14"/>
        <v>2012.6200000000001</v>
      </c>
      <c r="Y92" s="94">
        <f t="shared" si="14"/>
        <v>2026.58</v>
      </c>
      <c r="Z92" s="94">
        <f t="shared" si="14"/>
        <v>2042.92</v>
      </c>
      <c r="AA92" s="94">
        <f>AA91-AA99</f>
        <v>2029.92</v>
      </c>
      <c r="AB92" s="94">
        <f t="shared" si="14"/>
        <v>1849.92</v>
      </c>
      <c r="AC92" s="94">
        <f t="shared" si="14"/>
        <v>2036.92</v>
      </c>
      <c r="AD92" s="94">
        <f t="shared" si="14"/>
        <v>2090.7200000000003</v>
      </c>
      <c r="AE92" s="94">
        <f t="shared" si="14"/>
        <v>2082.12</v>
      </c>
      <c r="AF92" s="94">
        <f t="shared" si="14"/>
        <v>1985.8200000000002</v>
      </c>
      <c r="AG92" s="87"/>
      <c r="AH92" s="47">
        <f t="shared" si="9"/>
        <v>2090.7200000000003</v>
      </c>
      <c r="AI92" s="48">
        <f t="shared" si="10"/>
        <v>1849.92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9"/>
        <v>0</v>
      </c>
      <c r="AI93" s="48">
        <f t="shared" si="10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9"/>
        <v>0</v>
      </c>
      <c r="AI94" s="48">
        <f t="shared" si="10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9"/>
        <v>0</v>
      </c>
      <c r="AI95" s="48">
        <f t="shared" si="10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9"/>
        <v>0</v>
      </c>
      <c r="AI96" s="48">
        <f t="shared" si="10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9"/>
        <v>0</v>
      </c>
      <c r="AI97" s="48">
        <f t="shared" si="10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9"/>
        <v>0</v>
      </c>
      <c r="AI98" s="48">
        <f t="shared" si="10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9"/>
        <v>0</v>
      </c>
      <c r="AI99" s="48">
        <f t="shared" si="10"/>
        <v>0</v>
      </c>
      <c r="AK99" s="50"/>
    </row>
    <row r="100" spans="1:37" ht="15.75" thickBot="1" x14ac:dyDescent="0.3">
      <c r="A100" s="73" t="s">
        <v>108</v>
      </c>
      <c r="B100" s="60">
        <f t="shared" ref="B100:AF100" si="15">B84-B99</f>
        <v>4</v>
      </c>
      <c r="C100" s="60">
        <f t="shared" si="15"/>
        <v>8.1999999999999993</v>
      </c>
      <c r="D100" s="60">
        <f t="shared" si="15"/>
        <v>4</v>
      </c>
      <c r="E100" s="60">
        <f t="shared" si="15"/>
        <v>4</v>
      </c>
      <c r="F100" s="60">
        <f t="shared" si="15"/>
        <v>4</v>
      </c>
      <c r="G100" s="60">
        <f t="shared" si="15"/>
        <v>4</v>
      </c>
      <c r="H100" s="60">
        <f t="shared" si="15"/>
        <v>35.4</v>
      </c>
      <c r="I100" s="60">
        <f t="shared" si="15"/>
        <v>27.1</v>
      </c>
      <c r="J100" s="60">
        <f t="shared" si="15"/>
        <v>4</v>
      </c>
      <c r="K100" s="60">
        <f t="shared" si="15"/>
        <v>0</v>
      </c>
      <c r="L100" s="60">
        <f t="shared" si="15"/>
        <v>0</v>
      </c>
      <c r="M100" s="60">
        <f t="shared" si="15"/>
        <v>0</v>
      </c>
      <c r="N100" s="60">
        <f t="shared" si="15"/>
        <v>23</v>
      </c>
      <c r="O100" s="60">
        <f t="shared" si="15"/>
        <v>15.1</v>
      </c>
      <c r="P100" s="60">
        <f t="shared" si="15"/>
        <v>19.100000000000001</v>
      </c>
      <c r="Q100" s="60">
        <f t="shared" si="15"/>
        <v>19.100000000000001</v>
      </c>
      <c r="R100" s="60">
        <f t="shared" si="15"/>
        <v>14.8</v>
      </c>
      <c r="S100" s="60">
        <f t="shared" si="15"/>
        <v>14.5</v>
      </c>
      <c r="T100" s="60">
        <f t="shared" si="15"/>
        <v>14.5</v>
      </c>
      <c r="U100" s="60">
        <f t="shared" si="15"/>
        <v>29</v>
      </c>
      <c r="V100" s="60">
        <f t="shared" si="15"/>
        <v>11.9</v>
      </c>
      <c r="W100" s="60">
        <f t="shared" si="15"/>
        <v>8.6999999999999993</v>
      </c>
      <c r="X100" s="60">
        <f t="shared" si="15"/>
        <v>5.8</v>
      </c>
      <c r="Y100" s="60">
        <f t="shared" si="15"/>
        <v>11.36</v>
      </c>
      <c r="Z100" s="60">
        <f t="shared" si="15"/>
        <v>11.2</v>
      </c>
      <c r="AA100" s="60">
        <f>AA84-AA99</f>
        <v>21</v>
      </c>
      <c r="AB100" s="60">
        <f t="shared" si="15"/>
        <v>21</v>
      </c>
      <c r="AC100" s="60">
        <f t="shared" si="15"/>
        <v>30</v>
      </c>
      <c r="AD100" s="60">
        <f t="shared" si="15"/>
        <v>18.5</v>
      </c>
      <c r="AE100" s="60">
        <f t="shared" si="15"/>
        <v>27.6</v>
      </c>
      <c r="AF100" s="60">
        <f t="shared" si="15"/>
        <v>0</v>
      </c>
      <c r="AG100" s="87"/>
      <c r="AH100" s="47">
        <f t="shared" si="9"/>
        <v>35.4</v>
      </c>
      <c r="AI100" s="48">
        <f t="shared" si="10"/>
        <v>0</v>
      </c>
    </row>
    <row r="101" spans="1:37" x14ac:dyDescent="0.25">
      <c r="A101" s="99" t="s">
        <v>109</v>
      </c>
      <c r="B101" s="100">
        <v>49.988</v>
      </c>
      <c r="C101" s="100">
        <v>50.033999999999999</v>
      </c>
      <c r="D101" s="100">
        <v>50.023000000000003</v>
      </c>
      <c r="E101" s="100">
        <v>50.037999999999997</v>
      </c>
      <c r="F101" s="100">
        <v>50.073999999999998</v>
      </c>
      <c r="G101" s="100">
        <v>50.024000000000001</v>
      </c>
      <c r="H101" s="100">
        <v>49.994999999999997</v>
      </c>
      <c r="I101" s="100">
        <v>49.984000000000002</v>
      </c>
      <c r="J101" s="100">
        <v>49.761000000000003</v>
      </c>
      <c r="K101" s="100">
        <v>50.048999999999999</v>
      </c>
      <c r="L101" s="100">
        <v>50.008000000000003</v>
      </c>
      <c r="M101" s="100">
        <v>50.048999999999999</v>
      </c>
      <c r="N101" s="100">
        <v>50.048999999999999</v>
      </c>
      <c r="O101" s="100">
        <v>50.095999999999997</v>
      </c>
      <c r="P101" s="100">
        <v>50.015999999999998</v>
      </c>
      <c r="Q101" s="100">
        <v>50.015999999999998</v>
      </c>
      <c r="R101" s="100">
        <v>50.015999999999998</v>
      </c>
      <c r="S101" s="100">
        <v>49.88</v>
      </c>
      <c r="T101" s="100">
        <v>49.99</v>
      </c>
      <c r="U101" s="100">
        <v>50</v>
      </c>
      <c r="V101" s="100">
        <v>49.83</v>
      </c>
      <c r="W101" s="100">
        <v>49.99</v>
      </c>
      <c r="X101" s="100">
        <v>50.04</v>
      </c>
      <c r="Y101" s="100">
        <v>50.05</v>
      </c>
      <c r="Z101" s="100">
        <v>49.97</v>
      </c>
      <c r="AA101" s="100">
        <v>50.01</v>
      </c>
      <c r="AB101" s="100">
        <v>50.01</v>
      </c>
      <c r="AC101" s="100">
        <v>50.01</v>
      </c>
      <c r="AD101" s="100">
        <v>50.030999999999999</v>
      </c>
      <c r="AE101" s="100">
        <v>50</v>
      </c>
      <c r="AF101" s="100">
        <v>50.031999999999996</v>
      </c>
      <c r="AG101" s="101"/>
      <c r="AH101" s="47">
        <f t="shared" si="9"/>
        <v>50.095999999999997</v>
      </c>
      <c r="AI101" s="48">
        <f t="shared" si="10"/>
        <v>49.761000000000003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9"/>
        <v>0</v>
      </c>
      <c r="AI102" s="48">
        <f t="shared" si="10"/>
        <v>0</v>
      </c>
    </row>
    <row r="103" spans="1:37" x14ac:dyDescent="0.25">
      <c r="A103" s="102" t="s">
        <v>111</v>
      </c>
      <c r="B103" s="64">
        <v>127.5</v>
      </c>
      <c r="C103" s="64">
        <v>128.30000000000001</v>
      </c>
      <c r="D103" s="64">
        <v>129</v>
      </c>
      <c r="E103" s="64">
        <v>127.8</v>
      </c>
      <c r="F103" s="64">
        <v>128.69999999999999</v>
      </c>
      <c r="G103" s="64">
        <v>128.9</v>
      </c>
      <c r="H103" s="64">
        <v>129</v>
      </c>
      <c r="I103" s="64">
        <v>128.1</v>
      </c>
      <c r="J103" s="64">
        <v>125.8</v>
      </c>
      <c r="K103" s="64">
        <v>126.2</v>
      </c>
      <c r="L103" s="64">
        <v>126.7</v>
      </c>
      <c r="M103" s="64">
        <v>124.7</v>
      </c>
      <c r="N103" s="64">
        <v>124.7</v>
      </c>
      <c r="O103" s="64">
        <v>123</v>
      </c>
      <c r="P103" s="64">
        <v>124.2</v>
      </c>
      <c r="Q103" s="64">
        <v>124.2</v>
      </c>
      <c r="R103" s="64">
        <v>125.1</v>
      </c>
      <c r="S103" s="64">
        <v>124.4</v>
      </c>
      <c r="T103" s="64">
        <v>125.7</v>
      </c>
      <c r="U103" s="64">
        <v>124.1</v>
      </c>
      <c r="V103" s="64">
        <v>125.6</v>
      </c>
      <c r="W103" s="64">
        <v>125.9</v>
      </c>
      <c r="X103" s="64">
        <v>128.4</v>
      </c>
      <c r="Y103" s="64">
        <v>126.8</v>
      </c>
      <c r="Z103" s="64">
        <v>123.1</v>
      </c>
      <c r="AA103" s="64">
        <v>125.3</v>
      </c>
      <c r="AB103" s="64">
        <v>125.3</v>
      </c>
      <c r="AC103" s="64">
        <v>125.3</v>
      </c>
      <c r="AD103" s="64">
        <v>124.6</v>
      </c>
      <c r="AE103" s="64">
        <v>126</v>
      </c>
      <c r="AF103" s="64">
        <v>127.1</v>
      </c>
      <c r="AG103" s="103"/>
      <c r="AH103" s="47">
        <f t="shared" si="9"/>
        <v>129</v>
      </c>
      <c r="AI103" s="48">
        <f t="shared" si="10"/>
        <v>123</v>
      </c>
    </row>
    <row r="104" spans="1:37" x14ac:dyDescent="0.25">
      <c r="A104" s="102" t="s">
        <v>112</v>
      </c>
      <c r="B104" s="64">
        <v>126</v>
      </c>
      <c r="C104" s="64">
        <v>128.1</v>
      </c>
      <c r="D104" s="64">
        <v>129.30000000000001</v>
      </c>
      <c r="E104" s="64">
        <v>130.1</v>
      </c>
      <c r="F104" s="64">
        <v>130.5</v>
      </c>
      <c r="G104" s="64">
        <v>126.4</v>
      </c>
      <c r="H104" s="64">
        <v>129</v>
      </c>
      <c r="I104" s="64">
        <v>128.4</v>
      </c>
      <c r="J104" s="64">
        <v>126.2</v>
      </c>
      <c r="K104" s="64">
        <v>126.2</v>
      </c>
      <c r="L104" s="64">
        <v>128.69999999999999</v>
      </c>
      <c r="M104" s="64">
        <v>124.4</v>
      </c>
      <c r="N104" s="64">
        <v>124.4</v>
      </c>
      <c r="O104" s="64">
        <v>122.4</v>
      </c>
      <c r="P104" s="64">
        <v>123.2</v>
      </c>
      <c r="Q104" s="64">
        <v>123.2</v>
      </c>
      <c r="R104" s="64">
        <v>127.5</v>
      </c>
      <c r="S104" s="64">
        <v>124.6</v>
      </c>
      <c r="T104" s="64">
        <v>126</v>
      </c>
      <c r="U104" s="64">
        <v>125.5</v>
      </c>
      <c r="V104" s="64">
        <v>126.5</v>
      </c>
      <c r="W104" s="64">
        <v>127.2</v>
      </c>
      <c r="X104" s="64">
        <v>127.9</v>
      </c>
      <c r="Y104" s="64">
        <v>120</v>
      </c>
      <c r="Z104" s="64">
        <v>122.2</v>
      </c>
      <c r="AA104" s="64">
        <v>126.1</v>
      </c>
      <c r="AB104" s="64">
        <v>126.1</v>
      </c>
      <c r="AC104" s="64">
        <v>126.1</v>
      </c>
      <c r="AD104" s="64">
        <v>124</v>
      </c>
      <c r="AE104" s="64">
        <v>123.4</v>
      </c>
      <c r="AF104" s="64">
        <v>126.4</v>
      </c>
      <c r="AG104" s="103"/>
      <c r="AH104" s="47">
        <f t="shared" si="9"/>
        <v>130.5</v>
      </c>
      <c r="AI104" s="48">
        <f t="shared" si="10"/>
        <v>120</v>
      </c>
    </row>
    <row r="105" spans="1:37" x14ac:dyDescent="0.25">
      <c r="A105" s="104" t="s">
        <v>113</v>
      </c>
      <c r="B105" s="64">
        <v>128.30000000000001</v>
      </c>
      <c r="C105" s="64">
        <v>131.5</v>
      </c>
      <c r="D105" s="64">
        <v>132.4</v>
      </c>
      <c r="E105" s="64">
        <v>133.30000000000001</v>
      </c>
      <c r="F105" s="64">
        <v>133.6</v>
      </c>
      <c r="G105" s="64">
        <v>130.6</v>
      </c>
      <c r="H105" s="64">
        <v>132.6</v>
      </c>
      <c r="I105" s="64">
        <v>131.69999999999999</v>
      </c>
      <c r="J105" s="64">
        <v>128.19999999999999</v>
      </c>
      <c r="K105" s="64">
        <v>127.7</v>
      </c>
      <c r="L105" s="64">
        <v>131.19999999999999</v>
      </c>
      <c r="M105" s="64">
        <v>127</v>
      </c>
      <c r="N105" s="64">
        <v>127</v>
      </c>
      <c r="O105" s="64">
        <v>123.3</v>
      </c>
      <c r="P105" s="64">
        <v>125.1</v>
      </c>
      <c r="Q105" s="64">
        <v>125.1</v>
      </c>
      <c r="R105" s="64">
        <v>128.6</v>
      </c>
      <c r="S105" s="64">
        <v>125.8</v>
      </c>
      <c r="T105" s="64">
        <v>127</v>
      </c>
      <c r="U105" s="64">
        <v>126.3</v>
      </c>
      <c r="V105" s="64">
        <v>126.7</v>
      </c>
      <c r="W105" s="64">
        <v>128.9</v>
      </c>
      <c r="X105" s="64">
        <v>130</v>
      </c>
      <c r="Y105" s="64">
        <v>122.6</v>
      </c>
      <c r="Z105" s="64">
        <v>124.2</v>
      </c>
      <c r="AA105" s="64">
        <v>126.3</v>
      </c>
      <c r="AB105" s="64">
        <v>126.3</v>
      </c>
      <c r="AC105" s="64">
        <v>126.3</v>
      </c>
      <c r="AD105" s="64">
        <v>125.2</v>
      </c>
      <c r="AE105" s="64">
        <v>125.6</v>
      </c>
      <c r="AF105" s="64">
        <v>128.5</v>
      </c>
      <c r="AG105" s="103"/>
      <c r="AH105" s="47">
        <f t="shared" si="9"/>
        <v>133.6</v>
      </c>
      <c r="AI105" s="48">
        <f t="shared" si="10"/>
        <v>122.6</v>
      </c>
    </row>
    <row r="106" spans="1:37" x14ac:dyDescent="0.25">
      <c r="A106" s="104" t="s">
        <v>114</v>
      </c>
      <c r="B106" s="105">
        <v>130.9</v>
      </c>
      <c r="C106" s="105">
        <v>130.19999999999999</v>
      </c>
      <c r="D106" s="105">
        <v>134.4</v>
      </c>
      <c r="E106" s="105">
        <v>132.4</v>
      </c>
      <c r="F106" s="105">
        <v>131.19999999999999</v>
      </c>
      <c r="G106" s="105">
        <v>133.1</v>
      </c>
      <c r="H106" s="105">
        <v>130.19999999999999</v>
      </c>
      <c r="I106" s="105">
        <v>129.69999999999999</v>
      </c>
      <c r="J106" s="105">
        <v>131</v>
      </c>
      <c r="K106" s="105">
        <v>131.9</v>
      </c>
      <c r="L106" s="105">
        <v>134</v>
      </c>
      <c r="M106" s="105">
        <v>132.6</v>
      </c>
      <c r="N106" s="105">
        <v>132.6</v>
      </c>
      <c r="O106" s="105">
        <v>130</v>
      </c>
      <c r="P106" s="105">
        <v>129.30000000000001</v>
      </c>
      <c r="Q106" s="105">
        <v>129.30000000000001</v>
      </c>
      <c r="R106" s="105">
        <v>132</v>
      </c>
      <c r="S106" s="105">
        <v>130.1</v>
      </c>
      <c r="T106" s="105">
        <v>130.5</v>
      </c>
      <c r="U106" s="105">
        <v>130.5</v>
      </c>
      <c r="V106" s="105">
        <v>134</v>
      </c>
      <c r="W106" s="105">
        <v>132.5</v>
      </c>
      <c r="X106" s="105">
        <v>135</v>
      </c>
      <c r="Y106" s="105">
        <v>130</v>
      </c>
      <c r="Z106" s="105">
        <v>129.30000000000001</v>
      </c>
      <c r="AA106" s="105">
        <v>130.9</v>
      </c>
      <c r="AB106" s="105">
        <v>130.9</v>
      </c>
      <c r="AC106" s="105">
        <v>130.9</v>
      </c>
      <c r="AD106" s="105">
        <v>130.4</v>
      </c>
      <c r="AE106" s="105">
        <v>130.30000000000001</v>
      </c>
      <c r="AF106" s="105">
        <v>133.6</v>
      </c>
      <c r="AG106" s="106"/>
      <c r="AH106" s="47">
        <f t="shared" si="9"/>
        <v>135</v>
      </c>
      <c r="AI106" s="48">
        <f t="shared" si="10"/>
        <v>129.30000000000001</v>
      </c>
    </row>
    <row r="107" spans="1:37" x14ac:dyDescent="0.25">
      <c r="A107" s="102" t="s">
        <v>115</v>
      </c>
      <c r="B107" s="64">
        <v>132.1</v>
      </c>
      <c r="C107" s="64">
        <v>132.1</v>
      </c>
      <c r="D107" s="64">
        <v>138.6</v>
      </c>
      <c r="E107" s="64">
        <v>136.1</v>
      </c>
      <c r="F107" s="64">
        <v>134.80000000000001</v>
      </c>
      <c r="G107" s="64">
        <v>137.80000000000001</v>
      </c>
      <c r="H107" s="64">
        <v>130.6</v>
      </c>
      <c r="I107" s="64">
        <v>132.4</v>
      </c>
      <c r="J107" s="64">
        <v>126.5</v>
      </c>
      <c r="K107" s="64">
        <v>129.30000000000001</v>
      </c>
      <c r="L107" s="64">
        <v>134.9</v>
      </c>
      <c r="M107" s="64">
        <v>133.9</v>
      </c>
      <c r="N107" s="64">
        <v>133.9</v>
      </c>
      <c r="O107" s="64">
        <v>130.30000000000001</v>
      </c>
      <c r="P107" s="64">
        <v>130.5</v>
      </c>
      <c r="Q107" s="64">
        <v>130.5</v>
      </c>
      <c r="R107" s="64">
        <v>125.3</v>
      </c>
      <c r="S107" s="64">
        <v>127.2</v>
      </c>
      <c r="T107" s="64">
        <v>134</v>
      </c>
      <c r="U107" s="64">
        <v>134</v>
      </c>
      <c r="V107" s="64">
        <v>132</v>
      </c>
      <c r="W107" s="64">
        <v>126.9</v>
      </c>
      <c r="X107" s="64">
        <v>127.8</v>
      </c>
      <c r="Y107" s="64">
        <v>129.4</v>
      </c>
      <c r="Z107" s="64">
        <v>130.6</v>
      </c>
      <c r="AA107" s="64">
        <v>130.4</v>
      </c>
      <c r="AB107" s="64">
        <v>130.4</v>
      </c>
      <c r="AC107" s="64">
        <v>130.4</v>
      </c>
      <c r="AD107" s="64">
        <v>130.4</v>
      </c>
      <c r="AE107" s="64">
        <v>130.69999999999999</v>
      </c>
      <c r="AF107" s="64">
        <v>135</v>
      </c>
      <c r="AG107" s="103"/>
      <c r="AH107" s="47">
        <f t="shared" si="9"/>
        <v>138.6</v>
      </c>
      <c r="AI107" s="48">
        <f t="shared" si="10"/>
        <v>125.3</v>
      </c>
    </row>
    <row r="108" spans="1:37" ht="15.75" thickBot="1" x14ac:dyDescent="0.3">
      <c r="A108" s="102" t="s">
        <v>116</v>
      </c>
      <c r="B108" s="91">
        <v>64.2</v>
      </c>
      <c r="C108" s="91">
        <v>64.5</v>
      </c>
      <c r="D108" s="91">
        <v>64.8</v>
      </c>
      <c r="E108" s="91">
        <v>64.5</v>
      </c>
      <c r="F108" s="91">
        <v>64.900000000000006</v>
      </c>
      <c r="G108" s="91">
        <v>64.900000000000006</v>
      </c>
      <c r="H108" s="91">
        <v>64.8</v>
      </c>
      <c r="I108" s="91">
        <v>64.400000000000006</v>
      </c>
      <c r="J108" s="91">
        <v>63.6</v>
      </c>
      <c r="K108" s="91">
        <v>63.8</v>
      </c>
      <c r="L108" s="91">
        <v>63.8</v>
      </c>
      <c r="M108" s="91">
        <v>62.7</v>
      </c>
      <c r="N108" s="91">
        <v>62.7</v>
      </c>
      <c r="O108" s="91">
        <v>61.7</v>
      </c>
      <c r="P108" s="91">
        <v>62</v>
      </c>
      <c r="Q108" s="91">
        <v>62</v>
      </c>
      <c r="R108" s="91">
        <v>62.4</v>
      </c>
      <c r="S108" s="91">
        <v>62.1</v>
      </c>
      <c r="T108" s="91">
        <v>62.5</v>
      </c>
      <c r="U108" s="91">
        <v>62.5</v>
      </c>
      <c r="V108" s="91">
        <v>63.4</v>
      </c>
      <c r="W108" s="91">
        <v>63</v>
      </c>
      <c r="X108" s="91">
        <v>64.400000000000006</v>
      </c>
      <c r="Y108" s="91">
        <v>64.099999999999994</v>
      </c>
      <c r="Z108" s="91">
        <v>62</v>
      </c>
      <c r="AA108" s="91">
        <v>63</v>
      </c>
      <c r="AB108" s="91">
        <v>63</v>
      </c>
      <c r="AC108" s="91">
        <v>63</v>
      </c>
      <c r="AD108" s="91">
        <v>62.8</v>
      </c>
      <c r="AE108" s="91">
        <v>64.2</v>
      </c>
      <c r="AF108" s="91">
        <v>64.2</v>
      </c>
      <c r="AG108" s="107"/>
      <c r="AH108" s="47">
        <f t="shared" si="9"/>
        <v>64.900000000000006</v>
      </c>
      <c r="AI108" s="48">
        <f t="shared" si="10"/>
        <v>61.7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9"/>
        <v>0</v>
      </c>
      <c r="AI109" s="48">
        <f t="shared" si="10"/>
        <v>0</v>
      </c>
    </row>
    <row r="110" spans="1:37" ht="15.75" thickBot="1" x14ac:dyDescent="0.3">
      <c r="A110" s="109" t="s">
        <v>118</v>
      </c>
      <c r="B110" s="110">
        <f t="shared" ref="B110:O110" si="16">SUM(B20,B26,B29:B30,B58,B60:B61,B63,B65,B111:B115,B138,B144,B150,B159,B161,B173,B180,B183:B184,B191,B193,B195,B199:B201,B203:B205,B210,B216:B217,B219:B221,B229,B234)</f>
        <v>53.599999999999994</v>
      </c>
      <c r="C110" s="110">
        <f t="shared" si="16"/>
        <v>28.540000000000024</v>
      </c>
      <c r="D110" s="110">
        <f t="shared" si="16"/>
        <v>8.6400000000000237</v>
      </c>
      <c r="E110" s="110">
        <f t="shared" si="16"/>
        <v>12.339999999999989</v>
      </c>
      <c r="F110" s="110">
        <f t="shared" si="16"/>
        <v>14.139999999999988</v>
      </c>
      <c r="G110" s="110">
        <f t="shared" si="16"/>
        <v>29.539999999999988</v>
      </c>
      <c r="H110" s="110">
        <f t="shared" si="16"/>
        <v>60.739999999999995</v>
      </c>
      <c r="I110" s="110">
        <f t="shared" si="16"/>
        <v>77.439999999999984</v>
      </c>
      <c r="J110" s="110">
        <f t="shared" si="16"/>
        <v>128.23999999999998</v>
      </c>
      <c r="K110" s="110">
        <f t="shared" si="16"/>
        <v>157.54</v>
      </c>
      <c r="L110" s="110">
        <f t="shared" si="16"/>
        <v>164.83999999999997</v>
      </c>
      <c r="M110" s="110">
        <f t="shared" si="16"/>
        <v>153.04</v>
      </c>
      <c r="N110" s="110">
        <f t="shared" si="16"/>
        <v>154.54</v>
      </c>
      <c r="O110" s="110">
        <f t="shared" si="16"/>
        <v>179.23999999999998</v>
      </c>
      <c r="P110" s="110">
        <v>42</v>
      </c>
      <c r="Q110" s="110">
        <f t="shared" ref="Q110:AF110" si="17">SUM(Q20,Q26,Q29:Q30,Q58,Q60:Q61,Q63,Q65,Q111:Q115,Q138,Q144,Q150,Q159,Q161,Q173,Q180,Q183:Q184,Q191,Q193,Q195,Q199:Q201,Q203:Q205,Q210,Q216:Q217,Q219:Q221,Q229,Q234)</f>
        <v>179.29999999999998</v>
      </c>
      <c r="R110" s="110">
        <f t="shared" si="17"/>
        <v>189.39999999999998</v>
      </c>
      <c r="S110" s="110">
        <f t="shared" si="17"/>
        <v>177.79999999999998</v>
      </c>
      <c r="T110" s="110">
        <f t="shared" si="17"/>
        <v>176.6</v>
      </c>
      <c r="U110" s="110">
        <f t="shared" si="17"/>
        <v>182.00000000000003</v>
      </c>
      <c r="V110" s="110">
        <f>SUM(V20,V26,V29:V30,V58,V60:V61,V63,V65,V111:V115,V138,V144,V150,V159,V161,V173,V180,V183:V184,V191,V193,V195,V199:V201,V203:V205,V210,V216:V217,V219:V221,V229,V234)</f>
        <v>199.79999999999998</v>
      </c>
      <c r="W110" s="110">
        <f>SUM(W20,W26,W29:W30,W58,W60:W61,W63,W65,W111:W115,W138,W144,W150,W159,W161,W173,W180,W183:W184,W191,W193,W195,W199:W201,W203:W205,W210,W216:W217,W219:W221,W229,W234)</f>
        <v>173.6</v>
      </c>
      <c r="X110" s="110">
        <f t="shared" si="17"/>
        <v>176.5</v>
      </c>
      <c r="Y110" s="110">
        <f t="shared" si="17"/>
        <v>187.8</v>
      </c>
      <c r="Z110" s="110">
        <f t="shared" si="17"/>
        <v>282.3</v>
      </c>
      <c r="AA110" s="110">
        <f>SUM(AA20,AA26,AA29:AA30,AA58,AA60:AA61,AA63,AA65,AA111:AA115,AA138,AA144,AA150,AA159,AA161,AA173,AA180,AA183:AA184,AA191,AA193,AA195,AA199:AA201,AA203:AA205,AA210,AA216:AA217,AA219:AA221,AA229,AA234)</f>
        <v>238</v>
      </c>
      <c r="AB110" s="110">
        <f t="shared" si="17"/>
        <v>238</v>
      </c>
      <c r="AC110" s="110">
        <f t="shared" si="17"/>
        <v>238</v>
      </c>
      <c r="AD110" s="110"/>
      <c r="AE110" s="110">
        <f t="shared" si="17"/>
        <v>126.80000000000001</v>
      </c>
      <c r="AF110" s="110">
        <f t="shared" si="17"/>
        <v>60.09999999999998</v>
      </c>
      <c r="AG110" s="111"/>
      <c r="AH110" s="47">
        <f t="shared" si="9"/>
        <v>282.3</v>
      </c>
      <c r="AI110" s="48">
        <f t="shared" si="10"/>
        <v>8.6400000000000237</v>
      </c>
    </row>
    <row r="111" spans="1:37" x14ac:dyDescent="0.25">
      <c r="A111" s="99" t="s">
        <v>119</v>
      </c>
      <c r="B111" s="112">
        <v>46.1</v>
      </c>
      <c r="C111" s="112">
        <v>37.299999999999997</v>
      </c>
      <c r="D111" s="112">
        <v>35.4</v>
      </c>
      <c r="E111" s="112">
        <v>39.299999999999997</v>
      </c>
      <c r="F111" s="112">
        <v>42.6</v>
      </c>
      <c r="G111" s="112">
        <v>41.1</v>
      </c>
      <c r="H111" s="112">
        <v>33.5</v>
      </c>
      <c r="I111" s="112">
        <v>41.5</v>
      </c>
      <c r="J111" s="112">
        <v>67.900000000000006</v>
      </c>
      <c r="K111" s="112">
        <v>77.900000000000006</v>
      </c>
      <c r="L111" s="112">
        <v>55.8</v>
      </c>
      <c r="M111" s="112">
        <v>61.2</v>
      </c>
      <c r="N111" s="112">
        <v>61.2</v>
      </c>
      <c r="O111" s="112">
        <v>60.5</v>
      </c>
      <c r="P111" s="112">
        <v>38.1</v>
      </c>
      <c r="Q111" s="112">
        <v>38.1</v>
      </c>
      <c r="R111" s="112">
        <v>35.700000000000003</v>
      </c>
      <c r="S111" s="112">
        <v>38.9</v>
      </c>
      <c r="T111" s="112">
        <v>35.799999999999997</v>
      </c>
      <c r="U111" s="112">
        <v>59.7</v>
      </c>
      <c r="V111" s="112">
        <v>47.1</v>
      </c>
      <c r="W111" s="112">
        <v>43.3</v>
      </c>
      <c r="X111" s="112">
        <v>38.6</v>
      </c>
      <c r="Y111" s="112">
        <v>43.1</v>
      </c>
      <c r="Z111" s="112">
        <v>40</v>
      </c>
      <c r="AA111" s="112">
        <v>32</v>
      </c>
      <c r="AB111" s="112">
        <v>32</v>
      </c>
      <c r="AC111" s="112">
        <v>32</v>
      </c>
      <c r="AD111" s="112">
        <v>63.8</v>
      </c>
      <c r="AE111" s="112">
        <v>48.5</v>
      </c>
      <c r="AF111" s="112">
        <v>43.9</v>
      </c>
      <c r="AG111" s="113">
        <v>75</v>
      </c>
      <c r="AH111" s="47">
        <f t="shared" si="9"/>
        <v>77.900000000000006</v>
      </c>
      <c r="AI111" s="48">
        <f t="shared" si="10"/>
        <v>32</v>
      </c>
    </row>
    <row r="112" spans="1:37" x14ac:dyDescent="0.25">
      <c r="A112" s="102" t="s">
        <v>120</v>
      </c>
      <c r="B112" s="114">
        <v>71</v>
      </c>
      <c r="C112" s="114">
        <v>58.3</v>
      </c>
      <c r="D112" s="114">
        <v>54.2</v>
      </c>
      <c r="E112" s="114">
        <v>60.2</v>
      </c>
      <c r="F112" s="114">
        <v>67.2</v>
      </c>
      <c r="G112" s="114">
        <v>65.099999999999994</v>
      </c>
      <c r="H112" s="114">
        <v>57.9</v>
      </c>
      <c r="I112" s="114">
        <v>68.099999999999994</v>
      </c>
      <c r="J112" s="114">
        <v>106.2</v>
      </c>
      <c r="K112" s="114">
        <v>114.5</v>
      </c>
      <c r="L112" s="114">
        <v>78.599999999999994</v>
      </c>
      <c r="M112" s="114">
        <v>84.5</v>
      </c>
      <c r="N112" s="114">
        <v>84.5</v>
      </c>
      <c r="O112" s="114">
        <v>82.1</v>
      </c>
      <c r="P112" s="114">
        <v>52.5</v>
      </c>
      <c r="Q112" s="114">
        <v>52.5</v>
      </c>
      <c r="R112" s="114">
        <v>52.9</v>
      </c>
      <c r="S112" s="114">
        <v>57.1</v>
      </c>
      <c r="T112" s="114">
        <v>51.7</v>
      </c>
      <c r="U112" s="114">
        <v>87.5</v>
      </c>
      <c r="V112" s="114">
        <v>67</v>
      </c>
      <c r="W112" s="114">
        <v>65.2</v>
      </c>
      <c r="X112" s="114">
        <v>57.5</v>
      </c>
      <c r="Y112" s="114">
        <v>64.099999999999994</v>
      </c>
      <c r="Z112" s="114">
        <v>52.2</v>
      </c>
      <c r="AA112" s="114">
        <v>48</v>
      </c>
      <c r="AB112" s="114">
        <v>48</v>
      </c>
      <c r="AC112" s="114">
        <v>48</v>
      </c>
      <c r="AD112" s="114">
        <v>95.7</v>
      </c>
      <c r="AE112" s="114">
        <v>73.2</v>
      </c>
      <c r="AF112" s="114">
        <v>70</v>
      </c>
      <c r="AG112" s="113">
        <v>240</v>
      </c>
      <c r="AH112" s="47">
        <f t="shared" si="9"/>
        <v>114.5</v>
      </c>
      <c r="AI112" s="48">
        <f t="shared" si="10"/>
        <v>48</v>
      </c>
    </row>
    <row r="113" spans="1:37" x14ac:dyDescent="0.25">
      <c r="A113" s="102" t="s">
        <v>121</v>
      </c>
      <c r="B113" s="114">
        <v>-184</v>
      </c>
      <c r="C113" s="114">
        <v>-175</v>
      </c>
      <c r="D113" s="114">
        <v>-180</v>
      </c>
      <c r="E113" s="114">
        <f>-90-94.8</f>
        <v>-184.8</v>
      </c>
      <c r="F113" s="114">
        <f>-97.1-100.9</f>
        <v>-198</v>
      </c>
      <c r="G113" s="114">
        <f>-91.9-96</f>
        <v>-187.9</v>
      </c>
      <c r="H113" s="114">
        <f>-78.8-82.7</f>
        <v>-161.5</v>
      </c>
      <c r="I113" s="114">
        <f>-82.1-82.6</f>
        <v>-164.7</v>
      </c>
      <c r="J113" s="114">
        <f>-92.9-97.4</f>
        <v>-190.3</v>
      </c>
      <c r="K113" s="114">
        <f>-89-94.3</f>
        <v>-183.3</v>
      </c>
      <c r="L113" s="114">
        <f>-59.3-62.5</f>
        <v>-121.8</v>
      </c>
      <c r="M113" s="114">
        <v>-128</v>
      </c>
      <c r="N113" s="114">
        <v>-128</v>
      </c>
      <c r="O113" s="114">
        <v>-104</v>
      </c>
      <c r="P113" s="114">
        <v>-59</v>
      </c>
      <c r="Q113" s="114">
        <v>-59</v>
      </c>
      <c r="R113" s="114">
        <v>-60</v>
      </c>
      <c r="S113" s="114">
        <f>-25.7-27.9</f>
        <v>-53.599999999999994</v>
      </c>
      <c r="T113" s="114">
        <f>-28.7-30</f>
        <v>-58.7</v>
      </c>
      <c r="U113" s="114">
        <f>-52.8-55.9</f>
        <v>-108.69999999999999</v>
      </c>
      <c r="V113" s="114">
        <f>-26.5-28.9</f>
        <v>-55.4</v>
      </c>
      <c r="W113" s="114">
        <f>-48.2-50.9</f>
        <v>-99.1</v>
      </c>
      <c r="X113" s="114">
        <f>-41.1-44.2</f>
        <v>-85.300000000000011</v>
      </c>
      <c r="Y113" s="114">
        <f>-40-42.8</f>
        <v>-82.8</v>
      </c>
      <c r="Z113" s="114">
        <f>12.1+12.1</f>
        <v>24.2</v>
      </c>
      <c r="AA113" s="114">
        <f>-8.7-9.8</f>
        <v>-18.5</v>
      </c>
      <c r="AB113" s="114">
        <f t="shared" ref="AB113:AC113" si="18">-8.7-9.8</f>
        <v>-18.5</v>
      </c>
      <c r="AC113" s="114">
        <f t="shared" si="18"/>
        <v>-18.5</v>
      </c>
      <c r="AD113" s="114">
        <v>-175</v>
      </c>
      <c r="AE113" s="114">
        <v>-180</v>
      </c>
      <c r="AF113" s="114">
        <v>-180</v>
      </c>
      <c r="AG113" s="113">
        <v>240</v>
      </c>
      <c r="AH113" s="47">
        <f t="shared" si="9"/>
        <v>24.2</v>
      </c>
      <c r="AI113" s="48">
        <f t="shared" si="10"/>
        <v>-198</v>
      </c>
    </row>
    <row r="114" spans="1:37" x14ac:dyDescent="0.25">
      <c r="A114" s="102" t="s">
        <v>122</v>
      </c>
      <c r="B114" s="114">
        <v>-14</v>
      </c>
      <c r="C114" s="114">
        <v>-17</v>
      </c>
      <c r="D114" s="114">
        <v>-16</v>
      </c>
      <c r="E114" s="114">
        <v>-17.600000000000001</v>
      </c>
      <c r="F114" s="114">
        <v>-18.100000000000001</v>
      </c>
      <c r="G114" s="114">
        <v>-15.1</v>
      </c>
      <c r="H114" s="114">
        <v>-10.199999999999999</v>
      </c>
      <c r="I114" s="114">
        <v>-8.8000000000000007</v>
      </c>
      <c r="J114" s="114">
        <v>-8.3000000000000007</v>
      </c>
      <c r="K114" s="114">
        <v>-7</v>
      </c>
      <c r="L114" s="114">
        <v>0</v>
      </c>
      <c r="M114" s="114">
        <v>0.4</v>
      </c>
      <c r="N114" s="114">
        <v>0.4</v>
      </c>
      <c r="O114" s="114">
        <v>5.5</v>
      </c>
      <c r="P114" s="114">
        <v>6.5</v>
      </c>
      <c r="Q114" s="114">
        <v>6.5</v>
      </c>
      <c r="R114" s="114">
        <v>11.2</v>
      </c>
      <c r="S114" s="114">
        <v>10.7</v>
      </c>
      <c r="T114" s="114">
        <v>8.3000000000000007</v>
      </c>
      <c r="U114" s="114">
        <v>2.6</v>
      </c>
      <c r="V114" s="114">
        <v>11</v>
      </c>
      <c r="W114" s="114">
        <v>4.9000000000000004</v>
      </c>
      <c r="X114" s="114">
        <v>4.9000000000000004</v>
      </c>
      <c r="Y114" s="114">
        <v>4.9000000000000004</v>
      </c>
      <c r="Z114" s="114">
        <v>4.9000000000000004</v>
      </c>
      <c r="AA114" s="114">
        <v>16.7</v>
      </c>
      <c r="AB114" s="114">
        <v>16.7</v>
      </c>
      <c r="AC114" s="114">
        <v>16.7</v>
      </c>
      <c r="AD114" s="114">
        <v>-6.1</v>
      </c>
      <c r="AE114" s="114">
        <v>-14</v>
      </c>
      <c r="AF114" s="114">
        <v>-12</v>
      </c>
      <c r="AG114" s="113">
        <v>60</v>
      </c>
      <c r="AH114" s="47">
        <f t="shared" si="9"/>
        <v>16.7</v>
      </c>
      <c r="AI114" s="48">
        <f t="shared" si="10"/>
        <v>-18.100000000000001</v>
      </c>
    </row>
    <row r="115" spans="1:37" x14ac:dyDescent="0.25">
      <c r="A115" s="115" t="s">
        <v>123</v>
      </c>
      <c r="B115" s="116">
        <v>13</v>
      </c>
      <c r="C115" s="116">
        <v>2.5</v>
      </c>
      <c r="D115" s="116">
        <v>2.6</v>
      </c>
      <c r="E115" s="116">
        <v>2.8</v>
      </c>
      <c r="F115" s="116">
        <v>2.6</v>
      </c>
      <c r="G115" s="116">
        <v>8.5</v>
      </c>
      <c r="H115" s="116">
        <v>13</v>
      </c>
      <c r="I115" s="116">
        <v>13</v>
      </c>
      <c r="J115" s="116">
        <v>23.4</v>
      </c>
      <c r="K115" s="116">
        <v>23.4</v>
      </c>
      <c r="L115" s="116">
        <v>18.2</v>
      </c>
      <c r="M115" s="116">
        <v>18.2</v>
      </c>
      <c r="N115" s="116">
        <v>18.2</v>
      </c>
      <c r="O115" s="116">
        <v>14.9</v>
      </c>
      <c r="P115" s="116">
        <v>15.2</v>
      </c>
      <c r="Q115" s="116">
        <v>15.2</v>
      </c>
      <c r="R115" s="116">
        <v>23.6</v>
      </c>
      <c r="S115" s="116">
        <v>8.6</v>
      </c>
      <c r="T115" s="116">
        <v>23.4</v>
      </c>
      <c r="U115" s="116">
        <v>24.8</v>
      </c>
      <c r="V115" s="116">
        <v>14</v>
      </c>
      <c r="W115" s="116">
        <v>45.4</v>
      </c>
      <c r="X115" s="116">
        <v>50.4</v>
      </c>
      <c r="Y115" s="116">
        <v>50.2</v>
      </c>
      <c r="Z115" s="116">
        <v>50.2</v>
      </c>
      <c r="AA115" s="116">
        <v>46.7</v>
      </c>
      <c r="AB115" s="116">
        <v>46.7</v>
      </c>
      <c r="AC115" s="116">
        <v>46.7</v>
      </c>
      <c r="AD115" s="116">
        <v>55.1</v>
      </c>
      <c r="AE115" s="116">
        <v>56</v>
      </c>
      <c r="AF115" s="116">
        <v>14.3</v>
      </c>
      <c r="AG115" s="117">
        <v>120</v>
      </c>
      <c r="AH115" s="47">
        <f t="shared" si="9"/>
        <v>56</v>
      </c>
      <c r="AI115" s="48">
        <f t="shared" si="10"/>
        <v>2.5</v>
      </c>
    </row>
    <row r="116" spans="1:37" x14ac:dyDescent="0.25">
      <c r="A116" s="115" t="s">
        <v>124</v>
      </c>
      <c r="B116" s="116">
        <v>53</v>
      </c>
      <c r="C116" s="116">
        <v>53</v>
      </c>
      <c r="D116" s="116">
        <v>48</v>
      </c>
      <c r="E116" s="116">
        <v>49.6</v>
      </c>
      <c r="F116" s="116">
        <v>37.299999999999997</v>
      </c>
      <c r="G116" s="116">
        <v>38</v>
      </c>
      <c r="H116" s="116">
        <v>42.2</v>
      </c>
      <c r="I116" s="116">
        <v>41.7</v>
      </c>
      <c r="J116" s="116">
        <v>12.2</v>
      </c>
      <c r="K116" s="116">
        <v>25.3</v>
      </c>
      <c r="L116" s="116">
        <v>64.5</v>
      </c>
      <c r="M116" s="116">
        <v>65.900000000000006</v>
      </c>
      <c r="N116" s="116">
        <v>65.900000000000006</v>
      </c>
      <c r="O116" s="116">
        <v>83</v>
      </c>
      <c r="P116" s="116">
        <v>91.1</v>
      </c>
      <c r="Q116" s="116">
        <v>91.1</v>
      </c>
      <c r="R116" s="116">
        <v>86.3</v>
      </c>
      <c r="S116" s="116">
        <v>98.3</v>
      </c>
      <c r="T116" s="116">
        <v>79.7</v>
      </c>
      <c r="U116" s="116">
        <v>89</v>
      </c>
      <c r="V116" s="116">
        <v>66.900000000000006</v>
      </c>
      <c r="W116" s="116">
        <v>28</v>
      </c>
      <c r="X116" s="116">
        <v>36.6</v>
      </c>
      <c r="Y116" s="116">
        <v>35.4</v>
      </c>
      <c r="Z116" s="116">
        <v>35.4</v>
      </c>
      <c r="AA116" s="116">
        <v>69.3</v>
      </c>
      <c r="AB116" s="116">
        <v>69.3</v>
      </c>
      <c r="AC116" s="116">
        <v>69.3</v>
      </c>
      <c r="AD116" s="116">
        <v>43.2</v>
      </c>
      <c r="AE116" s="116">
        <v>32</v>
      </c>
      <c r="AF116" s="116">
        <v>50</v>
      </c>
      <c r="AG116" s="117"/>
      <c r="AH116" s="47">
        <f t="shared" si="9"/>
        <v>98.3</v>
      </c>
      <c r="AI116" s="48">
        <f t="shared" si="10"/>
        <v>12.2</v>
      </c>
    </row>
    <row r="117" spans="1:37" x14ac:dyDescent="0.25">
      <c r="A117" s="115" t="s">
        <v>125</v>
      </c>
      <c r="B117" s="116">
        <v>32</v>
      </c>
      <c r="C117" s="116">
        <v>21</v>
      </c>
      <c r="D117" s="116">
        <v>6</v>
      </c>
      <c r="E117" s="116">
        <v>7.9</v>
      </c>
      <c r="F117" s="116">
        <v>23.2</v>
      </c>
      <c r="G117" s="116">
        <v>21.8</v>
      </c>
      <c r="H117" s="116">
        <v>45.5</v>
      </c>
      <c r="I117" s="116">
        <v>44.2</v>
      </c>
      <c r="J117" s="116">
        <v>1.4</v>
      </c>
      <c r="K117" s="116">
        <v>2.2999999999999998</v>
      </c>
      <c r="L117" s="116">
        <v>13.1</v>
      </c>
      <c r="M117" s="116">
        <v>17.399999999999999</v>
      </c>
      <c r="N117" s="116">
        <v>17.399999999999999</v>
      </c>
      <c r="O117" s="116">
        <v>-7.7</v>
      </c>
      <c r="P117" s="116">
        <v>-5.2</v>
      </c>
      <c r="Q117" s="116">
        <v>-5.2</v>
      </c>
      <c r="R117" s="116">
        <v>23</v>
      </c>
      <c r="S117" s="116">
        <v>16.98</v>
      </c>
      <c r="T117" s="116">
        <v>8.9</v>
      </c>
      <c r="U117" s="116">
        <v>15.4</v>
      </c>
      <c r="V117" s="116">
        <v>3.4</v>
      </c>
      <c r="W117" s="116">
        <v>-1.2</v>
      </c>
      <c r="X117" s="116">
        <v>-8.9</v>
      </c>
      <c r="Y117" s="116">
        <v>0.9</v>
      </c>
      <c r="Z117" s="116">
        <v>0.9</v>
      </c>
      <c r="AA117" s="116">
        <v>19.899999999999999</v>
      </c>
      <c r="AB117" s="116">
        <v>19.899999999999999</v>
      </c>
      <c r="AC117" s="116">
        <v>19.899999999999999</v>
      </c>
      <c r="AD117" s="116">
        <v>20</v>
      </c>
      <c r="AE117" s="116">
        <v>29.1</v>
      </c>
      <c r="AF117" s="116">
        <v>20</v>
      </c>
      <c r="AG117" s="118"/>
      <c r="AH117" s="47">
        <f t="shared" si="9"/>
        <v>45.5</v>
      </c>
      <c r="AI117" s="48">
        <f t="shared" si="10"/>
        <v>-8.9</v>
      </c>
    </row>
    <row r="118" spans="1:37" x14ac:dyDescent="0.25">
      <c r="A118" s="119" t="s">
        <v>126</v>
      </c>
      <c r="B118" s="105">
        <v>27</v>
      </c>
      <c r="C118" s="105">
        <v>32</v>
      </c>
      <c r="D118" s="105">
        <v>34</v>
      </c>
      <c r="E118" s="105">
        <v>35.700000000000003</v>
      </c>
      <c r="F118" s="105">
        <v>36.799999999999997</v>
      </c>
      <c r="G118" s="105">
        <v>40.9</v>
      </c>
      <c r="H118" s="105">
        <v>46.1</v>
      </c>
      <c r="I118" s="105">
        <v>40.6</v>
      </c>
      <c r="J118" s="105">
        <v>12</v>
      </c>
      <c r="K118" s="105">
        <v>22.1</v>
      </c>
      <c r="L118" s="105">
        <v>21</v>
      </c>
      <c r="M118" s="105">
        <v>17.7</v>
      </c>
      <c r="N118" s="105">
        <v>17.7</v>
      </c>
      <c r="O118" s="105">
        <v>12.6</v>
      </c>
      <c r="P118" s="105">
        <v>11.2</v>
      </c>
      <c r="Q118" s="105">
        <v>11.2</v>
      </c>
      <c r="R118" s="105">
        <v>12.7</v>
      </c>
      <c r="S118" s="105">
        <v>10.1</v>
      </c>
      <c r="T118" s="105">
        <v>20.8</v>
      </c>
      <c r="U118" s="105">
        <v>13.6</v>
      </c>
      <c r="V118" s="105">
        <v>11</v>
      </c>
      <c r="W118" s="105">
        <v>14</v>
      </c>
      <c r="X118" s="105">
        <v>9.6</v>
      </c>
      <c r="Y118" s="105">
        <v>1.5</v>
      </c>
      <c r="Z118" s="105">
        <v>1.5</v>
      </c>
      <c r="AA118" s="105">
        <v>4.9000000000000004</v>
      </c>
      <c r="AB118" s="105">
        <v>4.9000000000000004</v>
      </c>
      <c r="AC118" s="105">
        <v>4.9000000000000004</v>
      </c>
      <c r="AD118" s="105">
        <v>7.1</v>
      </c>
      <c r="AE118" s="105">
        <v>13.1</v>
      </c>
      <c r="AF118" s="105">
        <v>19</v>
      </c>
      <c r="AG118" s="118"/>
      <c r="AH118" s="47">
        <f t="shared" si="9"/>
        <v>46.1</v>
      </c>
      <c r="AI118" s="48">
        <f t="shared" si="10"/>
        <v>1.5</v>
      </c>
    </row>
    <row r="119" spans="1:37" x14ac:dyDescent="0.25">
      <c r="A119" s="120" t="s">
        <v>127</v>
      </c>
      <c r="B119" s="105">
        <v>89</v>
      </c>
      <c r="C119" s="105">
        <v>89</v>
      </c>
      <c r="D119" s="105">
        <v>93</v>
      </c>
      <c r="E119" s="105">
        <v>92.3</v>
      </c>
      <c r="F119" s="105">
        <v>90.1</v>
      </c>
      <c r="G119" s="105">
        <v>94.3</v>
      </c>
      <c r="H119" s="105">
        <v>81.900000000000006</v>
      </c>
      <c r="I119" s="105">
        <v>83</v>
      </c>
      <c r="J119" s="105">
        <v>97</v>
      </c>
      <c r="K119" s="105">
        <v>90.9</v>
      </c>
      <c r="L119" s="105">
        <v>94.5</v>
      </c>
      <c r="M119" s="105">
        <v>109</v>
      </c>
      <c r="N119" s="105">
        <v>109</v>
      </c>
      <c r="O119" s="105">
        <v>80.099999999999994</v>
      </c>
      <c r="P119" s="105">
        <v>77.2</v>
      </c>
      <c r="Q119" s="105">
        <v>77.2</v>
      </c>
      <c r="R119" s="105">
        <v>70.2</v>
      </c>
      <c r="S119" s="105">
        <v>75.8</v>
      </c>
      <c r="T119" s="105">
        <v>65.400000000000006</v>
      </c>
      <c r="U119" s="105">
        <v>63.9</v>
      </c>
      <c r="V119" s="105">
        <v>63.9</v>
      </c>
      <c r="W119" s="105">
        <v>76.400000000000006</v>
      </c>
      <c r="X119" s="105">
        <v>64.5</v>
      </c>
      <c r="Y119" s="105">
        <v>62.7</v>
      </c>
      <c r="Z119" s="105">
        <v>62.7</v>
      </c>
      <c r="AA119" s="105">
        <v>3.2</v>
      </c>
      <c r="AB119" s="105">
        <v>3.2</v>
      </c>
      <c r="AC119" s="105">
        <v>3.2</v>
      </c>
      <c r="AD119" s="105">
        <v>80</v>
      </c>
      <c r="AE119" s="105">
        <v>91</v>
      </c>
      <c r="AF119" s="105">
        <v>92</v>
      </c>
      <c r="AG119" s="118"/>
      <c r="AH119" s="47">
        <f t="shared" si="9"/>
        <v>109</v>
      </c>
      <c r="AI119" s="48">
        <f t="shared" si="10"/>
        <v>3.2</v>
      </c>
    </row>
    <row r="120" spans="1:37" ht="15.75" thickBot="1" x14ac:dyDescent="0.3">
      <c r="A120" s="119" t="s">
        <v>128</v>
      </c>
      <c r="B120" s="105">
        <v>66</v>
      </c>
      <c r="C120" s="105">
        <v>45</v>
      </c>
      <c r="D120" s="105">
        <v>41</v>
      </c>
      <c r="E120" s="105">
        <v>44.3</v>
      </c>
      <c r="F120" s="105">
        <v>29.7</v>
      </c>
      <c r="G120" s="105">
        <v>32.799999999999997</v>
      </c>
      <c r="H120" s="105">
        <v>25.3</v>
      </c>
      <c r="I120" s="105">
        <v>24.8</v>
      </c>
      <c r="J120" s="105">
        <v>46.9</v>
      </c>
      <c r="K120" s="105">
        <v>33</v>
      </c>
      <c r="L120" s="105">
        <v>33.799999999999997</v>
      </c>
      <c r="M120" s="105">
        <v>46.1</v>
      </c>
      <c r="N120" s="105">
        <v>46.1</v>
      </c>
      <c r="O120" s="105">
        <v>53.5</v>
      </c>
      <c r="P120" s="105">
        <v>56.7</v>
      </c>
      <c r="Q120" s="105">
        <v>56.7</v>
      </c>
      <c r="R120" s="105">
        <v>60.1</v>
      </c>
      <c r="S120" s="105">
        <v>69.2</v>
      </c>
      <c r="T120" s="105">
        <v>58.7</v>
      </c>
      <c r="U120" s="105">
        <v>52.3</v>
      </c>
      <c r="V120" s="105">
        <v>50</v>
      </c>
      <c r="W120" s="105">
        <v>45.7</v>
      </c>
      <c r="X120" s="105">
        <v>60.4</v>
      </c>
      <c r="Y120" s="105">
        <v>78.2</v>
      </c>
      <c r="Z120" s="105">
        <v>78.2</v>
      </c>
      <c r="AA120" s="105">
        <v>63.8</v>
      </c>
      <c r="AB120" s="105">
        <v>63.8</v>
      </c>
      <c r="AC120" s="105">
        <v>63.8</v>
      </c>
      <c r="AD120" s="105">
        <v>67</v>
      </c>
      <c r="AE120" s="105">
        <v>66</v>
      </c>
      <c r="AF120" s="105">
        <v>62</v>
      </c>
      <c r="AG120" s="118"/>
      <c r="AH120" s="47">
        <f t="shared" si="9"/>
        <v>78.2</v>
      </c>
      <c r="AI120" s="48">
        <f t="shared" si="10"/>
        <v>24.8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19">SUM(B122:B226)</f>
        <v>0</v>
      </c>
      <c r="C227" s="136">
        <f t="shared" si="19"/>
        <v>0</v>
      </c>
      <c r="D227" s="136">
        <f t="shared" si="19"/>
        <v>0</v>
      </c>
      <c r="E227" s="136">
        <f t="shared" si="19"/>
        <v>0</v>
      </c>
      <c r="F227" s="136">
        <f t="shared" si="19"/>
        <v>0</v>
      </c>
      <c r="G227" s="136">
        <f t="shared" si="19"/>
        <v>0</v>
      </c>
      <c r="H227" s="136">
        <f t="shared" si="19"/>
        <v>0</v>
      </c>
      <c r="I227" s="136">
        <f t="shared" si="19"/>
        <v>0</v>
      </c>
      <c r="J227" s="136">
        <f t="shared" si="19"/>
        <v>0</v>
      </c>
      <c r="K227" s="136">
        <f t="shared" si="19"/>
        <v>0</v>
      </c>
      <c r="L227" s="136">
        <f t="shared" si="19"/>
        <v>0</v>
      </c>
      <c r="M227" s="136">
        <f t="shared" si="19"/>
        <v>0</v>
      </c>
      <c r="N227" s="136">
        <f t="shared" si="19"/>
        <v>0</v>
      </c>
      <c r="O227" s="136">
        <f t="shared" si="19"/>
        <v>0</v>
      </c>
      <c r="P227" s="136">
        <f t="shared" si="19"/>
        <v>0</v>
      </c>
      <c r="Q227" s="136">
        <f t="shared" si="19"/>
        <v>0</v>
      </c>
      <c r="R227" s="136">
        <f t="shared" si="19"/>
        <v>0</v>
      </c>
      <c r="S227" s="136">
        <f t="shared" si="19"/>
        <v>0</v>
      </c>
      <c r="T227" s="136">
        <f t="shared" si="19"/>
        <v>0</v>
      </c>
      <c r="U227" s="136">
        <f t="shared" si="19"/>
        <v>0</v>
      </c>
      <c r="V227" s="136">
        <f t="shared" si="19"/>
        <v>0</v>
      </c>
      <c r="W227" s="136">
        <f t="shared" si="19"/>
        <v>0</v>
      </c>
      <c r="X227" s="136">
        <f t="shared" si="19"/>
        <v>0</v>
      </c>
      <c r="Y227" s="136">
        <f t="shared" si="19"/>
        <v>0</v>
      </c>
      <c r="Z227" s="136">
        <f t="shared" si="19"/>
        <v>0</v>
      </c>
      <c r="AA227" s="136">
        <f t="shared" si="19"/>
        <v>0</v>
      </c>
      <c r="AB227" s="136">
        <f t="shared" si="19"/>
        <v>0</v>
      </c>
      <c r="AC227" s="136">
        <f t="shared" si="19"/>
        <v>0</v>
      </c>
      <c r="AD227" s="136">
        <f t="shared" si="19"/>
        <v>0</v>
      </c>
      <c r="AE227" s="136">
        <f t="shared" si="19"/>
        <v>0</v>
      </c>
      <c r="AF227" s="137">
        <f t="shared" si="19"/>
        <v>0</v>
      </c>
      <c r="AG227" s="138">
        <f t="shared" si="19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20">AF229</f>
        <v>0</v>
      </c>
      <c r="C229" s="140">
        <v>0.3</v>
      </c>
      <c r="D229" s="140">
        <f t="shared" ref="D229:P234" si="21">C229</f>
        <v>0.3</v>
      </c>
      <c r="E229" s="140">
        <f t="shared" si="21"/>
        <v>0.3</v>
      </c>
      <c r="F229" s="140">
        <f t="shared" si="21"/>
        <v>0.3</v>
      </c>
      <c r="G229" s="140">
        <f t="shared" si="21"/>
        <v>0.3</v>
      </c>
      <c r="H229" s="140">
        <f t="shared" si="21"/>
        <v>0.3</v>
      </c>
      <c r="I229" s="140">
        <f t="shared" si="21"/>
        <v>0.3</v>
      </c>
      <c r="J229" s="140">
        <f t="shared" si="21"/>
        <v>0.3</v>
      </c>
      <c r="K229" s="140">
        <f t="shared" si="21"/>
        <v>0.3</v>
      </c>
      <c r="L229" s="140">
        <f t="shared" si="21"/>
        <v>0.3</v>
      </c>
      <c r="M229" s="140">
        <f t="shared" si="21"/>
        <v>0.3</v>
      </c>
      <c r="N229" s="140">
        <f t="shared" si="21"/>
        <v>0.3</v>
      </c>
      <c r="O229" s="140">
        <f t="shared" si="21"/>
        <v>0.3</v>
      </c>
      <c r="P229" s="140">
        <f t="shared" si="21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20"/>
        <v>0</v>
      </c>
      <c r="C230" s="128">
        <v>0.4</v>
      </c>
      <c r="D230" s="128">
        <f t="shared" si="21"/>
        <v>0.4</v>
      </c>
      <c r="E230" s="128">
        <f t="shared" si="21"/>
        <v>0.4</v>
      </c>
      <c r="F230" s="128">
        <f t="shared" si="21"/>
        <v>0.4</v>
      </c>
      <c r="G230" s="128">
        <f t="shared" si="21"/>
        <v>0.4</v>
      </c>
      <c r="H230" s="128">
        <f t="shared" si="21"/>
        <v>0.4</v>
      </c>
      <c r="I230" s="128">
        <f t="shared" si="21"/>
        <v>0.4</v>
      </c>
      <c r="J230" s="128">
        <f t="shared" si="21"/>
        <v>0.4</v>
      </c>
      <c r="K230" s="128">
        <f t="shared" si="21"/>
        <v>0.4</v>
      </c>
      <c r="L230" s="128">
        <f t="shared" si="21"/>
        <v>0.4</v>
      </c>
      <c r="M230" s="128">
        <f t="shared" si="21"/>
        <v>0.4</v>
      </c>
      <c r="N230" s="128">
        <f t="shared" si="21"/>
        <v>0.4</v>
      </c>
      <c r="O230" s="128">
        <f t="shared" si="21"/>
        <v>0.4</v>
      </c>
      <c r="P230" s="128">
        <f t="shared" si="21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20"/>
        <v>0</v>
      </c>
      <c r="C231" s="128">
        <v>1.5</v>
      </c>
      <c r="D231" s="128">
        <f t="shared" si="21"/>
        <v>1.5</v>
      </c>
      <c r="E231" s="128">
        <f t="shared" si="21"/>
        <v>1.5</v>
      </c>
      <c r="F231" s="128">
        <f t="shared" si="21"/>
        <v>1.5</v>
      </c>
      <c r="G231" s="128">
        <f t="shared" si="21"/>
        <v>1.5</v>
      </c>
      <c r="H231" s="128">
        <f t="shared" si="21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21"/>
        <v>123.21900000000009</v>
      </c>
      <c r="K231" s="128">
        <f t="shared" ca="1" si="21"/>
        <v>123.21900000000009</v>
      </c>
      <c r="L231" s="128">
        <f t="shared" ca="1" si="21"/>
        <v>123.21900000000009</v>
      </c>
      <c r="M231" s="128">
        <f t="shared" ca="1" si="21"/>
        <v>119.19900000000008</v>
      </c>
      <c r="N231" s="128">
        <f t="shared" ca="1" si="21"/>
        <v>119.19900000000008</v>
      </c>
      <c r="O231" s="128">
        <f t="shared" ca="1" si="21"/>
        <v>119.19900000000008</v>
      </c>
      <c r="P231" s="128">
        <f t="shared" ca="1" si="21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20"/>
        <v>0</v>
      </c>
      <c r="C232" s="128">
        <v>0.3</v>
      </c>
      <c r="D232" s="128">
        <f t="shared" si="21"/>
        <v>0.3</v>
      </c>
      <c r="E232" s="128">
        <f t="shared" si="21"/>
        <v>0.3</v>
      </c>
      <c r="F232" s="128">
        <f t="shared" si="21"/>
        <v>0.3</v>
      </c>
      <c r="G232" s="128">
        <f t="shared" si="21"/>
        <v>0.3</v>
      </c>
      <c r="H232" s="128">
        <f t="shared" si="21"/>
        <v>0.3</v>
      </c>
      <c r="I232" s="128">
        <f t="shared" si="21"/>
        <v>0.3</v>
      </c>
      <c r="J232" s="128">
        <f t="shared" si="21"/>
        <v>0.3</v>
      </c>
      <c r="K232" s="128">
        <f t="shared" si="21"/>
        <v>0.3</v>
      </c>
      <c r="L232" s="128">
        <f t="shared" si="21"/>
        <v>0.3</v>
      </c>
      <c r="M232" s="128">
        <f t="shared" si="21"/>
        <v>0.3</v>
      </c>
      <c r="N232" s="128">
        <f t="shared" si="21"/>
        <v>0.3</v>
      </c>
      <c r="O232" s="128">
        <f t="shared" si="21"/>
        <v>0.3</v>
      </c>
      <c r="P232" s="128">
        <f t="shared" si="21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20"/>
        <v>0</v>
      </c>
      <c r="C233" s="128">
        <v>0.4</v>
      </c>
      <c r="D233" s="128">
        <f t="shared" si="21"/>
        <v>0.4</v>
      </c>
      <c r="E233" s="128">
        <f t="shared" si="21"/>
        <v>0.4</v>
      </c>
      <c r="F233" s="128">
        <f t="shared" si="21"/>
        <v>0.4</v>
      </c>
      <c r="G233" s="128">
        <f t="shared" si="21"/>
        <v>0.4</v>
      </c>
      <c r="H233" s="128">
        <f t="shared" si="21"/>
        <v>0.4</v>
      </c>
      <c r="I233" s="128">
        <f t="shared" si="21"/>
        <v>0.4</v>
      </c>
      <c r="J233" s="128">
        <f t="shared" si="21"/>
        <v>0.4</v>
      </c>
      <c r="K233" s="128">
        <f t="shared" si="21"/>
        <v>0.4</v>
      </c>
      <c r="L233" s="128">
        <f t="shared" si="21"/>
        <v>0.4</v>
      </c>
      <c r="M233" s="128">
        <f t="shared" si="21"/>
        <v>0.4</v>
      </c>
      <c r="N233" s="128">
        <f t="shared" si="21"/>
        <v>0.4</v>
      </c>
      <c r="O233" s="128">
        <f t="shared" si="21"/>
        <v>0.4</v>
      </c>
      <c r="P233" s="128">
        <f t="shared" si="21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20"/>
        <v>0</v>
      </c>
      <c r="C234" s="132">
        <v>0.64</v>
      </c>
      <c r="D234" s="132">
        <f t="shared" si="21"/>
        <v>0.64</v>
      </c>
      <c r="E234" s="132">
        <f t="shared" si="21"/>
        <v>0.64</v>
      </c>
      <c r="F234" s="132">
        <f t="shared" si="21"/>
        <v>0.64</v>
      </c>
      <c r="G234" s="132">
        <f t="shared" si="21"/>
        <v>0.64</v>
      </c>
      <c r="H234" s="132">
        <f t="shared" si="21"/>
        <v>0.64</v>
      </c>
      <c r="I234" s="132">
        <f t="shared" si="21"/>
        <v>0.64</v>
      </c>
      <c r="J234" s="132">
        <f t="shared" si="21"/>
        <v>0.64</v>
      </c>
      <c r="K234" s="132">
        <f t="shared" si="21"/>
        <v>0.64</v>
      </c>
      <c r="L234" s="132">
        <f t="shared" si="21"/>
        <v>0.64</v>
      </c>
      <c r="M234" s="132">
        <f t="shared" si="21"/>
        <v>0.64</v>
      </c>
      <c r="N234" s="132">
        <f t="shared" si="21"/>
        <v>0.64</v>
      </c>
      <c r="O234" s="132">
        <f t="shared" si="21"/>
        <v>0.64</v>
      </c>
      <c r="P234" s="132">
        <f t="shared" si="21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22">SUM(B229:B234)</f>
        <v>0</v>
      </c>
      <c r="C235" s="136">
        <f t="shared" si="22"/>
        <v>3.54</v>
      </c>
      <c r="D235" s="136">
        <f t="shared" si="22"/>
        <v>3.54</v>
      </c>
      <c r="E235" s="136">
        <f t="shared" si="22"/>
        <v>3.54</v>
      </c>
      <c r="F235" s="136">
        <f t="shared" si="22"/>
        <v>3.54</v>
      </c>
      <c r="G235" s="136">
        <f t="shared" si="22"/>
        <v>3.54</v>
      </c>
      <c r="H235" s="136">
        <f t="shared" si="22"/>
        <v>3.54</v>
      </c>
      <c r="I235" s="136">
        <f t="shared" ca="1" si="22"/>
        <v>121.23900000000009</v>
      </c>
      <c r="J235" s="136">
        <f t="shared" ca="1" si="22"/>
        <v>121.23900000000009</v>
      </c>
      <c r="K235" s="136">
        <f t="shared" ca="1" si="22"/>
        <v>121.23900000000009</v>
      </c>
      <c r="L235" s="136">
        <f t="shared" ca="1" si="22"/>
        <v>125.2590000000001</v>
      </c>
      <c r="M235" s="136">
        <f t="shared" ca="1" si="22"/>
        <v>121.23900000000009</v>
      </c>
      <c r="N235" s="136">
        <f t="shared" ca="1" si="22"/>
        <v>121.23900000000009</v>
      </c>
      <c r="O235" s="136">
        <f t="shared" ca="1" si="22"/>
        <v>121.23900000000009</v>
      </c>
      <c r="P235" s="136">
        <f t="shared" ca="1" si="22"/>
        <v>121.23900000000009</v>
      </c>
      <c r="Q235" s="136">
        <f t="shared" si="22"/>
        <v>0</v>
      </c>
      <c r="R235" s="136">
        <f t="shared" si="22"/>
        <v>0</v>
      </c>
      <c r="S235" s="136">
        <f t="shared" si="22"/>
        <v>0</v>
      </c>
      <c r="T235" s="136">
        <f t="shared" si="22"/>
        <v>0</v>
      </c>
      <c r="U235" s="136">
        <f t="shared" si="22"/>
        <v>0</v>
      </c>
      <c r="V235" s="136">
        <f t="shared" si="22"/>
        <v>0</v>
      </c>
      <c r="W235" s="136">
        <f t="shared" si="22"/>
        <v>0</v>
      </c>
      <c r="X235" s="136">
        <f t="shared" si="22"/>
        <v>0</v>
      </c>
      <c r="Y235" s="136">
        <f t="shared" si="22"/>
        <v>0</v>
      </c>
      <c r="Z235" s="136">
        <f t="shared" si="22"/>
        <v>0</v>
      </c>
      <c r="AA235" s="136">
        <f t="shared" si="22"/>
        <v>0</v>
      </c>
      <c r="AB235" s="136">
        <f t="shared" si="22"/>
        <v>0</v>
      </c>
      <c r="AC235" s="136">
        <f t="shared" si="22"/>
        <v>0</v>
      </c>
      <c r="AD235" s="136">
        <f t="shared" si="22"/>
        <v>0</v>
      </c>
      <c r="AE235" s="136">
        <f t="shared" si="22"/>
        <v>0</v>
      </c>
      <c r="AF235" s="136">
        <f t="shared" si="22"/>
        <v>0</v>
      </c>
      <c r="AG235" s="145">
        <f t="shared" si="2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2030.7200000000003</v>
      </c>
      <c r="C244" s="161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15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2080/04/15)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2080/04/15)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23">B91</f>
        <v>2003.7200000000003</v>
      </c>
      <c r="U249" s="170">
        <f t="shared" si="23"/>
        <v>2000.9200000000003</v>
      </c>
      <c r="V249" s="170">
        <f t="shared" si="23"/>
        <v>1918.1200000000001</v>
      </c>
      <c r="W249" s="170">
        <f t="shared" si="23"/>
        <v>1925.8200000000002</v>
      </c>
      <c r="X249" s="170">
        <f t="shared" si="23"/>
        <v>1924.62</v>
      </c>
      <c r="Y249" s="170">
        <f t="shared" si="23"/>
        <v>1929.52</v>
      </c>
      <c r="Z249" s="170">
        <f t="shared" si="23"/>
        <v>1887.5200000000002</v>
      </c>
      <c r="AA249" s="170">
        <f t="shared" si="23"/>
        <v>1916.42</v>
      </c>
      <c r="AB249" s="170">
        <f t="shared" si="23"/>
        <v>2006.8200000000002</v>
      </c>
      <c r="AC249" s="170">
        <f t="shared" si="23"/>
        <v>2028.3200000000002</v>
      </c>
      <c r="AD249" s="170">
        <f t="shared" si="23"/>
        <v>2030.7200000000003</v>
      </c>
      <c r="AE249" s="170">
        <f t="shared" si="23"/>
        <v>1999.2200000000003</v>
      </c>
      <c r="AF249" s="170">
        <f t="shared" si="23"/>
        <v>2023.7200000000003</v>
      </c>
      <c r="AG249" s="170">
        <f t="shared" si="23"/>
        <v>2017.8200000000002</v>
      </c>
      <c r="AH249" s="170">
        <f t="shared" si="23"/>
        <v>2028.52</v>
      </c>
      <c r="AI249" s="170">
        <f t="shared" si="23"/>
        <v>2028.52</v>
      </c>
      <c r="AJ249" s="170">
        <f t="shared" si="23"/>
        <v>2050.7200000000003</v>
      </c>
      <c r="AK249" s="170">
        <f t="shared" si="23"/>
        <v>2039.2200000000003</v>
      </c>
      <c r="AL249" s="170">
        <f t="shared" si="23"/>
        <v>2048.92</v>
      </c>
      <c r="AM249" s="170">
        <f t="shared" si="23"/>
        <v>2023.52</v>
      </c>
      <c r="AN249" s="170">
        <f t="shared" si="23"/>
        <v>2024.42</v>
      </c>
      <c r="AO249" s="170">
        <f t="shared" si="23"/>
        <v>2019.0200000000002</v>
      </c>
      <c r="AP249" s="170">
        <f t="shared" si="23"/>
        <v>2012.6200000000001</v>
      </c>
      <c r="AQ249" s="170">
        <f t="shared" si="23"/>
        <v>2026.58</v>
      </c>
      <c r="AR249" s="170">
        <f t="shared" si="23"/>
        <v>2042.92</v>
      </c>
      <c r="AS249" s="170">
        <f t="shared" si="23"/>
        <v>2029.92</v>
      </c>
      <c r="AT249" s="170">
        <f t="shared" si="23"/>
        <v>1849.92</v>
      </c>
      <c r="AU249" s="170">
        <f t="shared" si="23"/>
        <v>2036.92</v>
      </c>
      <c r="AV249" s="170">
        <f t="shared" si="23"/>
        <v>2090.7200000000003</v>
      </c>
      <c r="AW249" s="170">
        <f t="shared" si="23"/>
        <v>2082.12</v>
      </c>
      <c r="AX249" s="170">
        <f t="shared" si="23"/>
        <v>1985.8200000000002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24">C234</f>
        <v>0.64</v>
      </c>
      <c r="C270" s="173">
        <f t="shared" si="24"/>
        <v>0.64</v>
      </c>
      <c r="D270" s="173">
        <f t="shared" si="24"/>
        <v>0.64</v>
      </c>
      <c r="E270" s="173">
        <f t="shared" si="24"/>
        <v>0.64</v>
      </c>
      <c r="F270" s="173">
        <f t="shared" si="24"/>
        <v>0.64</v>
      </c>
      <c r="G270" s="173">
        <f t="shared" si="24"/>
        <v>0.64</v>
      </c>
      <c r="H270" s="173">
        <f t="shared" si="24"/>
        <v>0.64</v>
      </c>
      <c r="I270" s="173">
        <f t="shared" si="24"/>
        <v>0.64</v>
      </c>
      <c r="J270" s="173">
        <f t="shared" si="24"/>
        <v>0.64</v>
      </c>
      <c r="K270" s="173">
        <f t="shared" si="24"/>
        <v>0.64</v>
      </c>
      <c r="L270" s="173">
        <f t="shared" si="24"/>
        <v>0.64</v>
      </c>
      <c r="M270" s="173">
        <f t="shared" si="24"/>
        <v>0.64</v>
      </c>
      <c r="N270" s="173">
        <f t="shared" si="24"/>
        <v>0.64</v>
      </c>
      <c r="O270" s="173">
        <f t="shared" si="24"/>
        <v>0.64</v>
      </c>
      <c r="P270" s="173">
        <f t="shared" si="24"/>
        <v>0</v>
      </c>
      <c r="Q270" s="173">
        <f t="shared" si="24"/>
        <v>0</v>
      </c>
      <c r="R270" s="173">
        <f t="shared" si="24"/>
        <v>0</v>
      </c>
      <c r="S270" s="173">
        <f t="shared" si="24"/>
        <v>0</v>
      </c>
      <c r="T270" s="173">
        <f t="shared" si="24"/>
        <v>0</v>
      </c>
      <c r="U270" s="173">
        <f t="shared" si="24"/>
        <v>0</v>
      </c>
      <c r="V270" s="173">
        <f t="shared" si="24"/>
        <v>0</v>
      </c>
      <c r="W270" s="173">
        <f t="shared" si="24"/>
        <v>0</v>
      </c>
      <c r="X270" s="173">
        <f t="shared" si="24"/>
        <v>0</v>
      </c>
      <c r="Y270" s="173">
        <f t="shared" si="24"/>
        <v>0</v>
      </c>
      <c r="Z270" s="173">
        <f t="shared" si="24"/>
        <v>0</v>
      </c>
      <c r="AA270" s="173">
        <f t="shared" si="24"/>
        <v>0</v>
      </c>
      <c r="AB270" s="173">
        <f t="shared" si="24"/>
        <v>0</v>
      </c>
      <c r="AC270" s="173">
        <f t="shared" si="24"/>
        <v>0</v>
      </c>
      <c r="AD270" s="173">
        <f t="shared" si="24"/>
        <v>0</v>
      </c>
      <c r="AE270" s="173">
        <f t="shared" si="24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5">IF(B238&lt;100,"",B238-520)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6">IF(B239&lt;100,"",B239-620)</f>
        <v/>
      </c>
      <c r="C272" s="174" t="str">
        <f t="shared" si="26"/>
        <v/>
      </c>
      <c r="D272" s="174" t="str">
        <f t="shared" si="26"/>
        <v/>
      </c>
      <c r="E272" s="174" t="str">
        <f t="shared" si="26"/>
        <v/>
      </c>
      <c r="F272" s="174" t="str">
        <f t="shared" si="26"/>
        <v/>
      </c>
      <c r="G272" s="174" t="str">
        <f t="shared" si="26"/>
        <v/>
      </c>
      <c r="H272" s="174" t="str">
        <f t="shared" si="26"/>
        <v/>
      </c>
      <c r="I272" s="174" t="str">
        <f t="shared" si="26"/>
        <v/>
      </c>
      <c r="J272" s="174" t="str">
        <f t="shared" si="26"/>
        <v/>
      </c>
      <c r="K272" s="174" t="str">
        <f t="shared" si="26"/>
        <v/>
      </c>
      <c r="L272" s="174" t="str">
        <f t="shared" si="26"/>
        <v/>
      </c>
      <c r="M272" s="174" t="str">
        <f t="shared" si="26"/>
        <v/>
      </c>
      <c r="N272" s="174" t="str">
        <f t="shared" si="26"/>
        <v/>
      </c>
      <c r="O272" s="174" t="str">
        <f t="shared" si="26"/>
        <v/>
      </c>
      <c r="P272" s="174" t="str">
        <f t="shared" si="26"/>
        <v/>
      </c>
      <c r="Q272" s="174" t="str">
        <f t="shared" si="26"/>
        <v/>
      </c>
      <c r="R272" s="174" t="str">
        <f t="shared" si="26"/>
        <v/>
      </c>
      <c r="S272" s="174" t="str">
        <f t="shared" si="26"/>
        <v/>
      </c>
      <c r="T272" s="174" t="str">
        <f t="shared" si="26"/>
        <v/>
      </c>
      <c r="U272" s="174" t="str">
        <f t="shared" si="26"/>
        <v/>
      </c>
      <c r="V272" s="174" t="str">
        <f t="shared" si="26"/>
        <v/>
      </c>
      <c r="W272" s="174" t="str">
        <f t="shared" si="26"/>
        <v/>
      </c>
      <c r="X272" s="174" t="str">
        <f t="shared" si="26"/>
        <v/>
      </c>
      <c r="Y272" s="174" t="str">
        <f t="shared" si="26"/>
        <v/>
      </c>
      <c r="Z272" s="174" t="str">
        <f t="shared" si="26"/>
        <v/>
      </c>
      <c r="AA272" s="174" t="str">
        <f t="shared" si="26"/>
        <v/>
      </c>
      <c r="AB272" s="174" t="str">
        <f t="shared" si="26"/>
        <v/>
      </c>
      <c r="AC272" s="174" t="str">
        <f t="shared" si="26"/>
        <v/>
      </c>
      <c r="AD272" s="174" t="str">
        <f t="shared" si="26"/>
        <v/>
      </c>
      <c r="AE272" s="174" t="str">
        <f t="shared" si="26"/>
        <v/>
      </c>
      <c r="AF272" s="174" t="str">
        <f t="shared" si="26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7">IF(B240&lt;100,"",B240-330)</f>
        <v/>
      </c>
      <c r="C273" s="174" t="str">
        <f t="shared" si="27"/>
        <v/>
      </c>
      <c r="D273" s="174" t="str">
        <f t="shared" si="27"/>
        <v/>
      </c>
      <c r="E273" s="174" t="str">
        <f t="shared" si="27"/>
        <v/>
      </c>
      <c r="F273" s="174" t="str">
        <f t="shared" si="27"/>
        <v/>
      </c>
      <c r="G273" s="174" t="str">
        <f t="shared" si="27"/>
        <v/>
      </c>
      <c r="H273" s="174" t="str">
        <f t="shared" si="27"/>
        <v/>
      </c>
      <c r="I273" s="174" t="str">
        <f t="shared" si="27"/>
        <v/>
      </c>
      <c r="J273" s="174" t="str">
        <f t="shared" si="27"/>
        <v/>
      </c>
      <c r="K273" s="174" t="str">
        <f t="shared" si="27"/>
        <v/>
      </c>
      <c r="L273" s="174" t="str">
        <f t="shared" si="27"/>
        <v/>
      </c>
      <c r="M273" s="174" t="str">
        <f t="shared" si="27"/>
        <v/>
      </c>
      <c r="N273" s="174" t="str">
        <f t="shared" si="27"/>
        <v/>
      </c>
      <c r="O273" s="174" t="str">
        <f t="shared" si="27"/>
        <v/>
      </c>
      <c r="P273" s="174" t="str">
        <f t="shared" si="27"/>
        <v/>
      </c>
      <c r="Q273" s="174" t="str">
        <f t="shared" si="27"/>
        <v/>
      </c>
      <c r="R273" s="174" t="str">
        <f t="shared" si="27"/>
        <v/>
      </c>
      <c r="S273" s="174" t="str">
        <f t="shared" si="27"/>
        <v/>
      </c>
      <c r="T273" s="174" t="str">
        <f t="shared" si="27"/>
        <v/>
      </c>
      <c r="U273" s="174" t="str">
        <f t="shared" si="27"/>
        <v/>
      </c>
      <c r="V273" s="174" t="str">
        <f t="shared" si="27"/>
        <v/>
      </c>
      <c r="W273" s="174" t="str">
        <f t="shared" si="27"/>
        <v/>
      </c>
      <c r="X273" s="174" t="str">
        <f t="shared" si="27"/>
        <v/>
      </c>
      <c r="Y273" s="174" t="str">
        <f t="shared" si="27"/>
        <v/>
      </c>
      <c r="Z273" s="174" t="str">
        <f t="shared" si="27"/>
        <v/>
      </c>
      <c r="AA273" s="174" t="str">
        <f t="shared" si="27"/>
        <v/>
      </c>
      <c r="AB273" s="174" t="str">
        <f t="shared" si="27"/>
        <v/>
      </c>
      <c r="AC273" s="174" t="str">
        <f t="shared" si="27"/>
        <v/>
      </c>
      <c r="AD273" s="174" t="str">
        <f t="shared" si="27"/>
        <v/>
      </c>
      <c r="AE273" s="174" t="str">
        <f t="shared" si="27"/>
        <v/>
      </c>
      <c r="AF273" s="174" t="str">
        <f t="shared" si="27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8">IF(B241&lt;100,"",B241-1500)</f>
        <v/>
      </c>
      <c r="C274" s="174" t="str">
        <f t="shared" si="28"/>
        <v/>
      </c>
      <c r="D274" s="174" t="str">
        <f t="shared" si="28"/>
        <v/>
      </c>
      <c r="E274" s="174" t="str">
        <f t="shared" si="28"/>
        <v/>
      </c>
      <c r="F274" s="174" t="str">
        <f t="shared" si="28"/>
        <v/>
      </c>
      <c r="G274" s="174" t="str">
        <f t="shared" si="28"/>
        <v/>
      </c>
      <c r="H274" s="174" t="str">
        <f t="shared" si="28"/>
        <v/>
      </c>
      <c r="I274" s="174" t="str">
        <f t="shared" si="28"/>
        <v/>
      </c>
      <c r="J274" s="174" t="str">
        <f t="shared" si="28"/>
        <v/>
      </c>
      <c r="K274" s="174" t="str">
        <f t="shared" si="28"/>
        <v/>
      </c>
      <c r="L274" s="174" t="str">
        <f t="shared" si="28"/>
        <v/>
      </c>
      <c r="M274" s="174" t="str">
        <f t="shared" si="28"/>
        <v/>
      </c>
      <c r="N274" s="174" t="str">
        <f t="shared" si="28"/>
        <v/>
      </c>
      <c r="O274" s="174" t="str">
        <f t="shared" si="28"/>
        <v/>
      </c>
      <c r="P274" s="174" t="str">
        <f t="shared" si="28"/>
        <v/>
      </c>
      <c r="Q274" s="174" t="str">
        <f t="shared" si="28"/>
        <v/>
      </c>
      <c r="R274" s="174" t="str">
        <f t="shared" si="28"/>
        <v/>
      </c>
      <c r="S274" s="174" t="str">
        <f t="shared" si="28"/>
        <v/>
      </c>
      <c r="T274" s="174" t="str">
        <f t="shared" si="28"/>
        <v/>
      </c>
      <c r="U274" s="174" t="str">
        <f t="shared" si="28"/>
        <v/>
      </c>
      <c r="V274" s="174" t="str">
        <f t="shared" si="28"/>
        <v/>
      </c>
      <c r="W274" s="174" t="str">
        <f t="shared" si="28"/>
        <v/>
      </c>
      <c r="X274" s="174" t="str">
        <f t="shared" si="28"/>
        <v/>
      </c>
      <c r="Y274" s="174" t="str">
        <f t="shared" si="28"/>
        <v/>
      </c>
      <c r="Z274" s="174" t="str">
        <f t="shared" si="28"/>
        <v/>
      </c>
      <c r="AA274" s="174" t="str">
        <f t="shared" si="28"/>
        <v/>
      </c>
      <c r="AB274" s="174" t="str">
        <f t="shared" si="28"/>
        <v/>
      </c>
      <c r="AC274" s="174" t="str">
        <f t="shared" si="28"/>
        <v/>
      </c>
      <c r="AD274" s="174" t="str">
        <f t="shared" si="28"/>
        <v/>
      </c>
      <c r="AE274" s="174" t="str">
        <f t="shared" si="28"/>
        <v/>
      </c>
      <c r="AF274" s="174" t="str">
        <f t="shared" si="28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1399" priority="64">
      <formula>$AH11=0</formula>
    </cfRule>
  </conditionalFormatting>
  <conditionalFormatting sqref="B8 M8 S8 AB8">
    <cfRule type="expression" dxfId="1398" priority="117">
      <formula>C$9&lt;8/24</formula>
    </cfRule>
    <cfRule type="expression" dxfId="1397" priority="116">
      <formula>AND(C$9&gt;=8/24,C$9&lt;14/24)</formula>
    </cfRule>
    <cfRule type="expression" dxfId="1396" priority="115">
      <formula>AND(C$9&gt;=14/24,C$9&lt;20/24)</formula>
    </cfRule>
  </conditionalFormatting>
  <conditionalFormatting sqref="B54:C54">
    <cfRule type="expression" dxfId="1395" priority="38">
      <formula>B$9&gt;=20/24</formula>
    </cfRule>
    <cfRule type="expression" dxfId="1394" priority="39">
      <formula>AND(B$9&gt;=14/24,B$9&lt;20/24)</formula>
    </cfRule>
    <cfRule type="expression" dxfId="1393" priority="40">
      <formula>AND(B$9&gt;=8/24,B$9&lt;14/24)</formula>
    </cfRule>
    <cfRule type="expression" dxfId="1392" priority="41">
      <formula>B$9&lt;8/24</formula>
    </cfRule>
  </conditionalFormatting>
  <conditionalFormatting sqref="B54:C66 H61:L66">
    <cfRule type="expression" dxfId="1391" priority="33">
      <formula>B54&gt;$AG54</formula>
    </cfRule>
  </conditionalFormatting>
  <conditionalFormatting sqref="B55:D59">
    <cfRule type="expression" dxfId="1390" priority="63">
      <formula>B$9&lt;8/24</formula>
    </cfRule>
    <cfRule type="expression" dxfId="1389" priority="62">
      <formula>AND(B$9&gt;=8/24,B$9&lt;14/24)</formula>
    </cfRule>
    <cfRule type="expression" dxfId="1388" priority="61">
      <formula>AND(B$9&gt;=14/24,B$9&lt;20/24)</formula>
    </cfRule>
    <cfRule type="expression" dxfId="1387" priority="60">
      <formula>B$9&gt;=20/24</formula>
    </cfRule>
  </conditionalFormatting>
  <conditionalFormatting sqref="B60:R60">
    <cfRule type="expression" dxfId="1386" priority="52">
      <formula>AND(B$9&gt;=14/24,B$9&lt;20/24)</formula>
    </cfRule>
    <cfRule type="expression" dxfId="1385" priority="51">
      <formula>B$9&gt;=20/24</formula>
    </cfRule>
    <cfRule type="expression" dxfId="1384" priority="54">
      <formula>B$9&lt;8/24</formula>
    </cfRule>
    <cfRule type="expression" dxfId="1383" priority="53">
      <formula>AND(B$9&gt;=8/24,B$9&lt;14/24)</formula>
    </cfRule>
  </conditionalFormatting>
  <conditionalFormatting sqref="B9:AF45">
    <cfRule type="expression" dxfId="1382" priority="23">
      <formula>B$9&gt;=20/24</formula>
    </cfRule>
    <cfRule type="expression" dxfId="1381" priority="24">
      <formula>AND(B$9&gt;=14/24,B$9&lt;20/24)</formula>
    </cfRule>
    <cfRule type="expression" dxfId="1380" priority="25">
      <formula>AND(B$9&gt;=8/24,B$9&lt;14/24)</formula>
    </cfRule>
    <cfRule type="expression" dxfId="1379" priority="26">
      <formula>B$9&lt;8/24</formula>
    </cfRule>
  </conditionalFormatting>
  <conditionalFormatting sqref="B11:AF46">
    <cfRule type="expression" dxfId="1378" priority="22">
      <formula>B11&gt;$AG11</formula>
    </cfRule>
  </conditionalFormatting>
  <conditionalFormatting sqref="B46:AF46">
    <cfRule type="expression" dxfId="1377" priority="21">
      <formula>B$9&lt;8/24</formula>
    </cfRule>
    <cfRule type="expression" dxfId="1376" priority="18">
      <formula>B$9&gt;=20/24</formula>
    </cfRule>
    <cfRule type="expression" dxfId="1375" priority="19">
      <formula>AND(B$9&gt;=14/24,B$9&lt;20/24)</formula>
    </cfRule>
    <cfRule type="expression" dxfId="1374" priority="20">
      <formula>AND(B$9&gt;=8/24,B$9&lt;14/24)</formula>
    </cfRule>
  </conditionalFormatting>
  <conditionalFormatting sqref="B47:AF47">
    <cfRule type="expression" dxfId="1373" priority="32">
      <formula>B47&gt;$AG47</formula>
    </cfRule>
  </conditionalFormatting>
  <conditionalFormatting sqref="B47:AF49">
    <cfRule type="expression" dxfId="1372" priority="31">
      <formula>B$9&lt;8/24</formula>
    </cfRule>
    <cfRule type="expression" dxfId="1371" priority="30">
      <formula>AND(B$9&gt;=8/24,B$9&lt;14/24)</formula>
    </cfRule>
    <cfRule type="expression" dxfId="1370" priority="29">
      <formula>AND(B$9&gt;=14/24,B$9&lt;20/24)</formula>
    </cfRule>
    <cfRule type="expression" dxfId="1369" priority="28">
      <formula>B$9&gt;=20/24</formula>
    </cfRule>
  </conditionalFormatting>
  <conditionalFormatting sqref="B48:AF53">
    <cfRule type="expression" dxfId="1368" priority="27">
      <formula>B48&gt;$AG48</formula>
    </cfRule>
  </conditionalFormatting>
  <conditionalFormatting sqref="B51:AF53">
    <cfRule type="expression" dxfId="1367" priority="48">
      <formula>AND(B$9&gt;=14/24,B$9&lt;20/24)</formula>
    </cfRule>
    <cfRule type="expression" dxfId="1366" priority="49">
      <formula>AND(B$9&gt;=8/24,B$9&lt;14/24)</formula>
    </cfRule>
    <cfRule type="expression" dxfId="1365" priority="50">
      <formula>B$9&lt;8/24</formula>
    </cfRule>
    <cfRule type="expression" dxfId="1364" priority="47">
      <formula>B$9&gt;=20/24</formula>
    </cfRule>
  </conditionalFormatting>
  <conditionalFormatting sqref="B61:AF66">
    <cfRule type="expression" dxfId="1363" priority="35">
      <formula>AND(B$9&gt;=14/24,B$9&lt;20/24)</formula>
    </cfRule>
    <cfRule type="expression" dxfId="1362" priority="36">
      <formula>AND(B$9&gt;=8/24,B$9&lt;14/24)</formula>
    </cfRule>
    <cfRule type="expression" dxfId="1361" priority="37">
      <formula>B$9&lt;8/24</formula>
    </cfRule>
    <cfRule type="expression" dxfId="1360" priority="34">
      <formula>B$9&gt;=20/24</formula>
    </cfRule>
  </conditionalFormatting>
  <conditionalFormatting sqref="B69:AF71">
    <cfRule type="expression" dxfId="1359" priority="58">
      <formula>AND(B$9&gt;=8/24,B$9&lt;14/24)</formula>
    </cfRule>
    <cfRule type="expression" dxfId="1358" priority="59">
      <formula>B$9&lt;8/24</formula>
    </cfRule>
    <cfRule type="expression" dxfId="1357" priority="55">
      <formula>B69&gt;$AG69</formula>
    </cfRule>
    <cfRule type="expression" dxfId="1356" priority="56">
      <formula>B$9&gt;=20/24</formula>
    </cfRule>
    <cfRule type="expression" dxfId="1355" priority="57">
      <formula>AND(B$9&gt;=14/24,B$9&lt;20/24)</formula>
    </cfRule>
  </conditionalFormatting>
  <conditionalFormatting sqref="B73:AF91">
    <cfRule type="expression" dxfId="1354" priority="2">
      <formula>AND(B$9&gt;=14/24,B$9&lt;20/24)</formula>
    </cfRule>
    <cfRule type="expression" dxfId="1353" priority="4">
      <formula>B$9&lt;8/24</formula>
    </cfRule>
    <cfRule type="expression" dxfId="1352" priority="3">
      <formula>AND(B$9&gt;=8/24,B$9&lt;14/24)</formula>
    </cfRule>
    <cfRule type="expression" dxfId="1351" priority="1">
      <formula>B$9&gt;=20/24</formula>
    </cfRule>
  </conditionalFormatting>
  <conditionalFormatting sqref="B111:AF120">
    <cfRule type="expression" dxfId="1350" priority="17">
      <formula>B$9&lt;8/24</formula>
    </cfRule>
    <cfRule type="expression" dxfId="1349" priority="16">
      <formula>AND(B$9&gt;=8/24,B$9&lt;14/24)</formula>
    </cfRule>
    <cfRule type="expression" dxfId="1348" priority="15">
      <formula>AND(B$9&gt;=14/24,B$9&lt;20/24)</formula>
    </cfRule>
    <cfRule type="expression" dxfId="1347" priority="14">
      <formula>B$9&gt;=20/24</formula>
    </cfRule>
  </conditionalFormatting>
  <conditionalFormatting sqref="B227:AF227 D229:AF230 B229:B235 D231:H231 J231:AF231 D232:AF235 U248:AF248">
    <cfRule type="expression" dxfId="1346" priority="108">
      <formula>B$9&gt;=20/24</formula>
    </cfRule>
    <cfRule type="expression" dxfId="1345" priority="110">
      <formula>AND(B$9&gt;=8/24,B$9&lt;14/24)</formula>
    </cfRule>
    <cfRule type="expression" dxfId="1344" priority="111">
      <formula>B$9&lt;8/24</formula>
    </cfRule>
    <cfRule type="expression" dxfId="1343" priority="109">
      <formula>AND(B$9&gt;=14/24,B$9&lt;20/24)</formula>
    </cfRule>
  </conditionalFormatting>
  <conditionalFormatting sqref="B67:AG68 B72:AG72">
    <cfRule type="expression" dxfId="1342" priority="42">
      <formula>B67&gt;$AG67</formula>
    </cfRule>
  </conditionalFormatting>
  <conditionalFormatting sqref="B72:AG72 B93:AF109">
    <cfRule type="expression" dxfId="1341" priority="46">
      <formula>B$9&lt;8/24</formula>
    </cfRule>
    <cfRule type="expression" dxfId="1340" priority="45">
      <formula>AND(B$9&gt;=8/24,B$9&lt;14/24)</formula>
    </cfRule>
    <cfRule type="expression" dxfId="1339" priority="44">
      <formula>AND(B$9&gt;=14/24,B$9&lt;20/24)</formula>
    </cfRule>
    <cfRule type="expression" dxfId="1338" priority="43">
      <formula>B$9&gt;=20/24</formula>
    </cfRule>
  </conditionalFormatting>
  <conditionalFormatting sqref="D55:AF66">
    <cfRule type="expression" dxfId="1337" priority="5">
      <formula>D55&gt;$AG55</formula>
    </cfRule>
  </conditionalFormatting>
  <conditionalFormatting sqref="D54:AG54">
    <cfRule type="expression" dxfId="1336" priority="78">
      <formula>AND(D$9&gt;=14/24,D$9&lt;20/24)</formula>
    </cfRule>
    <cfRule type="expression" dxfId="1335" priority="77">
      <formula>D$9&gt;=20/24</formula>
    </cfRule>
    <cfRule type="expression" dxfId="1334" priority="76">
      <formula>D54&gt;$AG54</formula>
    </cfRule>
    <cfRule type="expression" dxfId="1333" priority="79">
      <formula>AND(D$9&gt;=8/24,D$9&lt;14/24)</formula>
    </cfRule>
    <cfRule type="expression" dxfId="1332" priority="80">
      <formula>D$9&lt;8/24</formula>
    </cfRule>
  </conditionalFormatting>
  <conditionalFormatting sqref="E55:L57">
    <cfRule type="expression" dxfId="1331" priority="89">
      <formula>E$9&gt;=20/24</formula>
    </cfRule>
    <cfRule type="expression" dxfId="1330" priority="90">
      <formula>AND(E$9&gt;=14/24,E$9&lt;20/24)</formula>
    </cfRule>
    <cfRule type="expression" dxfId="1329" priority="91">
      <formula>AND(E$9&gt;=8/24,E$9&lt;14/24)</formula>
    </cfRule>
    <cfRule type="expression" dxfId="1328" priority="92">
      <formula>E$9&lt;8/24</formula>
    </cfRule>
  </conditionalFormatting>
  <conditionalFormatting sqref="M55:R59">
    <cfRule type="expression" dxfId="1327" priority="93">
      <formula>M$9&gt;=20/24</formula>
    </cfRule>
    <cfRule type="expression" dxfId="1326" priority="95">
      <formula>AND(M$9&gt;=8/24,M$9&lt;14/24)</formula>
    </cfRule>
    <cfRule type="expression" dxfId="1325" priority="96">
      <formula>M$9&lt;8/24</formula>
    </cfRule>
    <cfRule type="expression" dxfId="1324" priority="94">
      <formula>AND(M$9&gt;=14/24,M$9&lt;20/24)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323" priority="114">
      <formula>C$9&gt;=20/24</formula>
    </cfRule>
  </conditionalFormatting>
  <conditionalFormatting sqref="S8">
    <cfRule type="expression" dxfId="1322" priority="102">
      <formula>AND(U$9&gt;=14/24,U$9&lt;20/24)</formula>
    </cfRule>
    <cfRule type="expression" dxfId="1321" priority="101">
      <formula>U$9&gt;=20/24</formula>
    </cfRule>
    <cfRule type="expression" dxfId="1320" priority="103">
      <formula>AND(U$9&gt;=8/24,U$9&lt;14/24)</formula>
    </cfRule>
    <cfRule type="expression" dxfId="1319" priority="104">
      <formula>U$9&lt;8/24</formula>
    </cfRule>
  </conditionalFormatting>
  <conditionalFormatting sqref="S55:AF60">
    <cfRule type="expression" dxfId="1318" priority="10">
      <formula>S$9&gt;=20/24</formula>
    </cfRule>
    <cfRule type="expression" dxfId="1317" priority="12">
      <formula>AND(S$9&gt;=8/24,S$9&lt;14/24)</formula>
    </cfRule>
    <cfRule type="expression" dxfId="1316" priority="13">
      <formula>S$9&lt;8/24</formula>
    </cfRule>
    <cfRule type="expression" dxfId="1315" priority="11">
      <formula>AND(S$9&gt;=14/24,S$9&lt;20/24)</formula>
    </cfRule>
  </conditionalFormatting>
  <conditionalFormatting sqref="T248">
    <cfRule type="expression" dxfId="1314" priority="129">
      <formula>AX$9&lt;8/24</formula>
    </cfRule>
    <cfRule type="expression" dxfId="1313" priority="126">
      <formula>AX$9&gt;=20/24</formula>
    </cfRule>
    <cfRule type="expression" dxfId="1312" priority="127">
      <formula>AND(AX$9&gt;=14/24,AX$9&lt;20/24)</formula>
    </cfRule>
    <cfRule type="expression" dxfId="1311" priority="128">
      <formula>AND(AX$9&gt;=8/24,AX$9&lt;14/24)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310" priority="97">
      <formula>AD$9&gt;=20/24</formula>
    </cfRule>
    <cfRule type="expression" dxfId="1309" priority="99">
      <formula>AND(AD$9&gt;=8/24,AD$9&lt;14/24)</formula>
    </cfRule>
    <cfRule type="expression" dxfId="1308" priority="98">
      <formula>AND(AD$9&gt;=14/24,AD$9&lt;20/24)</formula>
    </cfRule>
    <cfRule type="expression" dxfId="1307" priority="100">
      <formula>AD$9&lt;8/24</formula>
    </cfRule>
  </conditionalFormatting>
  <conditionalFormatting sqref="AE61:AF66">
    <cfRule type="expression" dxfId="1306" priority="9">
      <formula>AE$9&lt;8/24</formula>
    </cfRule>
    <cfRule type="expression" dxfId="1305" priority="8">
      <formula>AND(AE$9&gt;=8/24,AE$9&lt;14/24)</formula>
    </cfRule>
    <cfRule type="expression" dxfId="1304" priority="7">
      <formula>AND(AE$9&gt;=14/24,AE$9&lt;20/24)</formula>
    </cfRule>
    <cfRule type="expression" dxfId="1303" priority="6">
      <formula>AE$9&gt;=20/24</formula>
    </cfRule>
  </conditionalFormatting>
  <conditionalFormatting sqref="AG50">
    <cfRule type="expression" dxfId="1302" priority="84">
      <formula>AG50&gt;$AG50</formula>
    </cfRule>
  </conditionalFormatting>
  <conditionalFormatting sqref="AG89">
    <cfRule type="expression" dxfId="1301" priority="85">
      <formula>AG$9&gt;=20/24</formula>
    </cfRule>
    <cfRule type="expression" dxfId="1300" priority="86">
      <formula>AND(AG$9&gt;=14/24,AG$9&lt;20/24)</formula>
    </cfRule>
    <cfRule type="expression" dxfId="1299" priority="87">
      <formula>AND(AG$9&gt;=8/24,AG$9&lt;14/24)</formula>
    </cfRule>
    <cfRule type="expression" dxfId="1298" priority="88">
      <formula>AG$9&lt;8/24</formula>
    </cfRule>
  </conditionalFormatting>
  <conditionalFormatting sqref="AG248">
    <cfRule type="expression" dxfId="1297" priority="118">
      <formula>B$9&gt;=20/24</formula>
    </cfRule>
    <cfRule type="expression" dxfId="1296" priority="121">
      <formula>B$9&lt;8/24</formula>
    </cfRule>
    <cfRule type="expression" dxfId="1295" priority="120">
      <formula>AND(B$9&gt;=8/24,B$9&lt;14/24)</formula>
    </cfRule>
    <cfRule type="expression" dxfId="1294" priority="119">
      <formula>AND(B$9&gt;=14/24,B$9&lt;20/24)</formula>
    </cfRule>
  </conditionalFormatting>
  <conditionalFormatting sqref="AH248:AX248">
    <cfRule type="expression" dxfId="1293" priority="125">
      <formula>AG$9&lt;8/24</formula>
    </cfRule>
    <cfRule type="expression" dxfId="1292" priority="124">
      <formula>AND(AG$9&gt;=8/24,AG$9&lt;14/24)</formula>
    </cfRule>
    <cfRule type="expression" dxfId="1291" priority="123">
      <formula>AND(AG$9&gt;=14/24,AG$9&lt;20/24)</formula>
    </cfRule>
    <cfRule type="expression" dxfId="1290" priority="122">
      <formula>AG$9&gt;=20/24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289" priority="131">
      <formula>AJ$9&gt;=20/24</formula>
    </cfRule>
    <cfRule type="expression" dxfId="1288" priority="132">
      <formula>AND(AJ$9&gt;=14/24,AJ$9&lt;20/24)</formula>
    </cfRule>
    <cfRule type="expression" dxfId="1287" priority="133">
      <formula>AND(AJ$9&gt;=8/24,AJ$9&lt;14/24)</formula>
    </cfRule>
    <cfRule type="expression" dxfId="1286" priority="134">
      <formula>AJ$9&lt;8/24</formula>
    </cfRule>
  </conditionalFormatting>
  <conditionalFormatting sqref="AL80:AN80 AL86:AN86">
    <cfRule type="expression" dxfId="1285" priority="75">
      <formula>AL$9&lt;8/24</formula>
    </cfRule>
    <cfRule type="expression" dxfId="1284" priority="74">
      <formula>AND(AL$9&gt;=8/24,AL$9&lt;14/24)</formula>
    </cfRule>
    <cfRule type="expression" dxfId="1283" priority="73">
      <formula>AND(AL$9&gt;=14/24,AL$9&lt;20/24)</formula>
    </cfRule>
    <cfRule type="expression" dxfId="1282" priority="72">
      <formula>AL$9&gt;=20/24</formula>
    </cfRule>
  </conditionalFormatting>
  <conditionalFormatting sqref="AN81:AN84">
    <cfRule type="expression" dxfId="1281" priority="71">
      <formula>AN$9&lt;8/24</formula>
    </cfRule>
    <cfRule type="expression" dxfId="1280" priority="69">
      <formula>AND(AN$9&gt;=14/24,AN$9&lt;20/24)</formula>
    </cfRule>
    <cfRule type="expression" dxfId="1279" priority="70">
      <formula>AND(AN$9&gt;=8/24,AN$9&lt;14/24)</formula>
    </cfRule>
    <cfRule type="expression" dxfId="1278" priority="68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36A0-54D9-445E-9B9C-5D30FCBA1E3E}">
  <dimension ref="A1:CJ281"/>
  <sheetViews>
    <sheetView zoomScaleNormal="100" workbookViewId="0">
      <pane xSplit="1" ySplit="10" topLeftCell="B70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I26" sqref="I2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2080/04/16</v>
      </c>
      <c r="C4" s="203"/>
      <c r="D4" s="203"/>
      <c r="E4" s="204" t="str">
        <f ca="1">"2079/"&amp;"12/"&amp;INT(MID(CELL("filename",G6),FIND("]",CELL("filename",G6))+1,200))</f>
        <v>2079/12/16</v>
      </c>
      <c r="F4" s="204"/>
      <c r="G4" s="204"/>
      <c r="H4" s="204" t="str">
        <f ca="1">TEXT(E4,"dddd")</f>
        <v>Saturday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21.7</v>
      </c>
      <c r="C5" s="30">
        <f t="shared" si="0"/>
        <v>17</v>
      </c>
      <c r="D5" s="30">
        <f t="shared" si="0"/>
        <v>61.5</v>
      </c>
      <c r="E5" s="30">
        <f t="shared" si="0"/>
        <v>34</v>
      </c>
      <c r="F5" s="30">
        <f t="shared" si="0"/>
        <v>36.299999999999997</v>
      </c>
      <c r="G5" s="30">
        <f t="shared" si="0"/>
        <v>34</v>
      </c>
      <c r="H5" s="30">
        <f t="shared" si="0"/>
        <v>19.399999999999999</v>
      </c>
      <c r="I5" s="30">
        <f t="shared" si="0"/>
        <v>19.399999999999999</v>
      </c>
      <c r="J5" s="30">
        <f t="shared" si="0"/>
        <v>30.4</v>
      </c>
      <c r="K5" s="30">
        <f t="shared" si="0"/>
        <v>28.9</v>
      </c>
      <c r="L5" s="30">
        <f t="shared" si="0"/>
        <v>45.8</v>
      </c>
      <c r="M5" s="30">
        <f t="shared" si="0"/>
        <v>25.9</v>
      </c>
      <c r="N5" s="30">
        <f t="shared" si="0"/>
        <v>12.9</v>
      </c>
      <c r="O5" s="30">
        <f t="shared" si="0"/>
        <v>5</v>
      </c>
      <c r="P5" s="30">
        <f t="shared" si="0"/>
        <v>5</v>
      </c>
      <c r="Q5" s="30">
        <f t="shared" si="0"/>
        <v>5</v>
      </c>
      <c r="R5" s="30">
        <f t="shared" si="0"/>
        <v>32.1</v>
      </c>
      <c r="S5" s="30">
        <f t="shared" si="0"/>
        <v>32.1</v>
      </c>
      <c r="T5" s="30">
        <f t="shared" si="0"/>
        <v>5</v>
      </c>
      <c r="U5" s="30">
        <f t="shared" si="0"/>
        <v>5</v>
      </c>
      <c r="V5" s="30">
        <f t="shared" si="0"/>
        <v>5</v>
      </c>
      <c r="W5" s="30">
        <f t="shared" si="0"/>
        <v>5</v>
      </c>
      <c r="X5" s="30">
        <f t="shared" si="0"/>
        <v>11</v>
      </c>
      <c r="Y5" s="30">
        <f t="shared" si="0"/>
        <v>16.100000000000001</v>
      </c>
      <c r="Z5" s="30">
        <f t="shared" si="0"/>
        <v>18.2</v>
      </c>
      <c r="AA5" s="30">
        <f t="shared" si="0"/>
        <v>44.6</v>
      </c>
      <c r="AB5" s="30">
        <f t="shared" si="0"/>
        <v>27.7</v>
      </c>
      <c r="AC5" s="30">
        <f t="shared" si="0"/>
        <v>24.5</v>
      </c>
      <c r="AD5" s="30">
        <f t="shared" si="0"/>
        <v>27.6</v>
      </c>
      <c r="AE5" s="30">
        <f t="shared" si="0"/>
        <v>50.2</v>
      </c>
      <c r="AF5" s="30">
        <f>B84</f>
        <v>40.6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2038MW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Load=1842</v>
      </c>
      <c r="B7" s="35">
        <f t="shared" ref="B7:AF7" si="1">B91</f>
        <v>2020.42</v>
      </c>
      <c r="C7" s="35">
        <f t="shared" si="1"/>
        <v>1992.5200000000002</v>
      </c>
      <c r="D7" s="35">
        <f t="shared" si="1"/>
        <v>1981.8200000000002</v>
      </c>
      <c r="E7" s="35">
        <f t="shared" si="1"/>
        <v>1945.62</v>
      </c>
      <c r="F7" s="35">
        <f t="shared" si="1"/>
        <v>1914.62</v>
      </c>
      <c r="G7" s="35">
        <f t="shared" si="1"/>
        <v>1842.19</v>
      </c>
      <c r="H7" s="35">
        <f t="shared" si="1"/>
        <v>1871.0900000000001</v>
      </c>
      <c r="I7" s="35">
        <f t="shared" si="1"/>
        <v>1860.4900000000002</v>
      </c>
      <c r="J7" s="35">
        <f t="shared" si="1"/>
        <v>1929.19</v>
      </c>
      <c r="K7" s="35">
        <f t="shared" si="1"/>
        <v>1983.9900000000002</v>
      </c>
      <c r="L7" s="35">
        <f t="shared" si="1"/>
        <v>2020.89</v>
      </c>
      <c r="M7" s="35">
        <f t="shared" si="1"/>
        <v>2038.49</v>
      </c>
      <c r="N7" s="35">
        <f>N91</f>
        <v>2024.5900000000001</v>
      </c>
      <c r="O7" s="35">
        <f t="shared" si="1"/>
        <v>2065.34</v>
      </c>
      <c r="P7" s="35">
        <f t="shared" si="1"/>
        <v>2076.54</v>
      </c>
      <c r="Q7" s="35">
        <f t="shared" si="1"/>
        <v>2075.94</v>
      </c>
      <c r="R7" s="35">
        <f t="shared" si="1"/>
        <v>2075.94</v>
      </c>
      <c r="S7" s="35">
        <f t="shared" si="1"/>
        <v>2096.04</v>
      </c>
      <c r="T7" s="35">
        <f t="shared" si="1"/>
        <v>2102.14</v>
      </c>
      <c r="U7" s="35">
        <f t="shared" si="1"/>
        <v>2067.34</v>
      </c>
      <c r="V7" s="35">
        <f t="shared" si="1"/>
        <v>2058.94</v>
      </c>
      <c r="W7" s="35">
        <f t="shared" si="1"/>
        <v>2038.54</v>
      </c>
      <c r="X7" s="35">
        <f t="shared" si="1"/>
        <v>2044.34</v>
      </c>
      <c r="Y7" s="35">
        <f t="shared" si="1"/>
        <v>2051.14</v>
      </c>
      <c r="Z7" s="35">
        <f t="shared" si="1"/>
        <v>2067.39</v>
      </c>
      <c r="AA7" s="35">
        <f t="shared" si="1"/>
        <v>2101.8199999999997</v>
      </c>
      <c r="AB7" s="35">
        <f t="shared" si="1"/>
        <v>2140.44</v>
      </c>
      <c r="AC7" s="35">
        <f t="shared" si="1"/>
        <v>2123.54</v>
      </c>
      <c r="AD7" s="35">
        <f t="shared" si="1"/>
        <v>2094.14</v>
      </c>
      <c r="AE7" s="35">
        <f t="shared" si="1"/>
        <v>2045.0399999999997</v>
      </c>
      <c r="AF7" s="35">
        <f t="shared" si="1"/>
        <v>1868.54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90.6</v>
      </c>
      <c r="C11" s="45">
        <v>90.6</v>
      </c>
      <c r="D11" s="45">
        <v>90.6</v>
      </c>
      <c r="E11" s="45">
        <v>90.1</v>
      </c>
      <c r="F11" s="45">
        <v>90.1</v>
      </c>
      <c r="G11" s="45">
        <v>0</v>
      </c>
      <c r="H11" s="45">
        <v>0</v>
      </c>
      <c r="I11" s="45">
        <v>0</v>
      </c>
      <c r="J11" s="45">
        <v>25</v>
      </c>
      <c r="K11" s="45">
        <v>60</v>
      </c>
      <c r="L11" s="45">
        <v>90.1</v>
      </c>
      <c r="M11" s="45">
        <v>90.1</v>
      </c>
      <c r="N11" s="45">
        <v>90.1</v>
      </c>
      <c r="O11" s="45">
        <v>90.1</v>
      </c>
      <c r="P11" s="45">
        <v>90.1</v>
      </c>
      <c r="Q11" s="45">
        <v>90.1</v>
      </c>
      <c r="R11" s="45">
        <v>90.1</v>
      </c>
      <c r="S11" s="45">
        <v>90.1</v>
      </c>
      <c r="T11" s="45">
        <v>90.1</v>
      </c>
      <c r="U11" s="45">
        <v>90.1</v>
      </c>
      <c r="V11" s="45">
        <v>90.1</v>
      </c>
      <c r="W11" s="45">
        <v>90.1</v>
      </c>
      <c r="X11" s="45">
        <v>90.1</v>
      </c>
      <c r="Y11" s="45">
        <v>90.1</v>
      </c>
      <c r="Z11" s="45">
        <v>90.2</v>
      </c>
      <c r="AA11" s="45">
        <v>90.6</v>
      </c>
      <c r="AB11" s="45">
        <v>90.1</v>
      </c>
      <c r="AC11" s="45">
        <v>90.1</v>
      </c>
      <c r="AD11" s="45">
        <v>90.1</v>
      </c>
      <c r="AE11" s="45">
        <v>90.1</v>
      </c>
      <c r="AF11" s="45">
        <v>90.1</v>
      </c>
      <c r="AG11" s="46">
        <v>86</v>
      </c>
      <c r="AH11" s="47">
        <f t="shared" ref="AH11:AH76" si="2">MAX(B11:AF11)</f>
        <v>90.6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18</v>
      </c>
      <c r="C12" s="45">
        <v>18</v>
      </c>
      <c r="D12" s="45">
        <v>18</v>
      </c>
      <c r="E12" s="45">
        <v>18</v>
      </c>
      <c r="F12" s="45">
        <v>18</v>
      </c>
      <c r="G12" s="45">
        <v>26</v>
      </c>
      <c r="H12" s="45">
        <v>26</v>
      </c>
      <c r="I12" s="45">
        <v>26</v>
      </c>
      <c r="J12" s="45">
        <v>26</v>
      </c>
      <c r="K12" s="45">
        <v>26</v>
      </c>
      <c r="L12" s="45">
        <v>26</v>
      </c>
      <c r="M12" s="45">
        <v>26</v>
      </c>
      <c r="N12" s="45">
        <v>26</v>
      </c>
      <c r="O12" s="45">
        <v>15</v>
      </c>
      <c r="P12" s="45">
        <v>26</v>
      </c>
      <c r="Q12" s="45">
        <v>26</v>
      </c>
      <c r="R12" s="45">
        <v>26</v>
      </c>
      <c r="S12" s="45">
        <v>26</v>
      </c>
      <c r="T12" s="45">
        <v>26</v>
      </c>
      <c r="U12" s="45">
        <v>26</v>
      </c>
      <c r="V12" s="45">
        <v>26</v>
      </c>
      <c r="W12" s="45">
        <v>26</v>
      </c>
      <c r="X12" s="45">
        <v>26</v>
      </c>
      <c r="Y12" s="45">
        <v>26</v>
      </c>
      <c r="Z12" s="45">
        <v>26</v>
      </c>
      <c r="AA12" s="45">
        <v>27</v>
      </c>
      <c r="AB12" s="45">
        <v>27</v>
      </c>
      <c r="AC12" s="45">
        <v>27</v>
      </c>
      <c r="AD12" s="45">
        <v>27</v>
      </c>
      <c r="AE12" s="45">
        <v>17</v>
      </c>
      <c r="AF12" s="45">
        <v>8</v>
      </c>
      <c r="AG12" s="49">
        <v>54</v>
      </c>
      <c r="AH12" s="47">
        <f t="shared" si="2"/>
        <v>27</v>
      </c>
      <c r="AI12" s="48">
        <f t="shared" si="3"/>
        <v>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55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>
        <v>55</v>
      </c>
      <c r="K13" s="45">
        <v>55</v>
      </c>
      <c r="L13" s="45">
        <v>55</v>
      </c>
      <c r="M13" s="45">
        <v>55</v>
      </c>
      <c r="N13" s="45">
        <v>55</v>
      </c>
      <c r="O13" s="45">
        <v>55</v>
      </c>
      <c r="P13" s="45">
        <v>55</v>
      </c>
      <c r="Q13" s="45">
        <v>55</v>
      </c>
      <c r="R13" s="45">
        <v>55</v>
      </c>
      <c r="S13" s="45">
        <v>55</v>
      </c>
      <c r="T13" s="45">
        <v>55</v>
      </c>
      <c r="U13" s="45">
        <v>55</v>
      </c>
      <c r="V13" s="45">
        <v>55</v>
      </c>
      <c r="W13" s="45">
        <v>55</v>
      </c>
      <c r="X13" s="45">
        <v>55</v>
      </c>
      <c r="Y13" s="45">
        <v>55</v>
      </c>
      <c r="Z13" s="45">
        <v>55</v>
      </c>
      <c r="AA13" s="45">
        <v>55</v>
      </c>
      <c r="AB13" s="45">
        <v>55.5</v>
      </c>
      <c r="AC13" s="45">
        <v>55.5</v>
      </c>
      <c r="AD13" s="45">
        <v>55.5</v>
      </c>
      <c r="AE13" s="45">
        <v>55.5</v>
      </c>
      <c r="AF13" s="45">
        <v>55.5</v>
      </c>
      <c r="AG13" s="46">
        <v>52.4</v>
      </c>
      <c r="AH13" s="47">
        <f t="shared" si="2"/>
        <v>55.5</v>
      </c>
      <c r="AI13" s="48">
        <f t="shared" si="3"/>
        <v>55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50.3</v>
      </c>
      <c r="C14" s="58">
        <v>50.3</v>
      </c>
      <c r="D14" s="58">
        <v>50.3</v>
      </c>
      <c r="E14" s="58">
        <v>50.3</v>
      </c>
      <c r="F14" s="58">
        <v>50.3</v>
      </c>
      <c r="G14" s="58">
        <v>50.6</v>
      </c>
      <c r="H14" s="58">
        <v>50.6</v>
      </c>
      <c r="I14" s="58">
        <v>50.6</v>
      </c>
      <c r="J14" s="58">
        <v>50.6</v>
      </c>
      <c r="K14" s="58">
        <v>50.6</v>
      </c>
      <c r="L14" s="58">
        <v>50.6</v>
      </c>
      <c r="M14" s="58">
        <v>50.6</v>
      </c>
      <c r="N14" s="58">
        <v>50.6</v>
      </c>
      <c r="O14" s="58">
        <v>50.6</v>
      </c>
      <c r="P14" s="58">
        <v>50.6</v>
      </c>
      <c r="Q14" s="58">
        <v>50.6</v>
      </c>
      <c r="R14" s="58">
        <v>50.6</v>
      </c>
      <c r="S14" s="58">
        <v>50.6</v>
      </c>
      <c r="T14" s="58">
        <v>50.6</v>
      </c>
      <c r="U14" s="58">
        <v>50.6</v>
      </c>
      <c r="V14" s="58">
        <v>50.6</v>
      </c>
      <c r="W14" s="58">
        <v>50.6</v>
      </c>
      <c r="X14" s="58">
        <v>50.6</v>
      </c>
      <c r="Y14" s="58">
        <v>50.6</v>
      </c>
      <c r="Z14" s="45">
        <v>50.4</v>
      </c>
      <c r="AA14" s="45">
        <v>50.4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49">
        <v>50</v>
      </c>
      <c r="AH14" s="47">
        <f t="shared" si="2"/>
        <v>50.6</v>
      </c>
      <c r="AI14" s="48">
        <f t="shared" si="3"/>
        <v>50.3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46.1</v>
      </c>
      <c r="C15" s="45">
        <v>46.1</v>
      </c>
      <c r="D15" s="45">
        <v>46.1</v>
      </c>
      <c r="E15" s="45">
        <v>40</v>
      </c>
      <c r="F15" s="45">
        <v>40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46.2</v>
      </c>
      <c r="AA15" s="45">
        <v>46.2</v>
      </c>
      <c r="AB15" s="45">
        <v>46.2</v>
      </c>
      <c r="AC15" s="45">
        <v>46.2</v>
      </c>
      <c r="AD15" s="45">
        <v>46.2</v>
      </c>
      <c r="AE15" s="45">
        <v>46.2</v>
      </c>
      <c r="AF15" s="45">
        <v>46.2</v>
      </c>
      <c r="AG15" s="49">
        <v>45</v>
      </c>
      <c r="AH15" s="47">
        <f t="shared" si="2"/>
        <v>46.2</v>
      </c>
      <c r="AI15" s="48">
        <f t="shared" si="3"/>
        <v>40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29</v>
      </c>
      <c r="C17" s="45">
        <v>29</v>
      </c>
      <c r="D17" s="45">
        <v>29</v>
      </c>
      <c r="E17" s="45">
        <v>33</v>
      </c>
      <c r="F17" s="45">
        <v>33</v>
      </c>
      <c r="G17" s="45">
        <v>29</v>
      </c>
      <c r="H17" s="45">
        <v>29</v>
      </c>
      <c r="I17" s="45">
        <v>29</v>
      </c>
      <c r="J17" s="45">
        <v>29</v>
      </c>
      <c r="K17" s="45">
        <v>29</v>
      </c>
      <c r="L17" s="45">
        <v>29</v>
      </c>
      <c r="M17" s="45">
        <v>29</v>
      </c>
      <c r="N17" s="45">
        <v>29</v>
      </c>
      <c r="O17" s="45">
        <v>29</v>
      </c>
      <c r="P17" s="45">
        <v>29</v>
      </c>
      <c r="Q17" s="45">
        <v>29</v>
      </c>
      <c r="R17" s="45">
        <v>29</v>
      </c>
      <c r="S17" s="45">
        <v>29</v>
      </c>
      <c r="T17" s="45">
        <v>29</v>
      </c>
      <c r="U17" s="45">
        <v>29</v>
      </c>
      <c r="V17" s="45">
        <v>29</v>
      </c>
      <c r="W17" s="45">
        <v>29</v>
      </c>
      <c r="X17" s="45">
        <v>29</v>
      </c>
      <c r="Y17" s="45">
        <v>29</v>
      </c>
      <c r="Z17" s="45">
        <v>35.65</v>
      </c>
      <c r="AA17" s="45">
        <v>36</v>
      </c>
      <c r="AB17" s="45">
        <v>36</v>
      </c>
      <c r="AC17" s="45">
        <v>36</v>
      </c>
      <c r="AD17" s="45">
        <v>36</v>
      </c>
      <c r="AE17" s="45">
        <v>28</v>
      </c>
      <c r="AF17" s="45">
        <v>28</v>
      </c>
      <c r="AG17" s="49">
        <v>42</v>
      </c>
      <c r="AH17" s="47">
        <f t="shared" si="2"/>
        <v>36</v>
      </c>
      <c r="AI17" s="48">
        <f t="shared" si="3"/>
        <v>28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0</v>
      </c>
      <c r="H19" s="45">
        <v>0</v>
      </c>
      <c r="I19" s="45">
        <v>0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10.8</v>
      </c>
      <c r="C20" s="45">
        <v>10.8</v>
      </c>
      <c r="D20" s="45">
        <v>10.8</v>
      </c>
      <c r="E20" s="45">
        <v>10.9</v>
      </c>
      <c r="F20" s="45">
        <v>10.9</v>
      </c>
      <c r="G20" s="45">
        <v>20</v>
      </c>
      <c r="H20" s="45">
        <v>20</v>
      </c>
      <c r="I20" s="45">
        <v>20</v>
      </c>
      <c r="J20" s="45">
        <v>20</v>
      </c>
      <c r="K20" s="45">
        <v>25</v>
      </c>
      <c r="L20" s="45">
        <v>25</v>
      </c>
      <c r="M20" s="45">
        <v>25</v>
      </c>
      <c r="N20" s="45">
        <v>25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5</v>
      </c>
      <c r="X20" s="45">
        <v>5</v>
      </c>
      <c r="Y20" s="45">
        <v>10</v>
      </c>
      <c r="Z20" s="45">
        <v>10.8</v>
      </c>
      <c r="AA20" s="45">
        <v>20</v>
      </c>
      <c r="AB20" s="45">
        <v>28</v>
      </c>
      <c r="AC20" s="45">
        <v>28</v>
      </c>
      <c r="AD20" s="45">
        <v>15</v>
      </c>
      <c r="AE20" s="45">
        <v>10</v>
      </c>
      <c r="AF20" s="45">
        <v>5</v>
      </c>
      <c r="AG20" s="51">
        <v>30</v>
      </c>
      <c r="AH20" s="47">
        <f t="shared" si="2"/>
        <v>28</v>
      </c>
      <c r="AI20" s="48">
        <f t="shared" si="3"/>
        <v>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20.7</v>
      </c>
      <c r="C21" s="45">
        <v>20.7</v>
      </c>
      <c r="D21" s="45">
        <v>20.7</v>
      </c>
      <c r="E21" s="45">
        <v>20.7</v>
      </c>
      <c r="F21" s="45">
        <v>20.7</v>
      </c>
      <c r="G21" s="45">
        <v>20.7</v>
      </c>
      <c r="H21" s="45">
        <v>20.7</v>
      </c>
      <c r="I21" s="45">
        <v>20.7</v>
      </c>
      <c r="J21" s="45">
        <v>20.7</v>
      </c>
      <c r="K21" s="45">
        <v>20.7</v>
      </c>
      <c r="L21" s="45">
        <v>20.7</v>
      </c>
      <c r="M21" s="45">
        <v>20.7</v>
      </c>
      <c r="N21" s="45">
        <v>20.7</v>
      </c>
      <c r="O21" s="45">
        <v>20.7</v>
      </c>
      <c r="P21" s="45">
        <v>20.7</v>
      </c>
      <c r="Q21" s="45">
        <v>20.7</v>
      </c>
      <c r="R21" s="45">
        <v>20.7</v>
      </c>
      <c r="S21" s="45">
        <v>20.7</v>
      </c>
      <c r="T21" s="45">
        <v>20.7</v>
      </c>
      <c r="U21" s="45">
        <v>20.7</v>
      </c>
      <c r="V21" s="45">
        <v>20.7</v>
      </c>
      <c r="W21" s="45">
        <v>20.7</v>
      </c>
      <c r="X21" s="45">
        <v>20.7</v>
      </c>
      <c r="Y21" s="45">
        <v>20.7</v>
      </c>
      <c r="Z21" s="45">
        <v>20.7</v>
      </c>
      <c r="AA21" s="45">
        <v>30</v>
      </c>
      <c r="AB21" s="45">
        <v>33</v>
      </c>
      <c r="AC21" s="45">
        <v>33</v>
      </c>
      <c r="AD21" s="45">
        <v>33</v>
      </c>
      <c r="AE21" s="45">
        <v>33</v>
      </c>
      <c r="AF21" s="45">
        <v>33</v>
      </c>
      <c r="AG21" s="49">
        <v>24.2</v>
      </c>
      <c r="AH21" s="47">
        <f t="shared" si="2"/>
        <v>33</v>
      </c>
      <c r="AI21" s="48">
        <f t="shared" si="3"/>
        <v>20.7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20.7</v>
      </c>
      <c r="C22" s="45">
        <v>20.7</v>
      </c>
      <c r="D22" s="45">
        <v>20.7</v>
      </c>
      <c r="E22" s="45">
        <v>20.7</v>
      </c>
      <c r="F22" s="45">
        <v>20.7</v>
      </c>
      <c r="G22" s="45">
        <v>20.7</v>
      </c>
      <c r="H22" s="45">
        <v>28.3</v>
      </c>
      <c r="I22" s="45">
        <v>28.3</v>
      </c>
      <c r="J22" s="45">
        <v>28.3</v>
      </c>
      <c r="K22" s="45">
        <v>28.3</v>
      </c>
      <c r="L22" s="45">
        <v>28.3</v>
      </c>
      <c r="M22" s="45">
        <v>28.3</v>
      </c>
      <c r="N22" s="45">
        <v>28.3</v>
      </c>
      <c r="O22" s="45">
        <v>20.8</v>
      </c>
      <c r="P22" s="45">
        <v>20.8</v>
      </c>
      <c r="Q22" s="45">
        <v>20.8</v>
      </c>
      <c r="R22" s="45">
        <v>20.8</v>
      </c>
      <c r="S22" s="45">
        <v>20.8</v>
      </c>
      <c r="T22" s="45">
        <v>20.8</v>
      </c>
      <c r="U22" s="45">
        <v>20.8</v>
      </c>
      <c r="V22" s="45">
        <v>20.8</v>
      </c>
      <c r="W22" s="45">
        <v>20.8</v>
      </c>
      <c r="X22" s="45">
        <v>28</v>
      </c>
      <c r="Y22" s="45">
        <v>28</v>
      </c>
      <c r="Z22" s="45">
        <v>28</v>
      </c>
      <c r="AA22" s="45">
        <v>28.5</v>
      </c>
      <c r="AB22" s="45">
        <v>28.4</v>
      </c>
      <c r="AC22" s="45">
        <v>28.4</v>
      </c>
      <c r="AD22" s="45">
        <v>28.4</v>
      </c>
      <c r="AE22" s="45">
        <v>28.4</v>
      </c>
      <c r="AF22" s="45">
        <v>28.4</v>
      </c>
      <c r="AG22" s="49">
        <v>28</v>
      </c>
      <c r="AH22" s="47">
        <f t="shared" si="2"/>
        <v>28.5</v>
      </c>
      <c r="AI22" s="48">
        <f t="shared" si="3"/>
        <v>20.7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9</v>
      </c>
      <c r="D23" s="45">
        <v>9</v>
      </c>
      <c r="E23" s="45">
        <v>9</v>
      </c>
      <c r="F23" s="45">
        <v>9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14</v>
      </c>
      <c r="P23" s="45">
        <v>14</v>
      </c>
      <c r="Q23" s="45">
        <v>14</v>
      </c>
      <c r="R23" s="45">
        <v>14</v>
      </c>
      <c r="S23" s="45">
        <v>14</v>
      </c>
      <c r="T23" s="45">
        <v>14</v>
      </c>
      <c r="U23" s="45">
        <v>14</v>
      </c>
      <c r="V23" s="45">
        <v>14</v>
      </c>
      <c r="W23" s="45">
        <v>9</v>
      </c>
      <c r="X23" s="45">
        <v>9</v>
      </c>
      <c r="Y23" s="45">
        <v>9</v>
      </c>
      <c r="Z23" s="45">
        <v>14</v>
      </c>
      <c r="AA23" s="45">
        <v>18</v>
      </c>
      <c r="AB23" s="45">
        <v>18</v>
      </c>
      <c r="AC23" s="45">
        <v>18</v>
      </c>
      <c r="AD23" s="45">
        <v>18</v>
      </c>
      <c r="AE23" s="45">
        <v>9</v>
      </c>
      <c r="AF23" s="45">
        <v>3</v>
      </c>
      <c r="AG23" s="51">
        <v>30</v>
      </c>
      <c r="AH23" s="47">
        <f t="shared" si="2"/>
        <v>18</v>
      </c>
      <c r="AI23" s="48">
        <f t="shared" si="3"/>
        <v>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26.1</v>
      </c>
      <c r="C24" s="45">
        <v>26.1</v>
      </c>
      <c r="D24" s="45">
        <v>26.1</v>
      </c>
      <c r="E24" s="45">
        <v>26</v>
      </c>
      <c r="F24" s="45">
        <v>26</v>
      </c>
      <c r="G24" s="45">
        <v>24.55</v>
      </c>
      <c r="H24" s="45">
        <v>24.55</v>
      </c>
      <c r="I24" s="45">
        <v>24.55</v>
      </c>
      <c r="J24" s="45">
        <v>24.55</v>
      </c>
      <c r="K24" s="45">
        <v>24.55</v>
      </c>
      <c r="L24" s="45">
        <v>24.55</v>
      </c>
      <c r="M24" s="45">
        <v>24.55</v>
      </c>
      <c r="N24" s="45">
        <v>24.55</v>
      </c>
      <c r="O24" s="45">
        <v>26.2</v>
      </c>
      <c r="P24" s="45">
        <v>26.2</v>
      </c>
      <c r="Q24" s="45">
        <v>26.2</v>
      </c>
      <c r="R24" s="45">
        <v>26.2</v>
      </c>
      <c r="S24" s="45">
        <v>26.2</v>
      </c>
      <c r="T24" s="45">
        <v>26.2</v>
      </c>
      <c r="U24" s="45">
        <v>26.2</v>
      </c>
      <c r="V24" s="45">
        <v>26.2</v>
      </c>
      <c r="W24" s="45">
        <v>26.2</v>
      </c>
      <c r="X24" s="45">
        <v>26.2</v>
      </c>
      <c r="Y24" s="45">
        <v>26.2</v>
      </c>
      <c r="Z24" s="45">
        <v>26.5</v>
      </c>
      <c r="AA24" s="45">
        <v>24.4</v>
      </c>
      <c r="AB24" s="45">
        <v>24.5</v>
      </c>
      <c r="AC24" s="45">
        <v>24.5</v>
      </c>
      <c r="AD24" s="45">
        <v>24.5</v>
      </c>
      <c r="AE24" s="45">
        <v>24.5</v>
      </c>
      <c r="AF24" s="45">
        <v>24.5</v>
      </c>
      <c r="AG24" s="49">
        <v>25</v>
      </c>
      <c r="AH24" s="47">
        <f t="shared" si="2"/>
        <v>26.5</v>
      </c>
      <c r="AI24" s="48">
        <f t="shared" si="3"/>
        <v>24.4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25</v>
      </c>
      <c r="H27" s="45">
        <v>25</v>
      </c>
      <c r="I27" s="45">
        <v>25</v>
      </c>
      <c r="J27" s="45">
        <v>25</v>
      </c>
      <c r="K27" s="45">
        <v>25</v>
      </c>
      <c r="L27" s="45">
        <v>25</v>
      </c>
      <c r="M27" s="45">
        <v>25</v>
      </c>
      <c r="N27" s="45">
        <v>25</v>
      </c>
      <c r="O27" s="45">
        <v>25</v>
      </c>
      <c r="P27" s="45">
        <v>13</v>
      </c>
      <c r="Q27" s="45">
        <v>13</v>
      </c>
      <c r="R27" s="45">
        <v>13</v>
      </c>
      <c r="S27" s="45">
        <v>13</v>
      </c>
      <c r="T27" s="45">
        <v>13</v>
      </c>
      <c r="U27" s="45">
        <v>13</v>
      </c>
      <c r="V27" s="45">
        <v>13</v>
      </c>
      <c r="W27" s="45">
        <v>10</v>
      </c>
      <c r="X27" s="45">
        <v>10</v>
      </c>
      <c r="Y27" s="45">
        <v>10</v>
      </c>
      <c r="Z27" s="45">
        <v>12.5</v>
      </c>
      <c r="AA27" s="45">
        <v>25</v>
      </c>
      <c r="AB27" s="45">
        <v>25</v>
      </c>
      <c r="AC27" s="45">
        <v>25</v>
      </c>
      <c r="AD27" s="45">
        <v>25</v>
      </c>
      <c r="AE27" s="45">
        <v>9</v>
      </c>
      <c r="AF27" s="45">
        <v>3</v>
      </c>
      <c r="AG27" s="49">
        <v>25</v>
      </c>
      <c r="AH27" s="47">
        <f t="shared" si="2"/>
        <v>25</v>
      </c>
      <c r="AI27" s="48">
        <f t="shared" si="3"/>
        <v>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25</v>
      </c>
      <c r="C28" s="45">
        <v>25</v>
      </c>
      <c r="D28" s="45">
        <v>25</v>
      </c>
      <c r="E28" s="45">
        <v>8.6999999999999993</v>
      </c>
      <c r="F28" s="45">
        <v>8.6999999999999993</v>
      </c>
      <c r="G28" s="45">
        <v>0</v>
      </c>
      <c r="H28" s="45">
        <v>0</v>
      </c>
      <c r="I28" s="45">
        <v>0</v>
      </c>
      <c r="J28" s="45">
        <v>10</v>
      </c>
      <c r="K28" s="45">
        <v>13.5</v>
      </c>
      <c r="L28" s="45">
        <v>13.5</v>
      </c>
      <c r="M28" s="45">
        <v>13.5</v>
      </c>
      <c r="N28" s="45">
        <v>13.5</v>
      </c>
      <c r="O28" s="45">
        <v>18</v>
      </c>
      <c r="P28" s="45">
        <v>18</v>
      </c>
      <c r="Q28" s="45">
        <v>18</v>
      </c>
      <c r="R28" s="45">
        <v>18</v>
      </c>
      <c r="S28" s="45">
        <v>18</v>
      </c>
      <c r="T28" s="45">
        <v>18</v>
      </c>
      <c r="U28" s="45">
        <v>18</v>
      </c>
      <c r="V28" s="45">
        <v>18</v>
      </c>
      <c r="W28" s="45">
        <v>18</v>
      </c>
      <c r="X28" s="45">
        <v>18</v>
      </c>
      <c r="Y28" s="45">
        <v>18</v>
      </c>
      <c r="Z28" s="45">
        <v>18</v>
      </c>
      <c r="AA28" s="45">
        <v>25</v>
      </c>
      <c r="AB28" s="45">
        <v>24.8</v>
      </c>
      <c r="AC28" s="45">
        <v>24.8</v>
      </c>
      <c r="AD28" s="45">
        <v>24.8</v>
      </c>
      <c r="AE28" s="45">
        <v>24.8</v>
      </c>
      <c r="AF28" s="45">
        <v>24.8</v>
      </c>
      <c r="AG28" s="49">
        <v>23.5</v>
      </c>
      <c r="AH28" s="47">
        <f t="shared" si="2"/>
        <v>25</v>
      </c>
      <c r="AI28" s="48">
        <f t="shared" si="3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26.8</v>
      </c>
      <c r="F32" s="45">
        <v>26.8</v>
      </c>
      <c r="G32" s="45">
        <v>6.9</v>
      </c>
      <c r="H32" s="45">
        <v>6.9</v>
      </c>
      <c r="I32" s="45">
        <v>6.9</v>
      </c>
      <c r="J32" s="45">
        <v>6.9</v>
      </c>
      <c r="K32" s="45">
        <v>6.9</v>
      </c>
      <c r="L32" s="45">
        <v>6.9</v>
      </c>
      <c r="M32" s="45">
        <v>6.9</v>
      </c>
      <c r="N32" s="45">
        <v>6.9</v>
      </c>
      <c r="O32" s="45">
        <v>24.6</v>
      </c>
      <c r="P32" s="45">
        <v>24.6</v>
      </c>
      <c r="Q32" s="45">
        <v>24.6</v>
      </c>
      <c r="R32" s="45">
        <v>24.6</v>
      </c>
      <c r="S32" s="45">
        <v>24.6</v>
      </c>
      <c r="T32" s="45">
        <v>24.6</v>
      </c>
      <c r="U32" s="45">
        <v>24.6</v>
      </c>
      <c r="V32" s="45">
        <v>24.6</v>
      </c>
      <c r="W32" s="45">
        <v>24.6</v>
      </c>
      <c r="X32" s="45">
        <v>24.6</v>
      </c>
      <c r="Y32" s="45">
        <v>24.6</v>
      </c>
      <c r="Z32" s="45">
        <v>24.6</v>
      </c>
      <c r="AA32" s="45">
        <v>24.5</v>
      </c>
      <c r="AB32" s="45">
        <v>26.3</v>
      </c>
      <c r="AC32" s="45">
        <v>26.3</v>
      </c>
      <c r="AD32" s="45">
        <v>26.3</v>
      </c>
      <c r="AE32" s="45">
        <v>26.3</v>
      </c>
      <c r="AF32" s="45">
        <v>26.3</v>
      </c>
      <c r="AG32" s="49">
        <v>22</v>
      </c>
      <c r="AH32" s="47">
        <f t="shared" si="2"/>
        <v>26.8</v>
      </c>
      <c r="AI32" s="48">
        <f t="shared" si="3"/>
        <v>6.9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0</v>
      </c>
      <c r="D33" s="45">
        <v>0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10</v>
      </c>
      <c r="Q33" s="45">
        <v>10</v>
      </c>
      <c r="R33" s="45">
        <v>10</v>
      </c>
      <c r="S33" s="45">
        <v>10</v>
      </c>
      <c r="T33" s="45">
        <v>15</v>
      </c>
      <c r="U33" s="45">
        <v>10</v>
      </c>
      <c r="V33" s="45">
        <v>10</v>
      </c>
      <c r="W33" s="45">
        <v>10</v>
      </c>
      <c r="X33" s="45">
        <v>10</v>
      </c>
      <c r="Y33" s="45">
        <v>7</v>
      </c>
      <c r="Z33" s="45">
        <v>7</v>
      </c>
      <c r="AA33" s="45">
        <v>10</v>
      </c>
      <c r="AB33" s="45">
        <v>10</v>
      </c>
      <c r="AC33" s="45">
        <v>10</v>
      </c>
      <c r="AD33" s="45">
        <v>10</v>
      </c>
      <c r="AE33" s="45">
        <v>5</v>
      </c>
      <c r="AF33" s="45">
        <v>5</v>
      </c>
      <c r="AG33" s="49">
        <v>20</v>
      </c>
      <c r="AH33" s="47">
        <f t="shared" si="2"/>
        <v>15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4</v>
      </c>
      <c r="H34" s="45">
        <v>4</v>
      </c>
      <c r="I34" s="45">
        <v>4</v>
      </c>
      <c r="J34" s="45">
        <v>4</v>
      </c>
      <c r="K34" s="45">
        <v>4</v>
      </c>
      <c r="L34" s="45">
        <v>4</v>
      </c>
      <c r="M34" s="45">
        <v>4</v>
      </c>
      <c r="N34" s="45">
        <v>4</v>
      </c>
      <c r="O34" s="45">
        <v>4</v>
      </c>
      <c r="P34" s="45">
        <v>4</v>
      </c>
      <c r="Q34" s="45">
        <v>4</v>
      </c>
      <c r="R34" s="45">
        <v>4</v>
      </c>
      <c r="S34" s="45">
        <v>4</v>
      </c>
      <c r="T34" s="45">
        <v>10</v>
      </c>
      <c r="U34" s="45">
        <v>10</v>
      </c>
      <c r="V34" s="45">
        <v>5</v>
      </c>
      <c r="W34" s="45">
        <v>5</v>
      </c>
      <c r="X34" s="45">
        <v>5</v>
      </c>
      <c r="Y34" s="45">
        <v>5</v>
      </c>
      <c r="Z34" s="45">
        <v>5</v>
      </c>
      <c r="AA34" s="45">
        <v>5</v>
      </c>
      <c r="AB34" s="45">
        <v>5</v>
      </c>
      <c r="AC34" s="45">
        <v>5</v>
      </c>
      <c r="AD34" s="45">
        <v>5</v>
      </c>
      <c r="AE34" s="45">
        <v>5</v>
      </c>
      <c r="AF34" s="45">
        <v>0</v>
      </c>
      <c r="AG34" s="49">
        <v>18</v>
      </c>
      <c r="AH34" s="47">
        <f t="shared" si="2"/>
        <v>10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6</v>
      </c>
      <c r="C39" s="45">
        <v>6</v>
      </c>
      <c r="D39" s="45">
        <v>6</v>
      </c>
      <c r="E39" s="45">
        <v>4</v>
      </c>
      <c r="F39" s="45">
        <v>4</v>
      </c>
      <c r="G39" s="45">
        <v>12</v>
      </c>
      <c r="H39" s="45">
        <v>12</v>
      </c>
      <c r="I39" s="45">
        <v>12</v>
      </c>
      <c r="J39" s="45">
        <v>12</v>
      </c>
      <c r="K39" s="45">
        <v>12</v>
      </c>
      <c r="L39" s="45">
        <v>12</v>
      </c>
      <c r="M39" s="45">
        <v>12</v>
      </c>
      <c r="N39" s="45">
        <v>12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6</v>
      </c>
      <c r="W39" s="45">
        <v>6</v>
      </c>
      <c r="X39" s="45">
        <v>6</v>
      </c>
      <c r="Y39" s="45">
        <v>6</v>
      </c>
      <c r="Z39" s="45">
        <v>6</v>
      </c>
      <c r="AA39" s="45">
        <v>12</v>
      </c>
      <c r="AB39" s="45">
        <v>12</v>
      </c>
      <c r="AC39" s="45">
        <v>12</v>
      </c>
      <c r="AD39" s="45">
        <v>12</v>
      </c>
      <c r="AE39" s="45">
        <v>4</v>
      </c>
      <c r="AF39" s="45">
        <v>3</v>
      </c>
      <c r="AG39" s="49">
        <v>12</v>
      </c>
      <c r="AH39" s="47">
        <f t="shared" si="2"/>
        <v>12</v>
      </c>
      <c r="AI39" s="48">
        <f t="shared" si="3"/>
        <v>3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5</v>
      </c>
      <c r="C40" s="45">
        <v>5</v>
      </c>
      <c r="D40" s="45">
        <v>5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5</v>
      </c>
      <c r="AB40" s="45">
        <v>5</v>
      </c>
      <c r="AC40" s="45">
        <v>5</v>
      </c>
      <c r="AD40" s="45">
        <v>5</v>
      </c>
      <c r="AE40" s="45">
        <v>5</v>
      </c>
      <c r="AF40" s="45">
        <v>5</v>
      </c>
      <c r="AG40" s="49">
        <v>12</v>
      </c>
      <c r="AH40" s="47">
        <f t="shared" si="2"/>
        <v>12</v>
      </c>
      <c r="AI40" s="48">
        <f t="shared" si="3"/>
        <v>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6</v>
      </c>
      <c r="C41" s="45">
        <v>6</v>
      </c>
      <c r="D41" s="45">
        <v>0</v>
      </c>
      <c r="E41" s="45">
        <v>0</v>
      </c>
      <c r="F41" s="45">
        <v>0</v>
      </c>
      <c r="G41" s="45">
        <v>12</v>
      </c>
      <c r="H41" s="45">
        <v>12</v>
      </c>
      <c r="I41" s="45">
        <v>12</v>
      </c>
      <c r="J41" s="45">
        <v>12</v>
      </c>
      <c r="K41" s="45">
        <v>12</v>
      </c>
      <c r="L41" s="45">
        <v>12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11.88</v>
      </c>
      <c r="C43" s="45">
        <v>11.88</v>
      </c>
      <c r="D43" s="45">
        <v>11.88</v>
      </c>
      <c r="E43" s="45">
        <v>11.88</v>
      </c>
      <c r="F43" s="45">
        <v>11.88</v>
      </c>
      <c r="G43" s="45">
        <v>11.9</v>
      </c>
      <c r="H43" s="45">
        <v>11.9</v>
      </c>
      <c r="I43" s="45">
        <v>11.9</v>
      </c>
      <c r="J43" s="45">
        <v>11.9</v>
      </c>
      <c r="K43" s="45">
        <v>11.9</v>
      </c>
      <c r="L43" s="45">
        <v>11.9</v>
      </c>
      <c r="M43" s="45">
        <v>11.9</v>
      </c>
      <c r="N43" s="45">
        <v>11.9</v>
      </c>
      <c r="O43" s="45">
        <v>11.9</v>
      </c>
      <c r="P43" s="45">
        <v>11.9</v>
      </c>
      <c r="Q43" s="45">
        <v>11.9</v>
      </c>
      <c r="R43" s="45">
        <v>11.9</v>
      </c>
      <c r="S43" s="45">
        <v>11.9</v>
      </c>
      <c r="T43" s="45">
        <v>11.9</v>
      </c>
      <c r="U43" s="45">
        <v>11.9</v>
      </c>
      <c r="V43" s="45">
        <v>11.9</v>
      </c>
      <c r="W43" s="45">
        <v>11.9</v>
      </c>
      <c r="X43" s="45">
        <v>11.9</v>
      </c>
      <c r="Y43" s="45">
        <v>11.9</v>
      </c>
      <c r="Z43" s="45">
        <v>11.9</v>
      </c>
      <c r="AA43" s="45">
        <v>11.88</v>
      </c>
      <c r="AB43" s="45">
        <v>11.9</v>
      </c>
      <c r="AC43" s="45">
        <v>11.9</v>
      </c>
      <c r="AD43" s="45">
        <v>11.9</v>
      </c>
      <c r="AE43" s="45">
        <v>11.9</v>
      </c>
      <c r="AF43" s="45">
        <v>11.9</v>
      </c>
      <c r="AG43" s="51">
        <v>11.88</v>
      </c>
      <c r="AH43" s="47">
        <f t="shared" si="2"/>
        <v>11.9</v>
      </c>
      <c r="AI43" s="48">
        <f t="shared" si="3"/>
        <v>11.88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10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358</v>
      </c>
      <c r="C48" s="56">
        <v>358</v>
      </c>
      <c r="D48" s="56">
        <v>358</v>
      </c>
      <c r="E48" s="56">
        <v>358</v>
      </c>
      <c r="F48" s="56">
        <v>358</v>
      </c>
      <c r="G48" s="56">
        <v>360</v>
      </c>
      <c r="H48" s="56">
        <v>370</v>
      </c>
      <c r="I48" s="56">
        <v>370</v>
      </c>
      <c r="J48" s="56">
        <v>370</v>
      </c>
      <c r="K48" s="56">
        <v>370</v>
      </c>
      <c r="L48" s="56">
        <v>370</v>
      </c>
      <c r="M48" s="56">
        <v>370</v>
      </c>
      <c r="N48" s="56">
        <v>370</v>
      </c>
      <c r="O48" s="56">
        <v>370</v>
      </c>
      <c r="P48" s="56">
        <v>370</v>
      </c>
      <c r="Q48" s="56">
        <v>370</v>
      </c>
      <c r="R48" s="56">
        <v>370</v>
      </c>
      <c r="S48" s="56">
        <v>370</v>
      </c>
      <c r="T48" s="56">
        <v>370</v>
      </c>
      <c r="U48" s="56">
        <v>370</v>
      </c>
      <c r="V48" s="56">
        <v>370</v>
      </c>
      <c r="W48" s="56">
        <v>370</v>
      </c>
      <c r="X48" s="56">
        <v>370</v>
      </c>
      <c r="Y48" s="56">
        <v>370</v>
      </c>
      <c r="Z48" s="56">
        <v>370</v>
      </c>
      <c r="AA48" s="56">
        <v>358</v>
      </c>
      <c r="AB48" s="56">
        <v>358</v>
      </c>
      <c r="AC48" s="56">
        <v>358</v>
      </c>
      <c r="AD48" s="56">
        <v>358</v>
      </c>
      <c r="AE48" s="56">
        <v>358</v>
      </c>
      <c r="AF48" s="56">
        <v>358</v>
      </c>
      <c r="AG48" s="54">
        <v>85</v>
      </c>
      <c r="AH48" s="47">
        <f t="shared" si="2"/>
        <v>370</v>
      </c>
      <c r="AI48" s="48">
        <f t="shared" si="3"/>
        <v>358</v>
      </c>
      <c r="AK48" s="50"/>
    </row>
    <row r="49" spans="1:41" ht="15.75" thickBot="1" x14ac:dyDescent="0.3">
      <c r="A49" s="57" t="s">
        <v>57</v>
      </c>
      <c r="B49" s="56">
        <v>101.19999999999999</v>
      </c>
      <c r="C49" s="56">
        <v>106.5</v>
      </c>
      <c r="D49" s="56">
        <v>106.7</v>
      </c>
      <c r="E49" s="56">
        <v>106.7</v>
      </c>
      <c r="F49" s="56">
        <v>106.6</v>
      </c>
      <c r="G49" s="58">
        <v>106.3</v>
      </c>
      <c r="H49" s="58">
        <v>106.3</v>
      </c>
      <c r="I49" s="58">
        <v>106.3</v>
      </c>
      <c r="J49" s="58">
        <v>106.3</v>
      </c>
      <c r="K49" s="58">
        <v>106.3</v>
      </c>
      <c r="L49" s="58"/>
      <c r="M49" s="58">
        <f t="shared" ref="M49:U49" si="4">23.3+80.7</f>
        <v>104</v>
      </c>
      <c r="N49" s="58">
        <f t="shared" si="4"/>
        <v>104</v>
      </c>
      <c r="O49" s="58">
        <f t="shared" si="4"/>
        <v>104</v>
      </c>
      <c r="P49" s="58">
        <f t="shared" si="4"/>
        <v>104</v>
      </c>
      <c r="Q49" s="58">
        <f t="shared" si="4"/>
        <v>104</v>
      </c>
      <c r="R49" s="58">
        <f t="shared" si="4"/>
        <v>104</v>
      </c>
      <c r="S49" s="58">
        <f t="shared" si="4"/>
        <v>104</v>
      </c>
      <c r="T49" s="58">
        <f t="shared" si="4"/>
        <v>104</v>
      </c>
      <c r="U49" s="58">
        <f t="shared" si="4"/>
        <v>104</v>
      </c>
      <c r="V49" s="58">
        <f t="shared" ref="V49:Z49" si="5">23.3+80.7</f>
        <v>104</v>
      </c>
      <c r="W49" s="58">
        <f t="shared" si="5"/>
        <v>104</v>
      </c>
      <c r="X49" s="58">
        <f t="shared" si="5"/>
        <v>104</v>
      </c>
      <c r="Y49" s="58">
        <f t="shared" si="5"/>
        <v>104</v>
      </c>
      <c r="Z49" s="58">
        <f t="shared" si="5"/>
        <v>104</v>
      </c>
      <c r="AA49" s="56">
        <f t="shared" ref="AA49:AF49" si="6">22.8+79</f>
        <v>101.8</v>
      </c>
      <c r="AB49" s="56">
        <f t="shared" si="6"/>
        <v>101.8</v>
      </c>
      <c r="AC49" s="56">
        <f t="shared" si="6"/>
        <v>101.8</v>
      </c>
      <c r="AD49" s="56">
        <f t="shared" si="6"/>
        <v>101.8</v>
      </c>
      <c r="AE49" s="56">
        <f t="shared" si="6"/>
        <v>101.8</v>
      </c>
      <c r="AF49" s="56">
        <f t="shared" si="6"/>
        <v>101.8</v>
      </c>
      <c r="AG49" s="54">
        <v>240</v>
      </c>
      <c r="AH49" s="47">
        <f t="shared" si="2"/>
        <v>106.7</v>
      </c>
      <c r="AI49" s="48">
        <f t="shared" si="3"/>
        <v>101.19999999999999</v>
      </c>
      <c r="AK49" s="50"/>
    </row>
    <row r="50" spans="1:41" ht="15.75" thickBot="1" x14ac:dyDescent="0.3">
      <c r="A50" s="59" t="s">
        <v>58</v>
      </c>
      <c r="B50" s="60">
        <f t="shared" ref="B50:AF50" si="7">SUM(B11:B48)</f>
        <v>1071.8800000000001</v>
      </c>
      <c r="C50" s="60">
        <f t="shared" si="7"/>
        <v>1062.8800000000001</v>
      </c>
      <c r="D50" s="60">
        <f t="shared" si="7"/>
        <v>1056.8800000000001</v>
      </c>
      <c r="E50" s="60">
        <f t="shared" si="7"/>
        <v>1052.78</v>
      </c>
      <c r="F50" s="60">
        <f t="shared" si="7"/>
        <v>1052.78</v>
      </c>
      <c r="G50" s="60">
        <f t="shared" si="7"/>
        <v>968.05000000000007</v>
      </c>
      <c r="H50" s="60">
        <f t="shared" si="7"/>
        <v>985.65</v>
      </c>
      <c r="I50" s="60">
        <f t="shared" si="7"/>
        <v>985.65</v>
      </c>
      <c r="J50" s="60">
        <f t="shared" ref="J50" si="8">SUM(J11:J48)</f>
        <v>1056.6500000000001</v>
      </c>
      <c r="K50" s="60">
        <f t="shared" si="7"/>
        <v>1100.1500000000001</v>
      </c>
      <c r="L50" s="60">
        <f t="shared" si="7"/>
        <v>1130.25</v>
      </c>
      <c r="M50" s="60">
        <f t="shared" si="7"/>
        <v>1130.25</v>
      </c>
      <c r="N50" s="60">
        <f t="shared" si="7"/>
        <v>1130.25</v>
      </c>
      <c r="O50" s="60">
        <f t="shared" si="7"/>
        <v>1121.5999999999999</v>
      </c>
      <c r="P50" s="60">
        <f t="shared" si="7"/>
        <v>1125.5999999999999</v>
      </c>
      <c r="Q50" s="60">
        <f t="shared" si="7"/>
        <v>1125.5999999999999</v>
      </c>
      <c r="R50" s="60">
        <f t="shared" si="7"/>
        <v>1125.5999999999999</v>
      </c>
      <c r="S50" s="60">
        <f t="shared" si="7"/>
        <v>1125.5999999999999</v>
      </c>
      <c r="T50" s="60">
        <f t="shared" ref="T50:U50" si="9">SUM(T11:T48)</f>
        <v>1136.5999999999999</v>
      </c>
      <c r="U50" s="60">
        <f t="shared" si="9"/>
        <v>1131.5999999999999</v>
      </c>
      <c r="V50" s="60">
        <f t="shared" si="7"/>
        <v>1120.5999999999999</v>
      </c>
      <c r="W50" s="60">
        <f t="shared" si="7"/>
        <v>1102.5999999999999</v>
      </c>
      <c r="X50" s="60">
        <f t="shared" si="7"/>
        <v>1109.8</v>
      </c>
      <c r="Y50" s="60">
        <f t="shared" si="7"/>
        <v>1111.8</v>
      </c>
      <c r="Z50" s="60">
        <f t="shared" si="7"/>
        <v>1127.1500000000001</v>
      </c>
      <c r="AA50" s="60">
        <f t="shared" ref="AA50" si="10">SUM(AA11:AA48)</f>
        <v>1159.18</v>
      </c>
      <c r="AB50" s="60">
        <f t="shared" si="7"/>
        <v>1171.8</v>
      </c>
      <c r="AC50" s="60">
        <f t="shared" ref="AC50" si="11">SUM(AC11:AC48)</f>
        <v>1171.8</v>
      </c>
      <c r="AD50" s="60">
        <f t="shared" si="7"/>
        <v>1158.7999999999997</v>
      </c>
      <c r="AE50" s="60">
        <f t="shared" si="7"/>
        <v>1097.7999999999997</v>
      </c>
      <c r="AF50" s="60">
        <f t="shared" si="7"/>
        <v>1065.7999999999997</v>
      </c>
      <c r="AG50" s="61">
        <f>SUM(AG13:AG48)</f>
        <v>922.14</v>
      </c>
      <c r="AH50" s="47">
        <f t="shared" si="2"/>
        <v>1171.8</v>
      </c>
      <c r="AI50" s="48">
        <f t="shared" si="3"/>
        <v>968.05000000000007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450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300</v>
      </c>
      <c r="AG51" s="51">
        <v>456</v>
      </c>
      <c r="AH51" s="47">
        <f t="shared" si="2"/>
        <v>456</v>
      </c>
      <c r="AI51" s="48">
        <f t="shared" si="3"/>
        <v>300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52</v>
      </c>
      <c r="G52" s="64">
        <v>52</v>
      </c>
      <c r="H52" s="64">
        <v>60</v>
      </c>
      <c r="I52" s="64">
        <v>60</v>
      </c>
      <c r="J52" s="64">
        <v>60</v>
      </c>
      <c r="K52" s="64">
        <v>60</v>
      </c>
      <c r="L52" s="64">
        <v>60</v>
      </c>
      <c r="M52" s="64">
        <v>60</v>
      </c>
      <c r="N52" s="64">
        <v>60</v>
      </c>
      <c r="O52" s="64">
        <v>60</v>
      </c>
      <c r="P52" s="64">
        <v>60</v>
      </c>
      <c r="Q52" s="64">
        <v>60</v>
      </c>
      <c r="R52" s="64">
        <v>60</v>
      </c>
      <c r="S52" s="64">
        <v>50</v>
      </c>
      <c r="T52" s="64">
        <v>50</v>
      </c>
      <c r="U52" s="64">
        <v>50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40</v>
      </c>
      <c r="AG52" s="54">
        <v>60</v>
      </c>
      <c r="AH52" s="47">
        <f t="shared" si="2"/>
        <v>60</v>
      </c>
      <c r="AI52" s="48">
        <f t="shared" si="3"/>
        <v>40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</v>
      </c>
      <c r="G53" s="66">
        <v>22</v>
      </c>
      <c r="H53" s="66">
        <v>22</v>
      </c>
      <c r="I53" s="66">
        <v>22</v>
      </c>
      <c r="J53" s="66">
        <v>22</v>
      </c>
      <c r="K53" s="66">
        <v>22</v>
      </c>
      <c r="L53" s="66">
        <v>22</v>
      </c>
      <c r="M53" s="66">
        <v>22</v>
      </c>
      <c r="N53" s="66">
        <v>22</v>
      </c>
      <c r="O53" s="66">
        <v>22</v>
      </c>
      <c r="P53" s="66">
        <v>22</v>
      </c>
      <c r="Q53" s="66">
        <v>22</v>
      </c>
      <c r="R53" s="66">
        <v>22</v>
      </c>
      <c r="S53" s="66">
        <v>22</v>
      </c>
      <c r="T53" s="66">
        <v>22</v>
      </c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22.4</v>
      </c>
      <c r="AG53" s="67">
        <v>22.1</v>
      </c>
      <c r="AH53" s="47">
        <f t="shared" si="2"/>
        <v>22.5</v>
      </c>
      <c r="AI53" s="48">
        <f t="shared" si="3"/>
        <v>22</v>
      </c>
      <c r="AK53" s="50"/>
    </row>
    <row r="54" spans="1:41" ht="15.75" thickBot="1" x14ac:dyDescent="0.3">
      <c r="A54" s="68" t="s">
        <v>62</v>
      </c>
      <c r="B54" s="60">
        <f t="shared" ref="B54:AG54" si="12">SUM(B51:B53)</f>
        <v>533.5</v>
      </c>
      <c r="C54" s="60">
        <f t="shared" si="12"/>
        <v>533.5</v>
      </c>
      <c r="D54" s="60">
        <f t="shared" si="12"/>
        <v>533.5</v>
      </c>
      <c r="E54" s="60">
        <f t="shared" si="12"/>
        <v>533.5</v>
      </c>
      <c r="F54" s="60">
        <f t="shared" si="12"/>
        <v>530</v>
      </c>
      <c r="G54" s="60">
        <f t="shared" si="12"/>
        <v>530</v>
      </c>
      <c r="H54" s="60">
        <f t="shared" si="12"/>
        <v>538</v>
      </c>
      <c r="I54" s="60">
        <f t="shared" si="12"/>
        <v>538</v>
      </c>
      <c r="J54" s="60">
        <f t="shared" si="12"/>
        <v>538</v>
      </c>
      <c r="K54" s="60">
        <f t="shared" ref="K54" si="13">SUM(K51:K53)</f>
        <v>538</v>
      </c>
      <c r="L54" s="60">
        <f t="shared" si="12"/>
        <v>538</v>
      </c>
      <c r="M54" s="60">
        <f t="shared" si="12"/>
        <v>538</v>
      </c>
      <c r="N54" s="60">
        <f t="shared" si="12"/>
        <v>538</v>
      </c>
      <c r="O54" s="60">
        <f t="shared" si="12"/>
        <v>538</v>
      </c>
      <c r="P54" s="60">
        <f t="shared" si="12"/>
        <v>538</v>
      </c>
      <c r="Q54" s="60">
        <f t="shared" si="12"/>
        <v>538</v>
      </c>
      <c r="R54" s="60">
        <f t="shared" si="12"/>
        <v>538</v>
      </c>
      <c r="S54" s="60">
        <f t="shared" si="12"/>
        <v>528</v>
      </c>
      <c r="T54" s="60">
        <f t="shared" ref="T54:U54" si="14">SUM(T51:T53)</f>
        <v>528</v>
      </c>
      <c r="U54" s="60">
        <f t="shared" si="14"/>
        <v>528</v>
      </c>
      <c r="V54" s="60">
        <f t="shared" si="12"/>
        <v>538</v>
      </c>
      <c r="W54" s="60">
        <f t="shared" si="12"/>
        <v>538</v>
      </c>
      <c r="X54" s="60">
        <f t="shared" si="12"/>
        <v>538</v>
      </c>
      <c r="Y54" s="60">
        <f t="shared" si="12"/>
        <v>538</v>
      </c>
      <c r="Z54" s="60">
        <f t="shared" si="12"/>
        <v>532</v>
      </c>
      <c r="AA54" s="60">
        <f t="shared" ref="AA54" si="15">SUM(AA51:AA53)</f>
        <v>533.5</v>
      </c>
      <c r="AB54" s="60">
        <f t="shared" si="12"/>
        <v>533.5</v>
      </c>
      <c r="AC54" s="60">
        <f t="shared" si="12"/>
        <v>533.5</v>
      </c>
      <c r="AD54" s="60">
        <f t="shared" si="12"/>
        <v>533.5</v>
      </c>
      <c r="AE54" s="60">
        <f t="shared" si="12"/>
        <v>533.5</v>
      </c>
      <c r="AF54" s="60">
        <f t="shared" si="12"/>
        <v>362.4</v>
      </c>
      <c r="AG54" s="61">
        <f t="shared" si="12"/>
        <v>538.1</v>
      </c>
      <c r="AH54" s="47">
        <f t="shared" si="2"/>
        <v>538</v>
      </c>
      <c r="AI54" s="48">
        <f t="shared" si="3"/>
        <v>362.4</v>
      </c>
      <c r="AK54" s="50"/>
    </row>
    <row r="55" spans="1:41" x14ac:dyDescent="0.25">
      <c r="A55" s="44" t="s">
        <v>63</v>
      </c>
      <c r="B55" s="45">
        <v>134</v>
      </c>
      <c r="C55" s="45">
        <v>134</v>
      </c>
      <c r="D55" s="45">
        <v>134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128.19999999999999</v>
      </c>
      <c r="P55" s="45">
        <v>133.4</v>
      </c>
      <c r="Q55" s="45">
        <v>133.4</v>
      </c>
      <c r="R55" s="45">
        <v>133.4</v>
      </c>
      <c r="S55" s="45">
        <v>133.4</v>
      </c>
      <c r="T55" s="45">
        <v>133.4</v>
      </c>
      <c r="U55" s="45">
        <v>133</v>
      </c>
      <c r="V55" s="45">
        <v>133</v>
      </c>
      <c r="W55" s="45">
        <v>133</v>
      </c>
      <c r="X55" s="45">
        <v>133</v>
      </c>
      <c r="Y55" s="45">
        <v>133</v>
      </c>
      <c r="Z55" s="45">
        <v>134.9</v>
      </c>
      <c r="AA55" s="45">
        <v>134.6</v>
      </c>
      <c r="AB55" s="45">
        <v>134.5</v>
      </c>
      <c r="AC55" s="45">
        <v>134.5</v>
      </c>
      <c r="AD55" s="45">
        <v>134.5</v>
      </c>
      <c r="AE55" s="45">
        <v>134.5</v>
      </c>
      <c r="AF55" s="45">
        <v>134.5</v>
      </c>
      <c r="AG55" s="51">
        <v>144</v>
      </c>
      <c r="AH55" s="47">
        <f t="shared" si="2"/>
        <v>134.9</v>
      </c>
      <c r="AI55" s="48">
        <f t="shared" si="3"/>
        <v>0</v>
      </c>
      <c r="AK55" s="50"/>
    </row>
    <row r="56" spans="1:41" x14ac:dyDescent="0.25">
      <c r="A56" s="53" t="s">
        <v>64</v>
      </c>
      <c r="B56" s="64">
        <v>70</v>
      </c>
      <c r="C56" s="64">
        <v>70</v>
      </c>
      <c r="D56" s="64">
        <v>70</v>
      </c>
      <c r="E56" s="64">
        <v>69.2</v>
      </c>
      <c r="F56" s="64">
        <v>69.2</v>
      </c>
      <c r="G56" s="64">
        <v>69.2</v>
      </c>
      <c r="H56" s="64">
        <v>69.2</v>
      </c>
      <c r="I56" s="64">
        <v>69.2</v>
      </c>
      <c r="J56" s="64">
        <v>69.2</v>
      </c>
      <c r="K56" s="64">
        <v>69.2</v>
      </c>
      <c r="L56" s="64">
        <v>69.2</v>
      </c>
      <c r="M56" s="64">
        <v>69.2</v>
      </c>
      <c r="N56" s="64">
        <v>69.2</v>
      </c>
      <c r="O56" s="64">
        <v>69</v>
      </c>
      <c r="P56" s="64">
        <v>70.8</v>
      </c>
      <c r="Q56" s="64">
        <v>70.8</v>
      </c>
      <c r="R56" s="64">
        <v>70.8</v>
      </c>
      <c r="S56" s="64">
        <v>70.8</v>
      </c>
      <c r="T56" s="64">
        <v>70.8</v>
      </c>
      <c r="U56" s="64">
        <v>69</v>
      </c>
      <c r="V56" s="64">
        <v>69</v>
      </c>
      <c r="W56" s="64">
        <v>69</v>
      </c>
      <c r="X56" s="64">
        <v>69</v>
      </c>
      <c r="Y56" s="64">
        <v>69</v>
      </c>
      <c r="Z56" s="45">
        <v>70.8</v>
      </c>
      <c r="AA56" s="45">
        <v>70</v>
      </c>
      <c r="AB56" s="45">
        <v>70.2</v>
      </c>
      <c r="AC56" s="45">
        <v>70.2</v>
      </c>
      <c r="AD56" s="45">
        <v>70</v>
      </c>
      <c r="AE56" s="45">
        <v>70</v>
      </c>
      <c r="AF56" s="45">
        <v>70</v>
      </c>
      <c r="AG56" s="54">
        <v>70</v>
      </c>
      <c r="AH56" s="47">
        <f t="shared" si="2"/>
        <v>70.8</v>
      </c>
      <c r="AI56" s="48">
        <f t="shared" si="3"/>
        <v>69</v>
      </c>
      <c r="AK56" s="50"/>
    </row>
    <row r="57" spans="1:41" x14ac:dyDescent="0.25">
      <c r="A57" s="53" t="s">
        <v>65</v>
      </c>
      <c r="B57" s="64">
        <v>50</v>
      </c>
      <c r="C57" s="64">
        <v>50</v>
      </c>
      <c r="D57" s="64">
        <v>50</v>
      </c>
      <c r="E57" s="64">
        <v>65.599999999999994</v>
      </c>
      <c r="F57" s="64">
        <v>65.599999999999994</v>
      </c>
      <c r="G57" s="64">
        <v>65.599999999999994</v>
      </c>
      <c r="H57" s="64">
        <v>65.599999999999994</v>
      </c>
      <c r="I57" s="64">
        <v>65.599999999999994</v>
      </c>
      <c r="J57" s="64">
        <v>65.599999999999994</v>
      </c>
      <c r="K57" s="64">
        <v>65.599999999999994</v>
      </c>
      <c r="L57" s="64">
        <v>65.599999999999994</v>
      </c>
      <c r="M57" s="64">
        <v>65.599999999999994</v>
      </c>
      <c r="N57" s="64">
        <v>65.599999999999994</v>
      </c>
      <c r="O57" s="64">
        <v>62</v>
      </c>
      <c r="P57" s="64">
        <v>64.2</v>
      </c>
      <c r="Q57" s="64">
        <v>64.2</v>
      </c>
      <c r="R57" s="64">
        <v>64.2</v>
      </c>
      <c r="S57" s="64">
        <v>64.2</v>
      </c>
      <c r="T57" s="64">
        <v>64.2</v>
      </c>
      <c r="U57" s="64">
        <v>65.3</v>
      </c>
      <c r="V57" s="64">
        <v>65.3</v>
      </c>
      <c r="W57" s="64">
        <v>65.3</v>
      </c>
      <c r="X57" s="64">
        <v>65.3</v>
      </c>
      <c r="Y57" s="64">
        <v>65.3</v>
      </c>
      <c r="Z57" s="45">
        <v>63.2</v>
      </c>
      <c r="AA57" s="45">
        <v>64.900000000000006</v>
      </c>
      <c r="AB57" s="45">
        <v>64.2</v>
      </c>
      <c r="AC57" s="45">
        <v>64.2</v>
      </c>
      <c r="AD57" s="45">
        <v>51.2</v>
      </c>
      <c r="AE57" s="45">
        <v>60</v>
      </c>
      <c r="AF57" s="45">
        <v>64</v>
      </c>
      <c r="AG57" s="54">
        <v>69</v>
      </c>
      <c r="AH57" s="47">
        <f t="shared" si="2"/>
        <v>65.599999999999994</v>
      </c>
      <c r="AI57" s="48">
        <f t="shared" si="3"/>
        <v>50</v>
      </c>
      <c r="AK57" s="50"/>
    </row>
    <row r="58" spans="1:41" x14ac:dyDescent="0.25">
      <c r="A58" s="53" t="s">
        <v>66</v>
      </c>
      <c r="B58" s="64">
        <v>30.5</v>
      </c>
      <c r="C58" s="64">
        <v>30.5</v>
      </c>
      <c r="D58" s="64">
        <v>30.5</v>
      </c>
      <c r="E58" s="56">
        <v>30</v>
      </c>
      <c r="F58" s="56">
        <v>30</v>
      </c>
      <c r="G58" s="56">
        <v>30</v>
      </c>
      <c r="H58" s="56">
        <v>30</v>
      </c>
      <c r="I58" s="56">
        <v>30</v>
      </c>
      <c r="J58" s="56">
        <v>30</v>
      </c>
      <c r="K58" s="56">
        <v>30</v>
      </c>
      <c r="L58" s="56">
        <v>30</v>
      </c>
      <c r="M58" s="56">
        <v>30</v>
      </c>
      <c r="N58" s="56">
        <v>30</v>
      </c>
      <c r="O58" s="56">
        <v>30</v>
      </c>
      <c r="P58" s="64">
        <v>30</v>
      </c>
      <c r="Q58" s="64">
        <v>30</v>
      </c>
      <c r="R58" s="64">
        <v>30</v>
      </c>
      <c r="S58" s="64">
        <v>30</v>
      </c>
      <c r="T58" s="64">
        <v>30</v>
      </c>
      <c r="U58" s="64">
        <v>30</v>
      </c>
      <c r="V58" s="64">
        <v>30</v>
      </c>
      <c r="W58" s="64">
        <v>30</v>
      </c>
      <c r="X58" s="64">
        <v>30</v>
      </c>
      <c r="Y58" s="64">
        <v>30</v>
      </c>
      <c r="Z58" s="45">
        <v>30.2</v>
      </c>
      <c r="AA58" s="45">
        <v>30.5</v>
      </c>
      <c r="AB58" s="45">
        <v>30.7</v>
      </c>
      <c r="AC58" s="45">
        <v>30.7</v>
      </c>
      <c r="AD58" s="45">
        <v>30.7</v>
      </c>
      <c r="AE58" s="45">
        <v>30.7</v>
      </c>
      <c r="AF58" s="45">
        <v>30.7</v>
      </c>
      <c r="AG58" s="54">
        <v>60</v>
      </c>
      <c r="AH58" s="47">
        <f t="shared" si="2"/>
        <v>30.7</v>
      </c>
      <c r="AI58" s="48">
        <f t="shared" si="3"/>
        <v>30</v>
      </c>
      <c r="AK58" s="50"/>
    </row>
    <row r="59" spans="1:41" x14ac:dyDescent="0.25">
      <c r="A59" s="53" t="s">
        <v>67</v>
      </c>
      <c r="B59" s="64">
        <v>28</v>
      </c>
      <c r="C59" s="64">
        <v>28</v>
      </c>
      <c r="D59" s="64">
        <v>28</v>
      </c>
      <c r="E59" s="56">
        <v>28.6</v>
      </c>
      <c r="F59" s="56">
        <v>28.6</v>
      </c>
      <c r="G59" s="56">
        <v>28.6</v>
      </c>
      <c r="H59" s="56">
        <v>28.6</v>
      </c>
      <c r="I59" s="56">
        <v>28.6</v>
      </c>
      <c r="J59" s="56">
        <v>28.6</v>
      </c>
      <c r="K59" s="56">
        <v>28.6</v>
      </c>
      <c r="L59" s="56">
        <v>28.6</v>
      </c>
      <c r="M59" s="56">
        <v>28.6</v>
      </c>
      <c r="N59" s="56">
        <v>28.6</v>
      </c>
      <c r="O59" s="56">
        <v>28.6</v>
      </c>
      <c r="P59" s="64">
        <v>30</v>
      </c>
      <c r="Q59" s="64">
        <v>30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45">
        <v>30</v>
      </c>
      <c r="AA59" s="45">
        <v>28</v>
      </c>
      <c r="AB59" s="45">
        <v>28</v>
      </c>
      <c r="AC59" s="45">
        <v>28</v>
      </c>
      <c r="AD59" s="45">
        <v>28</v>
      </c>
      <c r="AE59" s="45">
        <v>28</v>
      </c>
      <c r="AF59" s="45">
        <v>28</v>
      </c>
      <c r="AG59" s="54">
        <v>30</v>
      </c>
      <c r="AH59" s="47">
        <f t="shared" si="2"/>
        <v>30</v>
      </c>
      <c r="AI59" s="48">
        <f t="shared" si="3"/>
        <v>28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8.3000000000000007</v>
      </c>
      <c r="M60" s="64">
        <v>9</v>
      </c>
      <c r="N60" s="64">
        <v>15</v>
      </c>
      <c r="O60" s="64">
        <v>15</v>
      </c>
      <c r="P60" s="64">
        <v>19.5</v>
      </c>
      <c r="Q60" s="64">
        <v>18.899999999999999</v>
      </c>
      <c r="R60" s="64">
        <v>18.899999999999999</v>
      </c>
      <c r="S60" s="64">
        <v>18.899999999999999</v>
      </c>
      <c r="T60" s="64">
        <v>14</v>
      </c>
      <c r="U60" s="64">
        <v>12.4</v>
      </c>
      <c r="V60" s="64">
        <v>5</v>
      </c>
      <c r="W60" s="64">
        <v>2.6</v>
      </c>
      <c r="X60" s="64">
        <v>1.2</v>
      </c>
      <c r="Y60" s="64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19.5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13</v>
      </c>
      <c r="P61" s="64">
        <v>13</v>
      </c>
      <c r="Q61" s="64">
        <v>13</v>
      </c>
      <c r="R61" s="64">
        <v>13</v>
      </c>
      <c r="S61" s="64">
        <v>16</v>
      </c>
      <c r="T61" s="64">
        <v>16</v>
      </c>
      <c r="U61" s="64">
        <v>16</v>
      </c>
      <c r="V61" s="64">
        <v>16</v>
      </c>
      <c r="W61" s="64">
        <v>16</v>
      </c>
      <c r="X61" s="64">
        <v>16</v>
      </c>
      <c r="Y61" s="64">
        <v>16</v>
      </c>
      <c r="Z61" s="64">
        <v>16</v>
      </c>
      <c r="AA61" s="64">
        <v>16</v>
      </c>
      <c r="AB61" s="64">
        <v>16</v>
      </c>
      <c r="AC61" s="64">
        <v>16</v>
      </c>
      <c r="AD61" s="64">
        <v>16</v>
      </c>
      <c r="AE61" s="64">
        <v>16</v>
      </c>
      <c r="AF61" s="64">
        <v>16</v>
      </c>
      <c r="AG61" s="54">
        <v>24</v>
      </c>
      <c r="AH61" s="47">
        <f t="shared" si="2"/>
        <v>16</v>
      </c>
      <c r="AI61" s="48">
        <f t="shared" si="3"/>
        <v>13</v>
      </c>
      <c r="AK61" s="50"/>
    </row>
    <row r="62" spans="1:41" x14ac:dyDescent="0.25">
      <c r="A62" s="53" t="s">
        <v>70</v>
      </c>
      <c r="B62" s="64">
        <v>3.1</v>
      </c>
      <c r="C62" s="64">
        <v>3.1</v>
      </c>
      <c r="D62" s="64">
        <v>3.1</v>
      </c>
      <c r="E62" s="64">
        <v>3.1</v>
      </c>
      <c r="F62" s="64">
        <v>3.1</v>
      </c>
      <c r="G62" s="64">
        <v>3.1</v>
      </c>
      <c r="H62" s="64">
        <v>3.1</v>
      </c>
      <c r="I62" s="64">
        <v>3.1</v>
      </c>
      <c r="J62" s="64">
        <v>3.1</v>
      </c>
      <c r="K62" s="64">
        <v>3.1</v>
      </c>
      <c r="L62" s="64">
        <v>3.1</v>
      </c>
      <c r="M62" s="64">
        <v>3.1</v>
      </c>
      <c r="N62" s="64">
        <v>3.1</v>
      </c>
      <c r="O62" s="64">
        <v>3.1</v>
      </c>
      <c r="P62" s="64">
        <v>3.1</v>
      </c>
      <c r="Q62" s="64">
        <v>3.1</v>
      </c>
      <c r="R62" s="64">
        <v>3.1</v>
      </c>
      <c r="S62" s="64">
        <v>3.1</v>
      </c>
      <c r="T62" s="64">
        <v>3.1</v>
      </c>
      <c r="U62" s="64">
        <v>3.1</v>
      </c>
      <c r="V62" s="64">
        <v>3.1</v>
      </c>
      <c r="W62" s="64">
        <v>3.1</v>
      </c>
      <c r="X62" s="64">
        <v>3.1</v>
      </c>
      <c r="Y62" s="64">
        <v>3.1</v>
      </c>
      <c r="Z62" s="64">
        <v>3.1</v>
      </c>
      <c r="AA62" s="64">
        <v>3.1</v>
      </c>
      <c r="AB62" s="64">
        <v>3.1</v>
      </c>
      <c r="AC62" s="64">
        <v>3.1</v>
      </c>
      <c r="AD62" s="64">
        <v>3.1</v>
      </c>
      <c r="AE62" s="64">
        <v>3.1</v>
      </c>
      <c r="AF62" s="64">
        <v>3.1</v>
      </c>
      <c r="AG62" s="54">
        <v>15</v>
      </c>
      <c r="AH62" s="47">
        <f t="shared" si="2"/>
        <v>3.1</v>
      </c>
      <c r="AI62" s="48">
        <f t="shared" si="3"/>
        <v>3.1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11.1</v>
      </c>
      <c r="C63" s="64">
        <v>11.1</v>
      </c>
      <c r="D63" s="64">
        <v>11.1</v>
      </c>
      <c r="E63" s="64">
        <v>12.7</v>
      </c>
      <c r="F63" s="64">
        <v>12.7</v>
      </c>
      <c r="G63" s="64">
        <v>12.7</v>
      </c>
      <c r="H63" s="64">
        <v>12.7</v>
      </c>
      <c r="I63" s="64">
        <v>12.7</v>
      </c>
      <c r="J63" s="64">
        <v>12.7</v>
      </c>
      <c r="K63" s="64">
        <v>12.7</v>
      </c>
      <c r="L63" s="64">
        <v>12.7</v>
      </c>
      <c r="M63" s="64">
        <v>12.7</v>
      </c>
      <c r="N63" s="64">
        <v>12.7</v>
      </c>
      <c r="O63" s="64">
        <v>12.7</v>
      </c>
      <c r="P63" s="64">
        <v>12.7</v>
      </c>
      <c r="Q63" s="64">
        <v>12.7</v>
      </c>
      <c r="R63" s="64">
        <v>12.7</v>
      </c>
      <c r="S63" s="64">
        <v>12.7</v>
      </c>
      <c r="T63" s="64">
        <v>12.7</v>
      </c>
      <c r="U63" s="64">
        <v>12.7</v>
      </c>
      <c r="V63" s="64">
        <v>12.7</v>
      </c>
      <c r="W63" s="64">
        <v>12.7</v>
      </c>
      <c r="X63" s="64">
        <v>12.7</v>
      </c>
      <c r="Y63" s="64">
        <v>12.7</v>
      </c>
      <c r="Z63" s="64">
        <v>12.7</v>
      </c>
      <c r="AA63" s="64">
        <v>11.1</v>
      </c>
      <c r="AB63" s="64">
        <v>11.1</v>
      </c>
      <c r="AC63" s="64">
        <v>11.1</v>
      </c>
      <c r="AD63" s="64">
        <v>11.1</v>
      </c>
      <c r="AE63" s="64">
        <v>11.1</v>
      </c>
      <c r="AF63" s="64">
        <v>11.1</v>
      </c>
      <c r="AG63" s="54">
        <v>14.1</v>
      </c>
      <c r="AH63" s="47">
        <f t="shared" si="2"/>
        <v>12.7</v>
      </c>
      <c r="AI63" s="48">
        <f t="shared" si="3"/>
        <v>11.1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13.5</v>
      </c>
      <c r="C64" s="64">
        <v>13.5</v>
      </c>
      <c r="D64" s="64">
        <v>13.5</v>
      </c>
      <c r="E64" s="64">
        <v>4.4000000000000004</v>
      </c>
      <c r="F64" s="64">
        <v>4.4000000000000004</v>
      </c>
      <c r="G64" s="64">
        <v>4.4000000000000004</v>
      </c>
      <c r="H64" s="64">
        <v>10</v>
      </c>
      <c r="I64" s="64">
        <v>14</v>
      </c>
      <c r="J64" s="64">
        <v>11.7</v>
      </c>
      <c r="K64" s="64">
        <v>12</v>
      </c>
      <c r="L64" s="64">
        <v>12</v>
      </c>
      <c r="M64" s="64">
        <v>12</v>
      </c>
      <c r="N64" s="64">
        <v>12</v>
      </c>
      <c r="O64" s="64">
        <v>12</v>
      </c>
      <c r="P64" s="64">
        <v>12</v>
      </c>
      <c r="Q64" s="64">
        <v>12</v>
      </c>
      <c r="R64" s="64">
        <v>12</v>
      </c>
      <c r="S64" s="64">
        <v>12</v>
      </c>
      <c r="T64" s="64">
        <v>12</v>
      </c>
      <c r="U64" s="64">
        <v>12</v>
      </c>
      <c r="V64" s="64">
        <v>12</v>
      </c>
      <c r="W64" s="64">
        <v>12</v>
      </c>
      <c r="X64" s="64">
        <v>12</v>
      </c>
      <c r="Y64" s="64">
        <v>12</v>
      </c>
      <c r="Z64" s="64">
        <v>12</v>
      </c>
      <c r="AA64" s="64">
        <v>13.5</v>
      </c>
      <c r="AB64" s="64">
        <v>13.5</v>
      </c>
      <c r="AC64" s="64">
        <v>13.5</v>
      </c>
      <c r="AD64" s="64">
        <v>13.5</v>
      </c>
      <c r="AE64" s="64">
        <v>13.5</v>
      </c>
      <c r="AF64" s="64">
        <v>13.5</v>
      </c>
      <c r="AG64" s="54">
        <v>14</v>
      </c>
      <c r="AH64" s="47">
        <f t="shared" si="2"/>
        <v>14</v>
      </c>
      <c r="AI64" s="48">
        <f t="shared" si="3"/>
        <v>4.4000000000000004</v>
      </c>
      <c r="AK64" s="50"/>
    </row>
    <row r="65" spans="1:40" x14ac:dyDescent="0.25">
      <c r="A65" s="53" t="s">
        <v>73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6">SUM(B55:B67)</f>
        <v>374.44000000000005</v>
      </c>
      <c r="C68" s="60">
        <f t="shared" si="16"/>
        <v>374.44000000000005</v>
      </c>
      <c r="D68" s="60">
        <f t="shared" si="16"/>
        <v>374.44000000000005</v>
      </c>
      <c r="E68" s="60">
        <f t="shared" si="16"/>
        <v>247.83999999999997</v>
      </c>
      <c r="F68" s="60">
        <f t="shared" si="16"/>
        <v>247.83999999999997</v>
      </c>
      <c r="G68" s="60">
        <f t="shared" si="16"/>
        <v>247.83999999999997</v>
      </c>
      <c r="H68" s="60">
        <f t="shared" si="16"/>
        <v>253.43999999999997</v>
      </c>
      <c r="I68" s="60">
        <f t="shared" si="16"/>
        <v>257.44</v>
      </c>
      <c r="J68" s="60">
        <f t="shared" si="16"/>
        <v>255.13999999999996</v>
      </c>
      <c r="K68" s="60">
        <f t="shared" si="16"/>
        <v>255.43999999999997</v>
      </c>
      <c r="L68" s="60">
        <f t="shared" si="16"/>
        <v>263.74</v>
      </c>
      <c r="M68" s="60">
        <f t="shared" si="16"/>
        <v>264.44</v>
      </c>
      <c r="N68" s="60">
        <f t="shared" si="16"/>
        <v>270.44</v>
      </c>
      <c r="O68" s="60">
        <f t="shared" si="16"/>
        <v>392.84000000000003</v>
      </c>
      <c r="P68" s="60">
        <f t="shared" si="16"/>
        <v>407.94</v>
      </c>
      <c r="Q68" s="60">
        <f t="shared" si="16"/>
        <v>407.34</v>
      </c>
      <c r="R68" s="60">
        <f t="shared" si="16"/>
        <v>407.34</v>
      </c>
      <c r="S68" s="60">
        <f t="shared" si="16"/>
        <v>410.34</v>
      </c>
      <c r="T68" s="60">
        <f t="shared" ref="T68" si="17">SUM(T55:T67)</f>
        <v>405.44</v>
      </c>
      <c r="U68" s="60">
        <f t="shared" si="16"/>
        <v>402.74</v>
      </c>
      <c r="V68" s="60">
        <f t="shared" si="16"/>
        <v>395.34000000000003</v>
      </c>
      <c r="W68" s="60">
        <f t="shared" si="16"/>
        <v>392.94000000000005</v>
      </c>
      <c r="X68" s="60">
        <f t="shared" si="16"/>
        <v>391.54</v>
      </c>
      <c r="Y68" s="60">
        <f t="shared" si="16"/>
        <v>390.34000000000003</v>
      </c>
      <c r="Z68" s="60">
        <f t="shared" si="16"/>
        <v>392.14</v>
      </c>
      <c r="AA68" s="60">
        <f t="shared" ref="AA68" si="18">SUM(AA55:AA67)</f>
        <v>390.94000000000005</v>
      </c>
      <c r="AB68" s="60">
        <f t="shared" si="16"/>
        <v>390.54</v>
      </c>
      <c r="AC68" s="60">
        <f t="shared" si="16"/>
        <v>390.54</v>
      </c>
      <c r="AD68" s="60">
        <f t="shared" si="16"/>
        <v>377.34000000000003</v>
      </c>
      <c r="AE68" s="60">
        <f t="shared" si="16"/>
        <v>386.14000000000004</v>
      </c>
      <c r="AF68" s="60">
        <f t="shared" si="16"/>
        <v>390.14000000000004</v>
      </c>
      <c r="AG68" s="61">
        <f t="shared" si="16"/>
        <v>489.91</v>
      </c>
      <c r="AH68" s="47">
        <f t="shared" si="2"/>
        <v>410.34</v>
      </c>
      <c r="AI68" s="48">
        <f t="shared" si="3"/>
        <v>247.83999999999997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9">M69+M70+M71</f>
        <v>0</v>
      </c>
      <c r="N72" s="60">
        <f t="shared" si="19"/>
        <v>0</v>
      </c>
      <c r="O72" s="60">
        <f t="shared" si="19"/>
        <v>0</v>
      </c>
      <c r="P72" s="60">
        <f t="shared" si="19"/>
        <v>0</v>
      </c>
      <c r="Q72" s="60">
        <f t="shared" si="19"/>
        <v>0</v>
      </c>
      <c r="R72" s="60">
        <f t="shared" ref="R72" si="20">R69+R70+R71</f>
        <v>0</v>
      </c>
      <c r="S72" s="60">
        <f t="shared" si="19"/>
        <v>0</v>
      </c>
      <c r="T72" s="60">
        <f t="shared" ref="T72:U72" si="21">T69+T70+T71</f>
        <v>0</v>
      </c>
      <c r="U72" s="60">
        <f t="shared" si="21"/>
        <v>0</v>
      </c>
      <c r="V72" s="60">
        <f t="shared" si="19"/>
        <v>0</v>
      </c>
      <c r="W72" s="60">
        <f t="shared" si="19"/>
        <v>0</v>
      </c>
      <c r="X72" s="60">
        <f t="shared" si="19"/>
        <v>0</v>
      </c>
      <c r="Y72" s="60">
        <f t="shared" si="19"/>
        <v>0</v>
      </c>
      <c r="Z72" s="60">
        <f t="shared" si="19"/>
        <v>0</v>
      </c>
      <c r="AA72" s="60">
        <f t="shared" si="19"/>
        <v>0</v>
      </c>
      <c r="AB72" s="60">
        <f t="shared" si="19"/>
        <v>0</v>
      </c>
      <c r="AC72" s="60">
        <f t="shared" si="19"/>
        <v>0</v>
      </c>
      <c r="AD72" s="60">
        <f t="shared" si="19"/>
        <v>0</v>
      </c>
      <c r="AE72" s="60">
        <f t="shared" si="19"/>
        <v>0</v>
      </c>
      <c r="AF72" s="60">
        <f t="shared" si="19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35.6</v>
      </c>
      <c r="C73" s="45">
        <v>16.7</v>
      </c>
      <c r="D73" s="45">
        <v>12</v>
      </c>
      <c r="E73" s="45">
        <v>56.5</v>
      </c>
      <c r="F73" s="45">
        <v>29</v>
      </c>
      <c r="G73" s="45">
        <v>31.3</v>
      </c>
      <c r="H73" s="45">
        <v>29</v>
      </c>
      <c r="I73" s="45">
        <v>14.4</v>
      </c>
      <c r="J73" s="45">
        <v>14.4</v>
      </c>
      <c r="K73" s="45">
        <v>23.4</v>
      </c>
      <c r="L73" s="45">
        <v>21.9</v>
      </c>
      <c r="M73" s="45">
        <v>38.799999999999997</v>
      </c>
      <c r="N73" s="45">
        <v>20.9</v>
      </c>
      <c r="O73" s="45">
        <v>7.9</v>
      </c>
      <c r="P73" s="45">
        <v>-4.9000000000000004</v>
      </c>
      <c r="Q73" s="45">
        <v>-2.8</v>
      </c>
      <c r="R73" s="45">
        <v>-2.8</v>
      </c>
      <c r="S73" s="45">
        <v>27.1</v>
      </c>
      <c r="T73" s="45">
        <v>27.1</v>
      </c>
      <c r="U73" s="45">
        <v>-30</v>
      </c>
      <c r="V73" s="45">
        <v>-30</v>
      </c>
      <c r="W73" s="45">
        <v>-31</v>
      </c>
      <c r="X73" s="45">
        <v>-31</v>
      </c>
      <c r="Y73" s="45">
        <v>6</v>
      </c>
      <c r="Z73" s="45">
        <v>11.1</v>
      </c>
      <c r="AA73" s="45">
        <v>18.2</v>
      </c>
      <c r="AB73" s="45">
        <v>44.6</v>
      </c>
      <c r="AC73" s="45">
        <v>27.7</v>
      </c>
      <c r="AD73" s="45">
        <v>24.5</v>
      </c>
      <c r="AE73" s="45">
        <v>27.6</v>
      </c>
      <c r="AF73" s="45">
        <v>32.700000000000003</v>
      </c>
      <c r="AG73" s="51"/>
      <c r="AH73" s="47">
        <f t="shared" si="2"/>
        <v>56.5</v>
      </c>
      <c r="AI73" s="48">
        <f t="shared" si="3"/>
        <v>-31</v>
      </c>
      <c r="AK73" s="50"/>
    </row>
    <row r="74" spans="1:40" x14ac:dyDescent="0.25">
      <c r="A74" s="53" t="s">
        <v>82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-249</v>
      </c>
      <c r="C75" s="64">
        <v>-284</v>
      </c>
      <c r="D75" s="64">
        <v>-308</v>
      </c>
      <c r="E75" s="64">
        <v>-250</v>
      </c>
      <c r="F75" s="64">
        <v>-182</v>
      </c>
      <c r="G75" s="64">
        <v>-168</v>
      </c>
      <c r="H75" s="64">
        <v>-189</v>
      </c>
      <c r="I75" s="64">
        <v>-253</v>
      </c>
      <c r="J75" s="64">
        <v>-253</v>
      </c>
      <c r="K75" s="64">
        <v>-273</v>
      </c>
      <c r="L75" s="64">
        <v>-316</v>
      </c>
      <c r="M75" s="64">
        <v>-257.5</v>
      </c>
      <c r="N75" s="64">
        <v>-267.39999999999998</v>
      </c>
      <c r="O75" s="64">
        <v>-233.6</v>
      </c>
      <c r="P75" s="64">
        <v>-168.3</v>
      </c>
      <c r="Q75" s="64">
        <v>-253</v>
      </c>
      <c r="R75" s="64">
        <v>-253</v>
      </c>
      <c r="S75" s="64">
        <v>-280</v>
      </c>
      <c r="T75" s="64">
        <v>-280</v>
      </c>
      <c r="U75" s="64">
        <v>-315</v>
      </c>
      <c r="V75" s="64">
        <v>-315</v>
      </c>
      <c r="W75" s="64">
        <v>-330</v>
      </c>
      <c r="X75" s="64">
        <v>-340</v>
      </c>
      <c r="Y75" s="64">
        <v>-310</v>
      </c>
      <c r="Z75" s="64">
        <v>-290</v>
      </c>
      <c r="AA75" s="64">
        <v>-225</v>
      </c>
      <c r="AB75" s="64">
        <v>-222.6</v>
      </c>
      <c r="AC75" s="64">
        <v>-246</v>
      </c>
      <c r="AD75" s="64">
        <v>-250</v>
      </c>
      <c r="AE75" s="64">
        <v>-22.5</v>
      </c>
      <c r="AF75" s="64">
        <v>17.5</v>
      </c>
      <c r="AG75" s="74"/>
      <c r="AH75" s="47">
        <f t="shared" si="2"/>
        <v>17.5</v>
      </c>
      <c r="AI75" s="48">
        <f t="shared" si="3"/>
        <v>-340</v>
      </c>
      <c r="AK75" s="50"/>
    </row>
    <row r="76" spans="1:40" x14ac:dyDescent="0.25">
      <c r="A76" s="53" t="s">
        <v>84</v>
      </c>
      <c r="B76" s="64"/>
      <c r="C76" s="64"/>
      <c r="D76" s="64"/>
      <c r="E76" s="75"/>
      <c r="F76" s="75"/>
      <c r="G76" s="75"/>
      <c r="H76" s="75"/>
      <c r="I76" s="75"/>
      <c r="J76" s="75"/>
      <c r="K76" s="75"/>
      <c r="L76" s="75"/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45"/>
      <c r="D77" s="64"/>
      <c r="E77" s="45"/>
      <c r="F77" s="45"/>
      <c r="G77" s="45"/>
      <c r="H77" s="45"/>
      <c r="I77" s="45"/>
      <c r="J77" s="45"/>
      <c r="K77" s="45"/>
      <c r="L77" s="45"/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22">MAX(B77:AF77)</f>
        <v>0</v>
      </c>
      <c r="AI77" s="48">
        <f t="shared" ref="AI77:AI120" si="23">MIN(B77:AF77)</f>
        <v>0</v>
      </c>
      <c r="AK77" s="50"/>
    </row>
    <row r="78" spans="1:40" x14ac:dyDescent="0.25">
      <c r="A78" s="53" t="s">
        <v>86</v>
      </c>
      <c r="B78" s="45">
        <v>5</v>
      </c>
      <c r="C78" s="45">
        <v>5</v>
      </c>
      <c r="D78" s="45">
        <v>5</v>
      </c>
      <c r="E78" s="45">
        <v>5</v>
      </c>
      <c r="F78" s="45">
        <v>5</v>
      </c>
      <c r="G78" s="45">
        <v>5</v>
      </c>
      <c r="H78" s="45">
        <v>5</v>
      </c>
      <c r="I78" s="45">
        <v>5</v>
      </c>
      <c r="J78" s="45">
        <v>5</v>
      </c>
      <c r="K78" s="45">
        <v>7</v>
      </c>
      <c r="L78" s="76">
        <v>7</v>
      </c>
      <c r="M78" s="76">
        <v>7</v>
      </c>
      <c r="N78" s="76">
        <v>5</v>
      </c>
      <c r="O78" s="76">
        <v>5</v>
      </c>
      <c r="P78" s="76">
        <v>5</v>
      </c>
      <c r="Q78" s="76">
        <v>5</v>
      </c>
      <c r="R78" s="76">
        <v>5</v>
      </c>
      <c r="S78" s="76">
        <v>5</v>
      </c>
      <c r="T78" s="76">
        <v>5</v>
      </c>
      <c r="U78" s="76">
        <v>5</v>
      </c>
      <c r="V78" s="76">
        <v>5</v>
      </c>
      <c r="W78" s="76">
        <v>5</v>
      </c>
      <c r="X78" s="76">
        <v>5</v>
      </c>
      <c r="Y78" s="76">
        <v>5</v>
      </c>
      <c r="Z78" s="76">
        <v>5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74"/>
      <c r="AH78" s="47">
        <f t="shared" si="22"/>
        <v>7</v>
      </c>
      <c r="AI78" s="48">
        <f t="shared" si="23"/>
        <v>0</v>
      </c>
      <c r="AK78" s="50"/>
    </row>
    <row r="79" spans="1:40" ht="15.75" thickBot="1" x14ac:dyDescent="0.3">
      <c r="A79" s="53" t="s">
        <v>87</v>
      </c>
      <c r="B79" s="45"/>
      <c r="C79" s="76"/>
      <c r="D79" s="64"/>
      <c r="E79" s="76"/>
      <c r="F79" s="76"/>
      <c r="G79" s="76"/>
      <c r="H79" s="76"/>
      <c r="I79" s="76"/>
      <c r="J79" s="76"/>
      <c r="K79" s="76"/>
      <c r="L79" s="76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22"/>
        <v>0</v>
      </c>
      <c r="AI79" s="48">
        <f t="shared" si="23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/>
      <c r="C80" s="76"/>
      <c r="D80" s="64"/>
      <c r="E80" s="76"/>
      <c r="F80" s="76"/>
      <c r="G80" s="76"/>
      <c r="H80" s="76"/>
      <c r="I80" s="76"/>
      <c r="J80" s="76"/>
      <c r="K80" s="76"/>
      <c r="L80" s="76"/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22"/>
        <v>0</v>
      </c>
      <c r="AI80" s="48">
        <f t="shared" si="23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/>
      <c r="C81" s="76"/>
      <c r="D81" s="64"/>
      <c r="E81" s="76"/>
      <c r="F81" s="76"/>
      <c r="G81" s="76"/>
      <c r="H81" s="76"/>
      <c r="I81" s="76"/>
      <c r="J81" s="76"/>
      <c r="K81" s="76"/>
      <c r="L81" s="76"/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22"/>
        <v>0</v>
      </c>
      <c r="AI81" s="48">
        <f t="shared" si="23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/>
      <c r="C82" s="76"/>
      <c r="D82" s="64"/>
      <c r="E82" s="76"/>
      <c r="F82" s="76"/>
      <c r="G82" s="76"/>
      <c r="H82" s="76"/>
      <c r="I82" s="76"/>
      <c r="J82" s="76"/>
      <c r="K82" s="76"/>
      <c r="L82" s="76"/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22"/>
        <v>0</v>
      </c>
      <c r="AI82" s="48">
        <f t="shared" si="23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/>
      <c r="C83" s="76"/>
      <c r="D83" s="64"/>
      <c r="E83" s="76"/>
      <c r="F83" s="76"/>
      <c r="G83" s="76"/>
      <c r="H83" s="76"/>
      <c r="I83" s="76"/>
      <c r="J83" s="76"/>
      <c r="K83" s="76"/>
      <c r="L83" s="76"/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/>
      <c r="AB83" s="76"/>
      <c r="AC83" s="76"/>
      <c r="AD83" s="76"/>
      <c r="AE83" s="76"/>
      <c r="AF83" s="76"/>
      <c r="AG83" s="84"/>
      <c r="AH83" s="47">
        <f t="shared" si="22"/>
        <v>0</v>
      </c>
      <c r="AI83" s="48">
        <f t="shared" si="23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24">SUMIF(B73:B83,"&gt;0")</f>
        <v>40.6</v>
      </c>
      <c r="C84" s="60">
        <f t="shared" si="24"/>
        <v>21.7</v>
      </c>
      <c r="D84" s="60">
        <f t="shared" si="24"/>
        <v>17</v>
      </c>
      <c r="E84" s="60">
        <f t="shared" si="24"/>
        <v>61.5</v>
      </c>
      <c r="F84" s="60">
        <f t="shared" si="24"/>
        <v>34</v>
      </c>
      <c r="G84" s="60">
        <f t="shared" si="24"/>
        <v>36.299999999999997</v>
      </c>
      <c r="H84" s="60">
        <f t="shared" si="24"/>
        <v>34</v>
      </c>
      <c r="I84" s="60">
        <f t="shared" si="24"/>
        <v>19.399999999999999</v>
      </c>
      <c r="J84" s="60">
        <f t="shared" si="24"/>
        <v>19.399999999999999</v>
      </c>
      <c r="K84" s="60">
        <f t="shared" si="24"/>
        <v>30.4</v>
      </c>
      <c r="L84" s="60">
        <f t="shared" si="24"/>
        <v>28.9</v>
      </c>
      <c r="M84" s="60">
        <f t="shared" si="24"/>
        <v>45.8</v>
      </c>
      <c r="N84" s="60">
        <f t="shared" si="24"/>
        <v>25.9</v>
      </c>
      <c r="O84" s="60">
        <f t="shared" si="24"/>
        <v>12.9</v>
      </c>
      <c r="P84" s="60">
        <f t="shared" si="24"/>
        <v>5</v>
      </c>
      <c r="Q84" s="60">
        <f t="shared" si="24"/>
        <v>5</v>
      </c>
      <c r="R84" s="60">
        <f t="shared" si="24"/>
        <v>5</v>
      </c>
      <c r="S84" s="60">
        <f t="shared" si="24"/>
        <v>32.1</v>
      </c>
      <c r="T84" s="60">
        <f t="shared" ref="T84" si="25">SUMIF(T73:T83,"&gt;0")</f>
        <v>32.1</v>
      </c>
      <c r="U84" s="60">
        <f t="shared" si="24"/>
        <v>5</v>
      </c>
      <c r="V84" s="60">
        <f t="shared" si="24"/>
        <v>5</v>
      </c>
      <c r="W84" s="60">
        <f t="shared" si="24"/>
        <v>5</v>
      </c>
      <c r="X84" s="60">
        <f t="shared" si="24"/>
        <v>5</v>
      </c>
      <c r="Y84" s="60">
        <f t="shared" si="24"/>
        <v>11</v>
      </c>
      <c r="Z84" s="60">
        <f t="shared" si="24"/>
        <v>16.100000000000001</v>
      </c>
      <c r="AA84" s="60">
        <f>SUMIF(AA73:AA83,"&gt;0")</f>
        <v>18.2</v>
      </c>
      <c r="AB84" s="60">
        <f t="shared" si="24"/>
        <v>44.6</v>
      </c>
      <c r="AC84" s="60">
        <f t="shared" si="24"/>
        <v>27.7</v>
      </c>
      <c r="AD84" s="60">
        <f t="shared" si="24"/>
        <v>24.5</v>
      </c>
      <c r="AE84" s="60">
        <f t="shared" si="24"/>
        <v>27.6</v>
      </c>
      <c r="AF84" s="60">
        <f t="shared" si="24"/>
        <v>50.2</v>
      </c>
      <c r="AG84" s="87">
        <f>SUM(AG73:AG83)</f>
        <v>0</v>
      </c>
      <c r="AH84" s="47">
        <f t="shared" si="22"/>
        <v>61.5</v>
      </c>
      <c r="AI84" s="48">
        <f t="shared" si="23"/>
        <v>5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22"/>
        <v>0</v>
      </c>
      <c r="AI85" s="48">
        <f t="shared" si="23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22"/>
        <v>0</v>
      </c>
      <c r="AI86" s="48">
        <f t="shared" si="23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22"/>
        <v>0</v>
      </c>
      <c r="AI87" s="48">
        <f t="shared" si="23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22"/>
        <v>0</v>
      </c>
      <c r="AI88" s="48">
        <f t="shared" si="23"/>
        <v>0</v>
      </c>
    </row>
    <row r="89" spans="1:40" ht="15.75" thickBot="1" x14ac:dyDescent="0.3">
      <c r="A89" s="73" t="s">
        <v>100</v>
      </c>
      <c r="B89" s="94">
        <f t="shared" ref="B89:AG89" si="26">B50+B54+B72+B68+B84+B88</f>
        <v>2020.42</v>
      </c>
      <c r="C89" s="94">
        <f t="shared" si="26"/>
        <v>1992.5200000000002</v>
      </c>
      <c r="D89" s="94">
        <f t="shared" si="26"/>
        <v>1981.8200000000002</v>
      </c>
      <c r="E89" s="94">
        <f t="shared" si="26"/>
        <v>1895.62</v>
      </c>
      <c r="F89" s="94">
        <f t="shared" si="26"/>
        <v>1864.62</v>
      </c>
      <c r="G89" s="94">
        <f t="shared" si="26"/>
        <v>1782.19</v>
      </c>
      <c r="H89" s="94">
        <f t="shared" si="26"/>
        <v>1811.0900000000001</v>
      </c>
      <c r="I89" s="94">
        <f t="shared" si="26"/>
        <v>1800.4900000000002</v>
      </c>
      <c r="J89" s="94">
        <f t="shared" si="26"/>
        <v>1869.19</v>
      </c>
      <c r="K89" s="94">
        <f t="shared" si="26"/>
        <v>1923.9900000000002</v>
      </c>
      <c r="L89" s="94">
        <f t="shared" si="26"/>
        <v>1960.89</v>
      </c>
      <c r="M89" s="94">
        <f t="shared" si="26"/>
        <v>1978.49</v>
      </c>
      <c r="N89" s="94">
        <f t="shared" si="26"/>
        <v>1964.5900000000001</v>
      </c>
      <c r="O89" s="94">
        <f t="shared" si="26"/>
        <v>2065.34</v>
      </c>
      <c r="P89" s="94">
        <f t="shared" si="26"/>
        <v>2076.54</v>
      </c>
      <c r="Q89" s="94">
        <f t="shared" si="26"/>
        <v>2075.94</v>
      </c>
      <c r="R89" s="94">
        <f t="shared" si="26"/>
        <v>2075.94</v>
      </c>
      <c r="S89" s="94">
        <f t="shared" si="26"/>
        <v>2096.04</v>
      </c>
      <c r="T89" s="94">
        <f t="shared" ref="T89" si="27">T50+T54+T72+T68+T84+T88</f>
        <v>2102.14</v>
      </c>
      <c r="U89" s="94">
        <f t="shared" si="26"/>
        <v>2067.34</v>
      </c>
      <c r="V89" s="94">
        <f t="shared" si="26"/>
        <v>2058.94</v>
      </c>
      <c r="W89" s="94">
        <f t="shared" si="26"/>
        <v>2038.54</v>
      </c>
      <c r="X89" s="94">
        <f t="shared" si="26"/>
        <v>2044.34</v>
      </c>
      <c r="Y89" s="94">
        <f t="shared" si="26"/>
        <v>2051.14</v>
      </c>
      <c r="Z89" s="94">
        <f t="shared" si="26"/>
        <v>2067.39</v>
      </c>
      <c r="AA89" s="94">
        <f>AA50+AA54+AA72+AA68+AA84+AA88</f>
        <v>2101.8199999999997</v>
      </c>
      <c r="AB89" s="94">
        <f t="shared" si="26"/>
        <v>2140.44</v>
      </c>
      <c r="AC89" s="94">
        <f t="shared" si="26"/>
        <v>2123.54</v>
      </c>
      <c r="AD89" s="94">
        <f t="shared" si="26"/>
        <v>2094.14</v>
      </c>
      <c r="AE89" s="94">
        <f t="shared" si="26"/>
        <v>2045.0399999999997</v>
      </c>
      <c r="AF89" s="94">
        <f t="shared" si="26"/>
        <v>1868.54</v>
      </c>
      <c r="AG89" s="61">
        <f t="shared" si="26"/>
        <v>2111.5500000000002</v>
      </c>
      <c r="AH89" s="47">
        <f t="shared" si="22"/>
        <v>2140.44</v>
      </c>
      <c r="AI89" s="48">
        <f t="shared" si="23"/>
        <v>1782.19</v>
      </c>
    </row>
    <row r="90" spans="1:40" ht="15.75" thickBot="1" x14ac:dyDescent="0.3">
      <c r="A90" s="95" t="s">
        <v>101</v>
      </c>
      <c r="B90" s="96"/>
      <c r="C90" s="96"/>
      <c r="D90" s="96">
        <v>0</v>
      </c>
      <c r="E90" s="96">
        <v>50</v>
      </c>
      <c r="F90" s="96">
        <v>50</v>
      </c>
      <c r="G90" s="96">
        <v>60</v>
      </c>
      <c r="H90" s="96">
        <v>60</v>
      </c>
      <c r="I90" s="96">
        <v>60</v>
      </c>
      <c r="J90" s="96">
        <v>60</v>
      </c>
      <c r="K90" s="96">
        <v>60</v>
      </c>
      <c r="L90" s="96">
        <v>60</v>
      </c>
      <c r="M90" s="96">
        <v>60</v>
      </c>
      <c r="N90" s="96">
        <v>60</v>
      </c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22"/>
        <v>60</v>
      </c>
      <c r="AI90" s="48">
        <f t="shared" si="23"/>
        <v>0</v>
      </c>
    </row>
    <row r="91" spans="1:40" ht="15.75" thickBot="1" x14ac:dyDescent="0.3">
      <c r="A91" s="73" t="s">
        <v>102</v>
      </c>
      <c r="B91" s="94">
        <f t="shared" ref="B91:AF91" si="28">B89+B90</f>
        <v>2020.42</v>
      </c>
      <c r="C91" s="94">
        <f t="shared" si="28"/>
        <v>1992.5200000000002</v>
      </c>
      <c r="D91" s="94">
        <f t="shared" si="28"/>
        <v>1981.8200000000002</v>
      </c>
      <c r="E91" s="94">
        <f t="shared" si="28"/>
        <v>1945.62</v>
      </c>
      <c r="F91" s="94">
        <f t="shared" si="28"/>
        <v>1914.62</v>
      </c>
      <c r="G91" s="94">
        <f t="shared" si="28"/>
        <v>1842.19</v>
      </c>
      <c r="H91" s="94">
        <f t="shared" si="28"/>
        <v>1871.0900000000001</v>
      </c>
      <c r="I91" s="94">
        <f t="shared" si="28"/>
        <v>1860.4900000000002</v>
      </c>
      <c r="J91" s="94">
        <f t="shared" si="28"/>
        <v>1929.19</v>
      </c>
      <c r="K91" s="94">
        <f t="shared" si="28"/>
        <v>1983.9900000000002</v>
      </c>
      <c r="L91" s="94">
        <f t="shared" si="28"/>
        <v>2020.89</v>
      </c>
      <c r="M91" s="94">
        <f t="shared" si="28"/>
        <v>2038.49</v>
      </c>
      <c r="N91" s="94">
        <f t="shared" si="28"/>
        <v>2024.5900000000001</v>
      </c>
      <c r="O91" s="94">
        <f t="shared" si="28"/>
        <v>2065.34</v>
      </c>
      <c r="P91" s="94">
        <f t="shared" si="28"/>
        <v>2076.54</v>
      </c>
      <c r="Q91" s="94">
        <f t="shared" si="28"/>
        <v>2075.94</v>
      </c>
      <c r="R91" s="94">
        <f t="shared" si="28"/>
        <v>2075.94</v>
      </c>
      <c r="S91" s="94">
        <f t="shared" si="28"/>
        <v>2096.04</v>
      </c>
      <c r="T91" s="94">
        <f t="shared" ref="T91" si="29">T89+T90</f>
        <v>2102.14</v>
      </c>
      <c r="U91" s="94">
        <f t="shared" si="28"/>
        <v>2067.34</v>
      </c>
      <c r="V91" s="94">
        <f t="shared" si="28"/>
        <v>2058.94</v>
      </c>
      <c r="W91" s="94">
        <f t="shared" si="28"/>
        <v>2038.54</v>
      </c>
      <c r="X91" s="94">
        <f t="shared" si="28"/>
        <v>2044.34</v>
      </c>
      <c r="Y91" s="94">
        <f t="shared" si="28"/>
        <v>2051.14</v>
      </c>
      <c r="Z91" s="94">
        <f t="shared" si="28"/>
        <v>2067.39</v>
      </c>
      <c r="AA91" s="94">
        <f>AA89+AA90</f>
        <v>2101.8199999999997</v>
      </c>
      <c r="AB91" s="94">
        <f t="shared" si="28"/>
        <v>2140.44</v>
      </c>
      <c r="AC91" s="94">
        <f t="shared" si="28"/>
        <v>2123.54</v>
      </c>
      <c r="AD91" s="94">
        <f t="shared" si="28"/>
        <v>2094.14</v>
      </c>
      <c r="AE91" s="94">
        <f t="shared" si="28"/>
        <v>2045.0399999999997</v>
      </c>
      <c r="AF91" s="94">
        <f t="shared" si="28"/>
        <v>1868.54</v>
      </c>
      <c r="AG91" s="87">
        <f>AG88+AG84+AG72+AG68+AG50+AG90</f>
        <v>1573.45</v>
      </c>
      <c r="AH91" s="47">
        <f t="shared" si="22"/>
        <v>2140.44</v>
      </c>
      <c r="AI91" s="48">
        <f t="shared" si="23"/>
        <v>1842.19</v>
      </c>
    </row>
    <row r="92" spans="1:40" ht="15.75" thickBot="1" x14ac:dyDescent="0.3">
      <c r="A92" s="73" t="s">
        <v>103</v>
      </c>
      <c r="B92" s="94">
        <f t="shared" ref="B92:AF92" si="30">B91-B99</f>
        <v>2020.42</v>
      </c>
      <c r="C92" s="94">
        <f t="shared" si="30"/>
        <v>1992.5200000000002</v>
      </c>
      <c r="D92" s="94">
        <f t="shared" si="30"/>
        <v>1981.8200000000002</v>
      </c>
      <c r="E92" s="94">
        <f t="shared" si="30"/>
        <v>1945.62</v>
      </c>
      <c r="F92" s="94">
        <f t="shared" si="30"/>
        <v>1914.62</v>
      </c>
      <c r="G92" s="94">
        <f t="shared" si="30"/>
        <v>1842.19</v>
      </c>
      <c r="H92" s="94">
        <f t="shared" si="30"/>
        <v>1871.0900000000001</v>
      </c>
      <c r="I92" s="94">
        <f t="shared" si="30"/>
        <v>1860.4900000000002</v>
      </c>
      <c r="J92" s="94">
        <f t="shared" si="30"/>
        <v>1929.19</v>
      </c>
      <c r="K92" s="94">
        <f t="shared" si="30"/>
        <v>1983.9900000000002</v>
      </c>
      <c r="L92" s="94">
        <f t="shared" si="30"/>
        <v>2020.89</v>
      </c>
      <c r="M92" s="94">
        <f t="shared" si="30"/>
        <v>2038.49</v>
      </c>
      <c r="N92" s="94">
        <f t="shared" si="30"/>
        <v>2024.5900000000001</v>
      </c>
      <c r="O92" s="94">
        <f t="shared" si="30"/>
        <v>2065.34</v>
      </c>
      <c r="P92" s="94">
        <f t="shared" si="30"/>
        <v>2076.54</v>
      </c>
      <c r="Q92" s="94">
        <f t="shared" si="30"/>
        <v>2075.94</v>
      </c>
      <c r="R92" s="94">
        <f t="shared" si="30"/>
        <v>2075.94</v>
      </c>
      <c r="S92" s="94">
        <f t="shared" si="30"/>
        <v>2096.04</v>
      </c>
      <c r="T92" s="94">
        <f t="shared" ref="T92" si="31">T91-T99</f>
        <v>2102.14</v>
      </c>
      <c r="U92" s="94">
        <f t="shared" si="30"/>
        <v>2067.34</v>
      </c>
      <c r="V92" s="94">
        <f t="shared" si="30"/>
        <v>2058.94</v>
      </c>
      <c r="W92" s="94">
        <f t="shared" si="30"/>
        <v>2038.54</v>
      </c>
      <c r="X92" s="94">
        <f t="shared" si="30"/>
        <v>2044.34</v>
      </c>
      <c r="Y92" s="94">
        <f t="shared" si="30"/>
        <v>2051.14</v>
      </c>
      <c r="Z92" s="94">
        <f t="shared" si="30"/>
        <v>2067.39</v>
      </c>
      <c r="AA92" s="94">
        <f>AA91-AA99</f>
        <v>2101.8199999999997</v>
      </c>
      <c r="AB92" s="94">
        <f t="shared" si="30"/>
        <v>2140.44</v>
      </c>
      <c r="AC92" s="94">
        <f t="shared" si="30"/>
        <v>2123.54</v>
      </c>
      <c r="AD92" s="94">
        <f t="shared" si="30"/>
        <v>2094.14</v>
      </c>
      <c r="AE92" s="94">
        <f t="shared" si="30"/>
        <v>2045.0399999999997</v>
      </c>
      <c r="AF92" s="94">
        <f t="shared" si="30"/>
        <v>1868.54</v>
      </c>
      <c r="AG92" s="87"/>
      <c r="AH92" s="47">
        <f t="shared" si="22"/>
        <v>2140.44</v>
      </c>
      <c r="AI92" s="48">
        <f t="shared" si="23"/>
        <v>1842.19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22"/>
        <v>0</v>
      </c>
      <c r="AI93" s="48">
        <f t="shared" si="23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22"/>
        <v>0</v>
      </c>
      <c r="AI94" s="48">
        <f t="shared" si="23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22"/>
        <v>0</v>
      </c>
      <c r="AI95" s="48">
        <f t="shared" si="23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22"/>
        <v>0</v>
      </c>
      <c r="AI96" s="48">
        <f t="shared" si="23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22"/>
        <v>0</v>
      </c>
      <c r="AI97" s="48">
        <f t="shared" si="23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22"/>
        <v>0</v>
      </c>
      <c r="AI98" s="48">
        <f t="shared" si="23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22"/>
        <v>0</v>
      </c>
      <c r="AI99" s="48">
        <f t="shared" si="23"/>
        <v>0</v>
      </c>
      <c r="AK99" s="50"/>
    </row>
    <row r="100" spans="1:37" ht="15.75" thickBot="1" x14ac:dyDescent="0.3">
      <c r="A100" s="73" t="s">
        <v>108</v>
      </c>
      <c r="B100" s="60">
        <f t="shared" ref="B100:AF100" si="32">B84-B99</f>
        <v>40.6</v>
      </c>
      <c r="C100" s="60">
        <f t="shared" si="32"/>
        <v>21.7</v>
      </c>
      <c r="D100" s="60">
        <f t="shared" ref="D100" si="33">D84-D99</f>
        <v>17</v>
      </c>
      <c r="E100" s="60">
        <f t="shared" si="32"/>
        <v>61.5</v>
      </c>
      <c r="F100" s="60">
        <f t="shared" si="32"/>
        <v>34</v>
      </c>
      <c r="G100" s="60">
        <f t="shared" si="32"/>
        <v>36.299999999999997</v>
      </c>
      <c r="H100" s="60">
        <f t="shared" si="32"/>
        <v>34</v>
      </c>
      <c r="I100" s="60">
        <f t="shared" si="32"/>
        <v>19.399999999999999</v>
      </c>
      <c r="J100" s="60">
        <f t="shared" si="32"/>
        <v>19.399999999999999</v>
      </c>
      <c r="K100" s="60">
        <f t="shared" si="32"/>
        <v>30.4</v>
      </c>
      <c r="L100" s="60">
        <f t="shared" si="32"/>
        <v>28.9</v>
      </c>
      <c r="M100" s="60">
        <f t="shared" si="32"/>
        <v>45.8</v>
      </c>
      <c r="N100" s="60">
        <f t="shared" si="32"/>
        <v>25.9</v>
      </c>
      <c r="O100" s="60">
        <f t="shared" si="32"/>
        <v>12.9</v>
      </c>
      <c r="P100" s="60">
        <f t="shared" si="32"/>
        <v>5</v>
      </c>
      <c r="Q100" s="60">
        <f t="shared" si="32"/>
        <v>5</v>
      </c>
      <c r="R100" s="60">
        <f t="shared" si="32"/>
        <v>5</v>
      </c>
      <c r="S100" s="60">
        <f t="shared" si="32"/>
        <v>32.1</v>
      </c>
      <c r="T100" s="60">
        <f t="shared" ref="T100" si="34">T84-T99</f>
        <v>32.1</v>
      </c>
      <c r="U100" s="60">
        <f t="shared" si="32"/>
        <v>5</v>
      </c>
      <c r="V100" s="60">
        <f t="shared" si="32"/>
        <v>5</v>
      </c>
      <c r="W100" s="60">
        <f t="shared" si="32"/>
        <v>5</v>
      </c>
      <c r="X100" s="60">
        <f t="shared" si="32"/>
        <v>5</v>
      </c>
      <c r="Y100" s="60">
        <f t="shared" si="32"/>
        <v>11</v>
      </c>
      <c r="Z100" s="60">
        <f t="shared" si="32"/>
        <v>16.100000000000001</v>
      </c>
      <c r="AA100" s="60">
        <f>AA84-AA99</f>
        <v>18.2</v>
      </c>
      <c r="AB100" s="60">
        <f t="shared" si="32"/>
        <v>44.6</v>
      </c>
      <c r="AC100" s="60">
        <f t="shared" si="32"/>
        <v>27.7</v>
      </c>
      <c r="AD100" s="60">
        <f t="shared" si="32"/>
        <v>24.5</v>
      </c>
      <c r="AE100" s="60">
        <f t="shared" si="32"/>
        <v>27.6</v>
      </c>
      <c r="AF100" s="60">
        <f t="shared" si="32"/>
        <v>50.2</v>
      </c>
      <c r="AG100" s="87"/>
      <c r="AH100" s="47">
        <f t="shared" si="22"/>
        <v>61.5</v>
      </c>
      <c r="AI100" s="48">
        <f t="shared" si="23"/>
        <v>5</v>
      </c>
    </row>
    <row r="101" spans="1:37" x14ac:dyDescent="0.25">
      <c r="A101" s="99" t="s">
        <v>109</v>
      </c>
      <c r="B101" s="100">
        <v>50.06</v>
      </c>
      <c r="C101" s="100">
        <v>50.027000000000001</v>
      </c>
      <c r="D101" s="100">
        <v>50.027000000000001</v>
      </c>
      <c r="E101" s="100">
        <v>50.039000000000001</v>
      </c>
      <c r="F101" s="100">
        <v>50.039000000000001</v>
      </c>
      <c r="G101" s="100">
        <v>50.088999999999999</v>
      </c>
      <c r="H101" s="100">
        <v>50.088999999999999</v>
      </c>
      <c r="I101" s="100">
        <v>50.042999999999999</v>
      </c>
      <c r="J101" s="100">
        <v>50.042999999999999</v>
      </c>
      <c r="K101" s="100">
        <v>50.061999999999998</v>
      </c>
      <c r="L101" s="100">
        <v>50.030999999999999</v>
      </c>
      <c r="M101" s="100">
        <v>50.017000000000003</v>
      </c>
      <c r="N101" s="100">
        <v>49.951999999999998</v>
      </c>
      <c r="O101" s="100">
        <v>50.027000000000001</v>
      </c>
      <c r="P101" s="100">
        <v>49.960999999999999</v>
      </c>
      <c r="Q101" s="100">
        <v>49.960999999999999</v>
      </c>
      <c r="R101" s="100">
        <v>49.972999999999999</v>
      </c>
      <c r="S101" s="100">
        <v>50.02</v>
      </c>
      <c r="T101" s="100">
        <v>50.02</v>
      </c>
      <c r="U101" s="100">
        <v>49.96</v>
      </c>
      <c r="V101" s="100">
        <v>49.91</v>
      </c>
      <c r="W101" s="100">
        <v>49.98</v>
      </c>
      <c r="X101" s="100">
        <v>49.98</v>
      </c>
      <c r="Y101" s="100">
        <v>49.97</v>
      </c>
      <c r="Z101" s="100">
        <v>50.06</v>
      </c>
      <c r="AA101" s="100">
        <v>50.02</v>
      </c>
      <c r="AB101" s="100">
        <v>50.006999999999998</v>
      </c>
      <c r="AC101" s="100">
        <v>49.984000000000002</v>
      </c>
      <c r="AD101" s="100">
        <v>49.984000000000002</v>
      </c>
      <c r="AE101" s="100">
        <v>50.018999999999998</v>
      </c>
      <c r="AF101" s="100">
        <v>50.057000000000002</v>
      </c>
      <c r="AG101" s="101"/>
      <c r="AH101" s="47">
        <f t="shared" si="22"/>
        <v>50.088999999999999</v>
      </c>
      <c r="AI101" s="48">
        <f t="shared" si="23"/>
        <v>49.91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22"/>
        <v>0</v>
      </c>
      <c r="AI102" s="48">
        <f t="shared" si="23"/>
        <v>0</v>
      </c>
    </row>
    <row r="103" spans="1:37" x14ac:dyDescent="0.25">
      <c r="A103" s="102" t="s">
        <v>111</v>
      </c>
      <c r="B103" s="64">
        <v>126.9</v>
      </c>
      <c r="C103" s="64">
        <v>128.19999999999999</v>
      </c>
      <c r="D103" s="64">
        <v>128.19999999999999</v>
      </c>
      <c r="E103" s="64">
        <v>127.7</v>
      </c>
      <c r="F103" s="64">
        <v>127.7</v>
      </c>
      <c r="G103" s="64">
        <v>128.1</v>
      </c>
      <c r="H103" s="64">
        <v>128.1</v>
      </c>
      <c r="I103" s="64">
        <v>126.6</v>
      </c>
      <c r="J103" s="64">
        <v>126.6</v>
      </c>
      <c r="K103" s="64">
        <v>125.6</v>
      </c>
      <c r="L103" s="64">
        <v>124.6</v>
      </c>
      <c r="M103" s="64">
        <v>125.1</v>
      </c>
      <c r="N103" s="64">
        <v>123.9</v>
      </c>
      <c r="O103" s="64">
        <v>123.6</v>
      </c>
      <c r="P103" s="64">
        <v>123</v>
      </c>
      <c r="Q103" s="64">
        <v>123</v>
      </c>
      <c r="R103" s="64">
        <v>122.8</v>
      </c>
      <c r="S103" s="64">
        <v>124.9</v>
      </c>
      <c r="T103" s="64">
        <v>124.9</v>
      </c>
      <c r="U103" s="64">
        <v>124.9</v>
      </c>
      <c r="V103" s="64">
        <v>127.7</v>
      </c>
      <c r="W103" s="64">
        <v>128.19999999999999</v>
      </c>
      <c r="X103" s="64">
        <v>128.19999999999999</v>
      </c>
      <c r="Y103" s="64">
        <v>127.1</v>
      </c>
      <c r="Z103" s="64">
        <v>126.5</v>
      </c>
      <c r="AA103" s="64">
        <v>125.3</v>
      </c>
      <c r="AB103" s="64">
        <v>129.19999999999999</v>
      </c>
      <c r="AC103" s="64">
        <v>124.8</v>
      </c>
      <c r="AD103" s="64">
        <v>124.8</v>
      </c>
      <c r="AE103" s="64">
        <v>126.6</v>
      </c>
      <c r="AF103" s="64">
        <v>126.8</v>
      </c>
      <c r="AG103" s="103"/>
      <c r="AH103" s="47">
        <f t="shared" si="22"/>
        <v>129.19999999999999</v>
      </c>
      <c r="AI103" s="48">
        <f t="shared" si="23"/>
        <v>122.8</v>
      </c>
    </row>
    <row r="104" spans="1:37" x14ac:dyDescent="0.25">
      <c r="A104" s="102" t="s">
        <v>112</v>
      </c>
      <c r="B104" s="64">
        <v>123.8</v>
      </c>
      <c r="C104" s="64">
        <v>125.2</v>
      </c>
      <c r="D104" s="64">
        <v>125.2</v>
      </c>
      <c r="E104" s="64">
        <v>127.4</v>
      </c>
      <c r="F104" s="64">
        <v>127.4</v>
      </c>
      <c r="G104" s="64">
        <v>127.9</v>
      </c>
      <c r="H104" s="64">
        <v>127.9</v>
      </c>
      <c r="I104" s="64">
        <v>128</v>
      </c>
      <c r="J104" s="64">
        <v>128</v>
      </c>
      <c r="K104" s="64">
        <v>127.3</v>
      </c>
      <c r="L104" s="64">
        <v>126.8</v>
      </c>
      <c r="M104" s="64">
        <v>126.6</v>
      </c>
      <c r="N104" s="64">
        <v>122.6</v>
      </c>
      <c r="O104" s="64">
        <v>121.2</v>
      </c>
      <c r="P104" s="64">
        <v>126.3</v>
      </c>
      <c r="Q104" s="64">
        <v>126.3</v>
      </c>
      <c r="R104" s="64">
        <v>128</v>
      </c>
      <c r="S104" s="64">
        <v>123.4</v>
      </c>
      <c r="T104" s="64">
        <v>123.4</v>
      </c>
      <c r="U104" s="64">
        <v>123.4</v>
      </c>
      <c r="V104" s="64">
        <v>126.7</v>
      </c>
      <c r="W104" s="64">
        <v>128.69999999999999</v>
      </c>
      <c r="X104" s="64">
        <v>128.69999999999999</v>
      </c>
      <c r="Y104" s="64">
        <v>126.2</v>
      </c>
      <c r="Z104" s="64">
        <v>126.3</v>
      </c>
      <c r="AA104" s="64">
        <v>125.1</v>
      </c>
      <c r="AB104" s="64">
        <v>122.6</v>
      </c>
      <c r="AC104" s="64">
        <v>124.7</v>
      </c>
      <c r="AD104" s="64">
        <v>124.7</v>
      </c>
      <c r="AE104" s="64">
        <v>123</v>
      </c>
      <c r="AF104" s="64">
        <v>126.5</v>
      </c>
      <c r="AG104" s="103"/>
      <c r="AH104" s="47">
        <f t="shared" si="22"/>
        <v>128.69999999999999</v>
      </c>
      <c r="AI104" s="48">
        <f t="shared" si="23"/>
        <v>121.2</v>
      </c>
    </row>
    <row r="105" spans="1:37" x14ac:dyDescent="0.25">
      <c r="A105" s="104" t="s">
        <v>113</v>
      </c>
      <c r="B105" s="64">
        <v>127.1</v>
      </c>
      <c r="C105" s="64">
        <v>128.4</v>
      </c>
      <c r="D105" s="64">
        <v>128.4</v>
      </c>
      <c r="E105" s="64">
        <v>129.6</v>
      </c>
      <c r="F105" s="64">
        <v>129.6</v>
      </c>
      <c r="G105" s="64">
        <v>131.1</v>
      </c>
      <c r="H105" s="64">
        <v>131.1</v>
      </c>
      <c r="I105" s="64">
        <v>129.1</v>
      </c>
      <c r="J105" s="64">
        <v>129.1</v>
      </c>
      <c r="K105" s="64">
        <v>128.80000000000001</v>
      </c>
      <c r="L105" s="64">
        <v>128.6</v>
      </c>
      <c r="M105" s="64">
        <v>127.1</v>
      </c>
      <c r="N105" s="64">
        <v>122.5</v>
      </c>
      <c r="O105" s="64">
        <v>121.9</v>
      </c>
      <c r="P105" s="64">
        <v>128.80000000000001</v>
      </c>
      <c r="Q105" s="64">
        <v>128.80000000000001</v>
      </c>
      <c r="R105" s="64">
        <v>128.1</v>
      </c>
      <c r="S105" s="64">
        <v>122.6</v>
      </c>
      <c r="T105" s="64">
        <v>122.6</v>
      </c>
      <c r="U105" s="64">
        <v>122.6</v>
      </c>
      <c r="V105" s="64">
        <v>127.6</v>
      </c>
      <c r="W105" s="64">
        <v>129</v>
      </c>
      <c r="X105" s="64">
        <v>129</v>
      </c>
      <c r="Y105" s="64">
        <v>128</v>
      </c>
      <c r="Z105" s="64">
        <v>127</v>
      </c>
      <c r="AA105" s="64">
        <v>126.8</v>
      </c>
      <c r="AB105" s="64">
        <v>126.1</v>
      </c>
      <c r="AC105" s="64">
        <v>126.5</v>
      </c>
      <c r="AD105" s="64">
        <v>126.5</v>
      </c>
      <c r="AE105" s="64">
        <v>125.7</v>
      </c>
      <c r="AF105" s="64">
        <v>126.8</v>
      </c>
      <c r="AG105" s="103"/>
      <c r="AH105" s="47">
        <f t="shared" si="22"/>
        <v>131.1</v>
      </c>
      <c r="AI105" s="48">
        <f t="shared" si="23"/>
        <v>121.9</v>
      </c>
    </row>
    <row r="106" spans="1:37" x14ac:dyDescent="0.25">
      <c r="A106" s="104" t="s">
        <v>114</v>
      </c>
      <c r="B106" s="105">
        <v>130.69999999999999</v>
      </c>
      <c r="C106" s="105">
        <v>132.9</v>
      </c>
      <c r="D106" s="105">
        <v>132.9</v>
      </c>
      <c r="E106" s="105">
        <v>128.4</v>
      </c>
      <c r="F106" s="105">
        <v>128.4</v>
      </c>
      <c r="G106" s="105">
        <v>128.80000000000001</v>
      </c>
      <c r="H106" s="105">
        <v>128.80000000000001</v>
      </c>
      <c r="I106" s="105">
        <v>127.9</v>
      </c>
      <c r="J106" s="105">
        <v>127.9</v>
      </c>
      <c r="K106" s="105">
        <v>128.69999999999999</v>
      </c>
      <c r="L106" s="105">
        <v>126.4</v>
      </c>
      <c r="M106" s="105">
        <v>125.3</v>
      </c>
      <c r="N106" s="105">
        <v>122</v>
      </c>
      <c r="O106" s="105">
        <v>131.5</v>
      </c>
      <c r="P106" s="105">
        <v>128.69999999999999</v>
      </c>
      <c r="Q106" s="105">
        <v>128.69999999999999</v>
      </c>
      <c r="R106" s="105">
        <v>131</v>
      </c>
      <c r="S106" s="105">
        <v>129.69999999999999</v>
      </c>
      <c r="T106" s="105">
        <v>129.69999999999999</v>
      </c>
      <c r="U106" s="105">
        <v>129.69999999999999</v>
      </c>
      <c r="V106" s="105">
        <v>132.5</v>
      </c>
      <c r="W106" s="105">
        <v>133.19999999999999</v>
      </c>
      <c r="X106" s="105">
        <v>133.19999999999999</v>
      </c>
      <c r="Y106" s="105">
        <v>132.30000000000001</v>
      </c>
      <c r="Z106" s="105">
        <v>13</v>
      </c>
      <c r="AA106" s="105">
        <v>130.4</v>
      </c>
      <c r="AB106" s="105">
        <v>135.69999999999999</v>
      </c>
      <c r="AC106" s="105">
        <v>133.4</v>
      </c>
      <c r="AD106" s="105">
        <v>133.4</v>
      </c>
      <c r="AE106" s="105">
        <v>132.9</v>
      </c>
      <c r="AF106" s="105">
        <v>132.4</v>
      </c>
      <c r="AG106" s="106"/>
      <c r="AH106" s="47">
        <f t="shared" si="22"/>
        <v>135.69999999999999</v>
      </c>
      <c r="AI106" s="48">
        <f t="shared" si="23"/>
        <v>13</v>
      </c>
    </row>
    <row r="107" spans="1:37" x14ac:dyDescent="0.25">
      <c r="A107" s="102" t="s">
        <v>115</v>
      </c>
      <c r="B107" s="64">
        <v>131.4</v>
      </c>
      <c r="C107" s="64">
        <v>134.6</v>
      </c>
      <c r="D107" s="64">
        <v>134.6</v>
      </c>
      <c r="E107" s="64">
        <v>134.69999999999999</v>
      </c>
      <c r="F107" s="64">
        <v>134.69999999999999</v>
      </c>
      <c r="G107" s="64">
        <v>131.1</v>
      </c>
      <c r="H107" s="64">
        <v>131.1</v>
      </c>
      <c r="I107" s="64">
        <v>134.69999999999999</v>
      </c>
      <c r="J107" s="64">
        <v>134.69999999999999</v>
      </c>
      <c r="K107" s="64">
        <v>128.19999999999999</v>
      </c>
      <c r="L107" s="64">
        <v>133.80000000000001</v>
      </c>
      <c r="M107" s="64">
        <v>126.6</v>
      </c>
      <c r="N107" s="64">
        <v>131.80000000000001</v>
      </c>
      <c r="O107" s="64">
        <v>128.9</v>
      </c>
      <c r="P107" s="64">
        <v>124.9</v>
      </c>
      <c r="Q107" s="64">
        <v>124.9</v>
      </c>
      <c r="R107" s="64">
        <v>129</v>
      </c>
      <c r="S107" s="64">
        <v>129.5</v>
      </c>
      <c r="T107" s="64">
        <v>129.5</v>
      </c>
      <c r="U107" s="64">
        <v>129.5</v>
      </c>
      <c r="V107" s="64">
        <v>129.5</v>
      </c>
      <c r="W107" s="64">
        <v>130.9</v>
      </c>
      <c r="X107" s="64">
        <v>130.9</v>
      </c>
      <c r="Y107" s="64">
        <v>125.9</v>
      </c>
      <c r="Z107" s="64">
        <v>132.6</v>
      </c>
      <c r="AA107" s="64">
        <v>129.4</v>
      </c>
      <c r="AB107" s="64">
        <v>129.4</v>
      </c>
      <c r="AC107" s="64">
        <v>130.6</v>
      </c>
      <c r="AD107" s="64">
        <v>130.6</v>
      </c>
      <c r="AE107" s="64">
        <v>128.30000000000001</v>
      </c>
      <c r="AF107" s="64">
        <v>131.30000000000001</v>
      </c>
      <c r="AG107" s="103"/>
      <c r="AH107" s="47">
        <f t="shared" si="22"/>
        <v>134.69999999999999</v>
      </c>
      <c r="AI107" s="48">
        <f t="shared" si="23"/>
        <v>124.9</v>
      </c>
    </row>
    <row r="108" spans="1:37" ht="15.75" thickBot="1" x14ac:dyDescent="0.3">
      <c r="A108" s="102" t="s">
        <v>116</v>
      </c>
      <c r="B108" s="91">
        <v>64.099999999999994</v>
      </c>
      <c r="C108" s="91">
        <v>65.099999999999994</v>
      </c>
      <c r="D108" s="91">
        <v>65.099999999999994</v>
      </c>
      <c r="E108" s="91">
        <v>64.400000000000006</v>
      </c>
      <c r="F108" s="91">
        <v>64.400000000000006</v>
      </c>
      <c r="G108" s="91">
        <v>64.8</v>
      </c>
      <c r="H108" s="91">
        <v>64.8</v>
      </c>
      <c r="I108" s="91">
        <v>64.2</v>
      </c>
      <c r="J108" s="91">
        <v>64.2</v>
      </c>
      <c r="K108" s="91">
        <v>63.4</v>
      </c>
      <c r="L108" s="91">
        <v>62.5</v>
      </c>
      <c r="M108" s="91">
        <v>63</v>
      </c>
      <c r="N108" s="91">
        <v>62.2</v>
      </c>
      <c r="O108" s="91">
        <v>61.9</v>
      </c>
      <c r="P108" s="91">
        <v>61.4</v>
      </c>
      <c r="Q108" s="91">
        <v>61.4</v>
      </c>
      <c r="R108" s="91">
        <v>62.5</v>
      </c>
      <c r="S108" s="91">
        <v>62.5</v>
      </c>
      <c r="T108" s="91">
        <v>62.5</v>
      </c>
      <c r="U108" s="91">
        <v>62.5</v>
      </c>
      <c r="V108" s="91">
        <v>64.2</v>
      </c>
      <c r="W108" s="91">
        <v>64.5</v>
      </c>
      <c r="X108" s="91">
        <v>64.5</v>
      </c>
      <c r="Y108" s="91">
        <v>63.8</v>
      </c>
      <c r="Z108" s="91">
        <v>63.6</v>
      </c>
      <c r="AA108" s="91">
        <v>63</v>
      </c>
      <c r="AB108" s="91">
        <v>63.2</v>
      </c>
      <c r="AC108" s="91">
        <v>62.8</v>
      </c>
      <c r="AD108" s="91">
        <v>62.8</v>
      </c>
      <c r="AE108" s="91">
        <v>63.8</v>
      </c>
      <c r="AF108" s="91">
        <v>64</v>
      </c>
      <c r="AG108" s="107"/>
      <c r="AH108" s="47">
        <f t="shared" si="22"/>
        <v>65.099999999999994</v>
      </c>
      <c r="AI108" s="48">
        <f t="shared" si="23"/>
        <v>61.4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22"/>
        <v>0</v>
      </c>
      <c r="AI109" s="48">
        <f t="shared" si="23"/>
        <v>0</v>
      </c>
    </row>
    <row r="110" spans="1:37" ht="15.75" thickBot="1" x14ac:dyDescent="0.3">
      <c r="A110" s="109" t="s">
        <v>118</v>
      </c>
      <c r="B110" s="110">
        <f t="shared" ref="B110:O110" si="35">SUM(B20,B26,B29:B30,B58,B60:B61,B63,B65,B111:B115,B138,B144,B150,B159,B161,B173,B180,B183:B184,B191,B193,B195,B199:B201,B203:B205,B210,B216:B217,B219:B221,B229,B234)</f>
        <v>46.499999999999979</v>
      </c>
      <c r="C110" s="110">
        <f t="shared" si="35"/>
        <v>42.239999999999974</v>
      </c>
      <c r="D110" s="110">
        <f t="shared" si="35"/>
        <v>34.539999999999978</v>
      </c>
      <c r="E110" s="110">
        <f t="shared" si="35"/>
        <v>30.340000000000007</v>
      </c>
      <c r="F110" s="110">
        <f t="shared" si="35"/>
        <v>53.440000000000019</v>
      </c>
      <c r="G110" s="110">
        <f t="shared" si="35"/>
        <v>103.73999999999995</v>
      </c>
      <c r="H110" s="110">
        <f t="shared" si="35"/>
        <v>90.139999999999986</v>
      </c>
      <c r="I110" s="110">
        <f t="shared" si="35"/>
        <v>118.03999999999999</v>
      </c>
      <c r="J110" s="110">
        <f t="shared" si="35"/>
        <v>118.03999999999999</v>
      </c>
      <c r="K110" s="110">
        <f t="shared" si="35"/>
        <v>163.33999999999997</v>
      </c>
      <c r="L110" s="110">
        <f t="shared" si="35"/>
        <v>156.24</v>
      </c>
      <c r="M110" s="110">
        <f t="shared" si="35"/>
        <v>179.54</v>
      </c>
      <c r="N110" s="110">
        <f t="shared" si="35"/>
        <v>201.63999999999996</v>
      </c>
      <c r="O110" s="110">
        <f t="shared" si="35"/>
        <v>199.14</v>
      </c>
      <c r="P110" s="110">
        <v>42</v>
      </c>
      <c r="Q110" s="110">
        <f t="shared" ref="Q110:AF110" si="36">SUM(Q20,Q26,Q29:Q30,Q58,Q60:Q61,Q63,Q65,Q111:Q115,Q138,Q144,Q150,Q159,Q161,Q173,Q180,Q183:Q184,Q191,Q193,Q195,Q199:Q201,Q203:Q205,Q210,Q216:Q217,Q219:Q221,Q229,Q234)</f>
        <v>190.9</v>
      </c>
      <c r="R110" s="110">
        <f t="shared" si="36"/>
        <v>203.7</v>
      </c>
      <c r="S110" s="110">
        <f t="shared" si="36"/>
        <v>193.49999999999997</v>
      </c>
      <c r="T110" s="110">
        <f t="shared" ref="T110" si="37">SUM(T20,T26,T29:T30,T58,T60:T61,T63,T65,T111:T115,T138,T144,T150,T159,T161,T173,T180,T183:T184,T191,T193,T195,T199:T201,T203:T205,T210,T216:T217,T219:T221,T229,T234)</f>
        <v>188.6</v>
      </c>
      <c r="U110" s="110">
        <f t="shared" si="36"/>
        <v>194.4</v>
      </c>
      <c r="V110" s="110">
        <f t="shared" si="36"/>
        <v>190.39999999999998</v>
      </c>
      <c r="W110" s="110">
        <f t="shared" si="36"/>
        <v>172.8</v>
      </c>
      <c r="X110" s="110">
        <f t="shared" si="36"/>
        <v>171.4</v>
      </c>
      <c r="Y110" s="110">
        <f t="shared" si="36"/>
        <v>207.5</v>
      </c>
      <c r="Z110" s="110">
        <f t="shared" si="36"/>
        <v>230.82999999999998</v>
      </c>
      <c r="AA110" s="110">
        <f>SUM(AA20,AA26,AA29:AA30,AA58,AA60:AA61,AA63,AA65,AA111:AA115,AA138,AA144,AA150,AA159,AA161,AA173,AA180,AA183:AA184,AA191,AA193,AA195,AA199:AA201,AA203:AA205,AA210,AA216:AA217,AA219:AA221,AA229,AA234)</f>
        <v>240.39999999999995</v>
      </c>
      <c r="AB110" s="110">
        <f t="shared" si="36"/>
        <v>215.30000000000004</v>
      </c>
      <c r="AC110" s="110">
        <f t="shared" si="36"/>
        <v>189.59999999999997</v>
      </c>
      <c r="AD110" s="110"/>
      <c r="AE110" s="110">
        <f t="shared" si="36"/>
        <v>89</v>
      </c>
      <c r="AF110" s="110">
        <f t="shared" si="36"/>
        <v>44.6</v>
      </c>
      <c r="AG110" s="111"/>
      <c r="AH110" s="47">
        <f t="shared" si="22"/>
        <v>240.39999999999995</v>
      </c>
      <c r="AI110" s="48">
        <f t="shared" si="23"/>
        <v>30.340000000000007</v>
      </c>
    </row>
    <row r="111" spans="1:37" x14ac:dyDescent="0.25">
      <c r="A111" s="99" t="s">
        <v>119</v>
      </c>
      <c r="B111" s="112">
        <v>43.4</v>
      </c>
      <c r="C111" s="112">
        <v>43.2</v>
      </c>
      <c r="D111" s="112">
        <v>40</v>
      </c>
      <c r="E111" s="112">
        <v>32.6</v>
      </c>
      <c r="F111" s="112">
        <v>47.1</v>
      </c>
      <c r="G111" s="112">
        <v>50.1</v>
      </c>
      <c r="H111" s="112">
        <v>52</v>
      </c>
      <c r="I111" s="112">
        <v>53.2</v>
      </c>
      <c r="J111" s="112">
        <v>53.2</v>
      </c>
      <c r="K111" s="112">
        <v>52.6</v>
      </c>
      <c r="L111" s="112">
        <v>56.4</v>
      </c>
      <c r="M111" s="112">
        <v>30.8</v>
      </c>
      <c r="N111" s="112">
        <v>49.9</v>
      </c>
      <c r="O111" s="112">
        <v>0</v>
      </c>
      <c r="P111" s="112">
        <v>38.200000000000003</v>
      </c>
      <c r="Q111" s="112">
        <v>38.200000000000003</v>
      </c>
      <c r="R111" s="112">
        <v>43.3</v>
      </c>
      <c r="S111" s="112">
        <v>32.6</v>
      </c>
      <c r="T111" s="112">
        <v>32.6</v>
      </c>
      <c r="U111" s="112">
        <v>33</v>
      </c>
      <c r="V111" s="112">
        <v>32</v>
      </c>
      <c r="W111" s="112">
        <v>29.7</v>
      </c>
      <c r="X111" s="112">
        <v>29.7</v>
      </c>
      <c r="Y111" s="112">
        <v>36.6</v>
      </c>
      <c r="Z111" s="112">
        <v>43.63</v>
      </c>
      <c r="AA111" s="112">
        <v>45.3</v>
      </c>
      <c r="AB111" s="112">
        <v>62.2</v>
      </c>
      <c r="AC111" s="112">
        <v>59.9</v>
      </c>
      <c r="AD111" s="112">
        <v>59.9</v>
      </c>
      <c r="AE111" s="112">
        <v>44</v>
      </c>
      <c r="AF111" s="112">
        <v>27.6</v>
      </c>
      <c r="AG111" s="113">
        <v>75</v>
      </c>
      <c r="AH111" s="47">
        <f t="shared" si="22"/>
        <v>62.2</v>
      </c>
      <c r="AI111" s="48">
        <f t="shared" si="23"/>
        <v>0</v>
      </c>
    </row>
    <row r="112" spans="1:37" x14ac:dyDescent="0.25">
      <c r="A112" s="102" t="s">
        <v>120</v>
      </c>
      <c r="B112" s="114">
        <v>71.5</v>
      </c>
      <c r="C112" s="114">
        <v>66.8</v>
      </c>
      <c r="D112" s="114">
        <v>60.5</v>
      </c>
      <c r="E112" s="114">
        <v>55.5</v>
      </c>
      <c r="F112" s="114">
        <v>76.400000000000006</v>
      </c>
      <c r="G112" s="114">
        <v>81</v>
      </c>
      <c r="H112" s="114">
        <v>86</v>
      </c>
      <c r="I112" s="114">
        <v>90.6</v>
      </c>
      <c r="J112" s="114">
        <v>90.6</v>
      </c>
      <c r="K112" s="114">
        <v>80.599999999999994</v>
      </c>
      <c r="L112" s="114">
        <v>86.3</v>
      </c>
      <c r="M112" s="114">
        <v>46</v>
      </c>
      <c r="N112" s="114">
        <v>75.8</v>
      </c>
      <c r="O112" s="114">
        <v>73.599999999999994</v>
      </c>
      <c r="P112" s="114">
        <v>55.1</v>
      </c>
      <c r="Q112" s="114">
        <v>55.1</v>
      </c>
      <c r="R112" s="114">
        <v>65.099999999999994</v>
      </c>
      <c r="S112" s="114">
        <v>47.7</v>
      </c>
      <c r="T112" s="114">
        <v>47.7</v>
      </c>
      <c r="U112" s="114">
        <v>47.9</v>
      </c>
      <c r="V112" s="114">
        <v>44.4</v>
      </c>
      <c r="W112" s="114">
        <v>42.4</v>
      </c>
      <c r="X112" s="114">
        <v>42.4</v>
      </c>
      <c r="Y112" s="114">
        <v>50.5</v>
      </c>
      <c r="Z112" s="114">
        <v>61.8</v>
      </c>
      <c r="AA112" s="114">
        <v>66.400000000000006</v>
      </c>
      <c r="AB112" s="114">
        <v>91.8</v>
      </c>
      <c r="AC112" s="114">
        <v>88.3</v>
      </c>
      <c r="AD112" s="114">
        <v>88.3</v>
      </c>
      <c r="AE112" s="114">
        <v>63.7</v>
      </c>
      <c r="AF112" s="114">
        <v>44.1</v>
      </c>
      <c r="AG112" s="113">
        <v>240</v>
      </c>
      <c r="AH112" s="47">
        <f t="shared" si="22"/>
        <v>91.8</v>
      </c>
      <c r="AI112" s="48">
        <f t="shared" si="23"/>
        <v>42.4</v>
      </c>
    </row>
    <row r="113" spans="1:37" x14ac:dyDescent="0.25">
      <c r="A113" s="102" t="s">
        <v>121</v>
      </c>
      <c r="B113" s="114">
        <v>-190</v>
      </c>
      <c r="C113" s="114">
        <v>-192</v>
      </c>
      <c r="D113" s="114">
        <v>-182</v>
      </c>
      <c r="E113" s="114">
        <v>-169.8</v>
      </c>
      <c r="F113" s="114">
        <v>-182</v>
      </c>
      <c r="G113" s="114">
        <v>-155.5</v>
      </c>
      <c r="H113" s="114">
        <v>-176</v>
      </c>
      <c r="I113" s="114">
        <v>-189</v>
      </c>
      <c r="J113" s="114">
        <v>-189</v>
      </c>
      <c r="K113" s="114">
        <v>-145.19999999999999</v>
      </c>
      <c r="L113" s="114">
        <v>-175</v>
      </c>
      <c r="M113" s="114">
        <v>-99</v>
      </c>
      <c r="N113" s="114">
        <v>-100</v>
      </c>
      <c r="O113" s="114">
        <v>-49</v>
      </c>
      <c r="P113" s="114">
        <v>-75</v>
      </c>
      <c r="Q113" s="114">
        <v>-75</v>
      </c>
      <c r="R113" s="114">
        <v>-65</v>
      </c>
      <c r="S113" s="114">
        <f>-32.9-32.2</f>
        <v>-65.099999999999994</v>
      </c>
      <c r="T113" s="114">
        <f>-32.9-32.2</f>
        <v>-65.099999999999994</v>
      </c>
      <c r="U113" s="114">
        <f>-35.2-37.7</f>
        <v>-72.900000000000006</v>
      </c>
      <c r="V113" s="114">
        <f>-32.6-34.8</f>
        <v>-67.400000000000006</v>
      </c>
      <c r="W113" s="114">
        <f>-33-35.5</f>
        <v>-68.5</v>
      </c>
      <c r="X113" s="114">
        <f t="shared" ref="X113" si="38">-33-35.5</f>
        <v>-68.5</v>
      </c>
      <c r="Y113" s="114">
        <f>-27.5-29.1</f>
        <v>-56.6</v>
      </c>
      <c r="Z113" s="114">
        <f>-25.2-23.9</f>
        <v>-49.099999999999994</v>
      </c>
      <c r="AA113" s="114">
        <f>-32.2-29</f>
        <v>-61.2</v>
      </c>
      <c r="AB113" s="114">
        <v>-129.19999999999999</v>
      </c>
      <c r="AC113" s="114">
        <v>-144.30000000000001</v>
      </c>
      <c r="AD113" s="114">
        <v>-144.30000000000001</v>
      </c>
      <c r="AE113" s="114">
        <v>-150</v>
      </c>
      <c r="AF113" s="114">
        <v>-150</v>
      </c>
      <c r="AG113" s="113">
        <v>240</v>
      </c>
      <c r="AH113" s="47">
        <f t="shared" si="22"/>
        <v>-49</v>
      </c>
      <c r="AI113" s="48">
        <f t="shared" si="23"/>
        <v>-192</v>
      </c>
    </row>
    <row r="114" spans="1:37" x14ac:dyDescent="0.25">
      <c r="A114" s="102" t="s">
        <v>122</v>
      </c>
      <c r="B114" s="114">
        <v>-16.7</v>
      </c>
      <c r="C114" s="114">
        <v>-15</v>
      </c>
      <c r="D114" s="114">
        <v>-16</v>
      </c>
      <c r="E114" s="114">
        <v>-17.3</v>
      </c>
      <c r="F114" s="114">
        <v>-17.100000000000001</v>
      </c>
      <c r="G114" s="114">
        <v>-24.8</v>
      </c>
      <c r="H114" s="114">
        <v>-26</v>
      </c>
      <c r="I114" s="114">
        <v>-29.7</v>
      </c>
      <c r="J114" s="114">
        <v>-29.7</v>
      </c>
      <c r="K114" s="114">
        <v>-21.2</v>
      </c>
      <c r="L114" s="114">
        <v>-15.6</v>
      </c>
      <c r="M114" s="114">
        <v>-3.2</v>
      </c>
      <c r="N114" s="114">
        <v>-1.4</v>
      </c>
      <c r="O114" s="114">
        <v>11.3</v>
      </c>
      <c r="P114" s="114">
        <v>5.9</v>
      </c>
      <c r="Q114" s="114">
        <v>5.9</v>
      </c>
      <c r="R114" s="114">
        <v>-8.1</v>
      </c>
      <c r="S114" s="114">
        <v>6.6</v>
      </c>
      <c r="T114" s="114">
        <v>6.6</v>
      </c>
      <c r="U114" s="114">
        <v>8.9</v>
      </c>
      <c r="V114" s="114">
        <v>10.5</v>
      </c>
      <c r="W114" s="114">
        <v>11.8</v>
      </c>
      <c r="X114" s="114">
        <v>11.8</v>
      </c>
      <c r="Y114" s="114">
        <v>17.2</v>
      </c>
      <c r="Z114" s="114">
        <v>15</v>
      </c>
      <c r="AA114" s="114">
        <v>16.7</v>
      </c>
      <c r="AB114" s="114">
        <v>1.8</v>
      </c>
      <c r="AC114" s="114">
        <v>-1.3</v>
      </c>
      <c r="AD114" s="114">
        <v>-1.3</v>
      </c>
      <c r="AE114" s="114">
        <v>-6.6</v>
      </c>
      <c r="AF114" s="114">
        <v>-12.7</v>
      </c>
      <c r="AG114" s="113">
        <v>60</v>
      </c>
      <c r="AH114" s="47">
        <f t="shared" si="22"/>
        <v>17.2</v>
      </c>
      <c r="AI114" s="48">
        <f t="shared" si="23"/>
        <v>-29.7</v>
      </c>
    </row>
    <row r="115" spans="1:37" x14ac:dyDescent="0.25">
      <c r="A115" s="115" t="s">
        <v>123</v>
      </c>
      <c r="B115" s="116">
        <v>14.4</v>
      </c>
      <c r="C115" s="116">
        <v>14.4</v>
      </c>
      <c r="D115" s="116">
        <v>7.2</v>
      </c>
      <c r="E115" s="116">
        <v>3.3</v>
      </c>
      <c r="F115" s="116">
        <v>3</v>
      </c>
      <c r="G115" s="116">
        <v>17.8</v>
      </c>
      <c r="H115" s="116">
        <v>19</v>
      </c>
      <c r="I115" s="116">
        <v>57.8</v>
      </c>
      <c r="J115" s="116">
        <v>57.8</v>
      </c>
      <c r="K115" s="116">
        <v>56.4</v>
      </c>
      <c r="L115" s="116">
        <v>55.7</v>
      </c>
      <c r="M115" s="116">
        <v>55.8</v>
      </c>
      <c r="N115" s="116">
        <v>22.2</v>
      </c>
      <c r="O115" s="116">
        <v>20.100000000000001</v>
      </c>
      <c r="P115" s="116">
        <v>20.6</v>
      </c>
      <c r="Q115" s="116">
        <v>20.6</v>
      </c>
      <c r="R115" s="116">
        <v>22.3</v>
      </c>
      <c r="S115" s="116">
        <v>22.6</v>
      </c>
      <c r="T115" s="116">
        <v>22.6</v>
      </c>
      <c r="U115" s="116">
        <v>34.9</v>
      </c>
      <c r="V115" s="116">
        <v>35.700000000000003</v>
      </c>
      <c r="W115" s="116">
        <v>34.6</v>
      </c>
      <c r="X115" s="116">
        <v>34.6</v>
      </c>
      <c r="Y115" s="116">
        <v>34.6</v>
      </c>
      <c r="Z115" s="116">
        <v>33.299999999999997</v>
      </c>
      <c r="AA115" s="116">
        <v>39.1</v>
      </c>
      <c r="AB115" s="116">
        <v>46.4</v>
      </c>
      <c r="AC115" s="116">
        <v>44.7</v>
      </c>
      <c r="AD115" s="116">
        <v>44.7</v>
      </c>
      <c r="AE115" s="116">
        <v>13.6</v>
      </c>
      <c r="AF115" s="116">
        <v>16.3</v>
      </c>
      <c r="AG115" s="117">
        <v>120</v>
      </c>
      <c r="AH115" s="47">
        <f t="shared" si="22"/>
        <v>57.8</v>
      </c>
      <c r="AI115" s="48">
        <f t="shared" si="23"/>
        <v>3</v>
      </c>
    </row>
    <row r="116" spans="1:37" x14ac:dyDescent="0.25">
      <c r="A116" s="115" t="s">
        <v>124</v>
      </c>
      <c r="B116" s="116">
        <v>49.5</v>
      </c>
      <c r="C116" s="116">
        <v>29</v>
      </c>
      <c r="D116" s="116">
        <v>42</v>
      </c>
      <c r="E116" s="116">
        <v>58.4</v>
      </c>
      <c r="F116" s="116">
        <v>50.5</v>
      </c>
      <c r="G116" s="116">
        <v>60.5</v>
      </c>
      <c r="H116" s="116">
        <v>60.2</v>
      </c>
      <c r="I116" s="116">
        <v>32.799999999999997</v>
      </c>
      <c r="J116" s="116">
        <v>32.799999999999997</v>
      </c>
      <c r="K116" s="116">
        <v>97.4</v>
      </c>
      <c r="L116" s="116">
        <v>42.5</v>
      </c>
      <c r="M116" s="116">
        <v>87.9</v>
      </c>
      <c r="N116" s="116">
        <v>71</v>
      </c>
      <c r="O116" s="116">
        <v>86.4</v>
      </c>
      <c r="P116" s="116">
        <v>83.5</v>
      </c>
      <c r="Q116" s="116">
        <v>83.5</v>
      </c>
      <c r="R116" s="116">
        <v>78</v>
      </c>
      <c r="S116" s="116">
        <v>58.4</v>
      </c>
      <c r="T116" s="116">
        <v>58.4</v>
      </c>
      <c r="U116" s="116">
        <v>58.7</v>
      </c>
      <c r="V116" s="116">
        <v>62.3</v>
      </c>
      <c r="W116" s="116">
        <v>55.3</v>
      </c>
      <c r="X116" s="116">
        <v>55.3</v>
      </c>
      <c r="Y116" s="116">
        <v>76.7</v>
      </c>
      <c r="Z116" s="116">
        <v>85</v>
      </c>
      <c r="AA116" s="116">
        <v>73.8</v>
      </c>
      <c r="AB116" s="116">
        <v>66</v>
      </c>
      <c r="AC116" s="116">
        <v>58</v>
      </c>
      <c r="AD116" s="116">
        <v>58</v>
      </c>
      <c r="AE116" s="116">
        <v>60</v>
      </c>
      <c r="AF116" s="116">
        <v>74.3</v>
      </c>
      <c r="AG116" s="117"/>
      <c r="AH116" s="47">
        <f t="shared" si="22"/>
        <v>97.4</v>
      </c>
      <c r="AI116" s="48">
        <f t="shared" si="23"/>
        <v>29</v>
      </c>
    </row>
    <row r="117" spans="1:37" x14ac:dyDescent="0.25">
      <c r="A117" s="115" t="s">
        <v>125</v>
      </c>
      <c r="B117" s="116">
        <v>38.700000000000003</v>
      </c>
      <c r="C117" s="116">
        <v>32</v>
      </c>
      <c r="D117" s="116">
        <v>36</v>
      </c>
      <c r="E117" s="116">
        <v>37.6</v>
      </c>
      <c r="F117" s="116">
        <v>40.1</v>
      </c>
      <c r="G117" s="116">
        <v>43.1</v>
      </c>
      <c r="H117" s="116">
        <v>39.299999999999997</v>
      </c>
      <c r="I117" s="116">
        <v>36.4</v>
      </c>
      <c r="J117" s="116">
        <v>36.4</v>
      </c>
      <c r="K117" s="116">
        <v>34.700000000000003</v>
      </c>
      <c r="L117" s="116">
        <v>31.1</v>
      </c>
      <c r="M117" s="116">
        <v>30.9</v>
      </c>
      <c r="N117" s="116">
        <v>27.3</v>
      </c>
      <c r="O117" s="116">
        <v>6.5</v>
      </c>
      <c r="P117" s="116">
        <v>7.2</v>
      </c>
      <c r="Q117" s="116">
        <v>7.2</v>
      </c>
      <c r="R117" s="116">
        <v>-7.3</v>
      </c>
      <c r="S117" s="116">
        <v>16.7</v>
      </c>
      <c r="T117" s="116">
        <v>16.7</v>
      </c>
      <c r="U117" s="116">
        <v>-1.2</v>
      </c>
      <c r="V117" s="116">
        <v>2.6</v>
      </c>
      <c r="W117" s="116">
        <v>3.3</v>
      </c>
      <c r="X117" s="116">
        <v>3.3</v>
      </c>
      <c r="Y117" s="116">
        <v>-10.199999999999999</v>
      </c>
      <c r="Z117" s="116">
        <v>-4.9000000000000004</v>
      </c>
      <c r="AA117" s="116">
        <v>3.6</v>
      </c>
      <c r="AB117" s="116">
        <v>12.6</v>
      </c>
      <c r="AC117" s="116">
        <v>11.5</v>
      </c>
      <c r="AD117" s="116">
        <v>11.5</v>
      </c>
      <c r="AE117" s="116">
        <v>16.3</v>
      </c>
      <c r="AF117" s="116">
        <v>19.7</v>
      </c>
      <c r="AG117" s="118"/>
      <c r="AH117" s="47">
        <f t="shared" si="22"/>
        <v>43.1</v>
      </c>
      <c r="AI117" s="48">
        <f t="shared" si="23"/>
        <v>-10.199999999999999</v>
      </c>
    </row>
    <row r="118" spans="1:37" x14ac:dyDescent="0.25">
      <c r="A118" s="119" t="s">
        <v>126</v>
      </c>
      <c r="B118" s="105">
        <v>21.8</v>
      </c>
      <c r="C118" s="105">
        <v>21</v>
      </c>
      <c r="D118" s="105">
        <v>25</v>
      </c>
      <c r="E118" s="105">
        <v>25.6</v>
      </c>
      <c r="F118" s="105">
        <v>27.7</v>
      </c>
      <c r="G118" s="105">
        <v>20.5</v>
      </c>
      <c r="H118" s="105">
        <v>27</v>
      </c>
      <c r="I118" s="105">
        <v>28</v>
      </c>
      <c r="J118" s="105">
        <v>28</v>
      </c>
      <c r="K118" s="105">
        <v>28</v>
      </c>
      <c r="L118" s="105">
        <v>14</v>
      </c>
      <c r="M118" s="105">
        <v>18.399999999999999</v>
      </c>
      <c r="N118" s="105">
        <v>6.8</v>
      </c>
      <c r="O118" s="105">
        <v>4.9000000000000004</v>
      </c>
      <c r="P118" s="105">
        <v>0</v>
      </c>
      <c r="Q118" s="105">
        <v>0</v>
      </c>
      <c r="R118" s="105">
        <v>24.1</v>
      </c>
      <c r="S118" s="105">
        <v>15.1</v>
      </c>
      <c r="T118" s="105">
        <v>15.1</v>
      </c>
      <c r="U118" s="105">
        <v>18.899999999999999</v>
      </c>
      <c r="V118" s="105">
        <v>13.8</v>
      </c>
      <c r="W118" s="105">
        <v>10.6</v>
      </c>
      <c r="X118" s="105">
        <v>10.6</v>
      </c>
      <c r="Y118" s="105">
        <v>7</v>
      </c>
      <c r="Z118" s="105">
        <v>2.8</v>
      </c>
      <c r="AA118" s="105">
        <v>2.7</v>
      </c>
      <c r="AB118" s="105">
        <v>6.8</v>
      </c>
      <c r="AC118" s="105">
        <v>9.5</v>
      </c>
      <c r="AD118" s="105">
        <v>9.5</v>
      </c>
      <c r="AE118" s="105">
        <v>8.1999999999999993</v>
      </c>
      <c r="AF118" s="105">
        <v>17</v>
      </c>
      <c r="AG118" s="118"/>
      <c r="AH118" s="47">
        <f t="shared" si="22"/>
        <v>28</v>
      </c>
      <c r="AI118" s="48">
        <f t="shared" si="23"/>
        <v>0</v>
      </c>
    </row>
    <row r="119" spans="1:37" x14ac:dyDescent="0.25">
      <c r="A119" s="120" t="s">
        <v>127</v>
      </c>
      <c r="B119" s="105">
        <v>95</v>
      </c>
      <c r="C119" s="105">
        <v>102</v>
      </c>
      <c r="D119" s="105">
        <v>96</v>
      </c>
      <c r="E119" s="105">
        <v>88.8</v>
      </c>
      <c r="F119" s="105">
        <v>94.6</v>
      </c>
      <c r="G119" s="105">
        <v>78</v>
      </c>
      <c r="H119" s="105">
        <v>78</v>
      </c>
      <c r="I119" s="105">
        <v>93</v>
      </c>
      <c r="J119" s="105">
        <v>93</v>
      </c>
      <c r="K119" s="105">
        <v>93</v>
      </c>
      <c r="L119" s="105">
        <v>88.2</v>
      </c>
      <c r="M119" s="105">
        <v>49.7</v>
      </c>
      <c r="N119" s="105">
        <v>77.7</v>
      </c>
      <c r="O119" s="105">
        <v>81.099999999999994</v>
      </c>
      <c r="P119" s="105">
        <v>89.7</v>
      </c>
      <c r="Q119" s="105">
        <v>89.7</v>
      </c>
      <c r="R119" s="105">
        <v>87.3</v>
      </c>
      <c r="S119" s="105">
        <v>70.5</v>
      </c>
      <c r="T119" s="105">
        <v>70.5</v>
      </c>
      <c r="U119" s="105">
        <v>92</v>
      </c>
      <c r="V119" s="105">
        <v>80.8</v>
      </c>
      <c r="W119" s="105">
        <v>86.6</v>
      </c>
      <c r="X119" s="105">
        <v>86.6</v>
      </c>
      <c r="Y119" s="105">
        <v>76.2</v>
      </c>
      <c r="Z119" s="105">
        <v>68.900000000000006</v>
      </c>
      <c r="AA119" s="105">
        <v>81.7</v>
      </c>
      <c r="AB119" s="105">
        <v>62</v>
      </c>
      <c r="AC119" s="105">
        <v>76</v>
      </c>
      <c r="AD119" s="105">
        <v>80</v>
      </c>
      <c r="AE119" s="105">
        <v>82</v>
      </c>
      <c r="AF119" s="105">
        <v>82</v>
      </c>
      <c r="AG119" s="118"/>
      <c r="AH119" s="47">
        <f t="shared" si="22"/>
        <v>102</v>
      </c>
      <c r="AI119" s="48">
        <f t="shared" si="23"/>
        <v>49.7</v>
      </c>
    </row>
    <row r="120" spans="1:37" ht="15.75" thickBot="1" x14ac:dyDescent="0.3">
      <c r="A120" s="119" t="s">
        <v>128</v>
      </c>
      <c r="B120" s="105">
        <v>67.5</v>
      </c>
      <c r="C120" s="105">
        <v>62</v>
      </c>
      <c r="D120" s="105">
        <v>66</v>
      </c>
      <c r="E120" s="105">
        <v>70.900000000000006</v>
      </c>
      <c r="F120" s="105">
        <v>104</v>
      </c>
      <c r="G120" s="105">
        <v>101.2</v>
      </c>
      <c r="H120" s="105">
        <v>101.2</v>
      </c>
      <c r="I120" s="105">
        <v>86</v>
      </c>
      <c r="J120" s="105">
        <v>86</v>
      </c>
      <c r="K120" s="105">
        <v>86</v>
      </c>
      <c r="L120" s="105">
        <v>47.3</v>
      </c>
      <c r="M120" s="105">
        <v>43.1</v>
      </c>
      <c r="N120" s="105">
        <v>53.1</v>
      </c>
      <c r="O120" s="105">
        <v>52.8</v>
      </c>
      <c r="P120" s="105">
        <v>64</v>
      </c>
      <c r="Q120" s="105">
        <v>64</v>
      </c>
      <c r="R120" s="105">
        <v>26</v>
      </c>
      <c r="S120" s="105">
        <v>53.6</v>
      </c>
      <c r="T120" s="105">
        <v>53.6</v>
      </c>
      <c r="U120" s="105">
        <v>32.700000000000003</v>
      </c>
      <c r="V120" s="105">
        <v>25.9</v>
      </c>
      <c r="W120" s="105">
        <v>29.4</v>
      </c>
      <c r="X120" s="105">
        <v>29.4</v>
      </c>
      <c r="Y120" s="105">
        <v>33</v>
      </c>
      <c r="Z120" s="105">
        <v>58.2</v>
      </c>
      <c r="AA120" s="105">
        <v>57.5</v>
      </c>
      <c r="AB120" s="105">
        <v>61.4</v>
      </c>
      <c r="AC120" s="105">
        <v>55.4</v>
      </c>
      <c r="AD120" s="105">
        <v>55.4</v>
      </c>
      <c r="AE120" s="105">
        <v>60.1</v>
      </c>
      <c r="AF120" s="105">
        <v>114</v>
      </c>
      <c r="AG120" s="118"/>
      <c r="AH120" s="47">
        <f t="shared" si="22"/>
        <v>114</v>
      </c>
      <c r="AI120" s="48">
        <f t="shared" si="23"/>
        <v>25.9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39">SUM(B122:B226)</f>
        <v>0</v>
      </c>
      <c r="C227" s="136">
        <f t="shared" si="39"/>
        <v>0</v>
      </c>
      <c r="D227" s="136">
        <f t="shared" si="39"/>
        <v>0</v>
      </c>
      <c r="E227" s="136">
        <f t="shared" si="39"/>
        <v>0</v>
      </c>
      <c r="F227" s="136">
        <f t="shared" si="39"/>
        <v>0</v>
      </c>
      <c r="G227" s="136">
        <f t="shared" si="39"/>
        <v>0</v>
      </c>
      <c r="H227" s="136">
        <f t="shared" si="39"/>
        <v>0</v>
      </c>
      <c r="I227" s="136">
        <f t="shared" si="39"/>
        <v>0</v>
      </c>
      <c r="J227" s="136">
        <f t="shared" si="39"/>
        <v>0</v>
      </c>
      <c r="K227" s="136">
        <f t="shared" si="39"/>
        <v>0</v>
      </c>
      <c r="L227" s="136">
        <f t="shared" si="39"/>
        <v>0</v>
      </c>
      <c r="M227" s="136">
        <f t="shared" si="39"/>
        <v>0</v>
      </c>
      <c r="N227" s="136">
        <f t="shared" si="39"/>
        <v>0</v>
      </c>
      <c r="O227" s="136">
        <f t="shared" si="39"/>
        <v>0</v>
      </c>
      <c r="P227" s="136">
        <f t="shared" si="39"/>
        <v>0</v>
      </c>
      <c r="Q227" s="136">
        <f t="shared" si="39"/>
        <v>0</v>
      </c>
      <c r="R227" s="136">
        <f t="shared" si="39"/>
        <v>0</v>
      </c>
      <c r="S227" s="136">
        <f t="shared" si="39"/>
        <v>0</v>
      </c>
      <c r="T227" s="136">
        <f t="shared" si="39"/>
        <v>0</v>
      </c>
      <c r="U227" s="136">
        <f t="shared" si="39"/>
        <v>0</v>
      </c>
      <c r="V227" s="136">
        <f t="shared" si="39"/>
        <v>0</v>
      </c>
      <c r="W227" s="136">
        <f t="shared" si="39"/>
        <v>0</v>
      </c>
      <c r="X227" s="136">
        <f t="shared" si="39"/>
        <v>0</v>
      </c>
      <c r="Y227" s="136">
        <f t="shared" si="39"/>
        <v>0</v>
      </c>
      <c r="Z227" s="136">
        <f t="shared" si="39"/>
        <v>0</v>
      </c>
      <c r="AA227" s="136">
        <f t="shared" si="39"/>
        <v>0</v>
      </c>
      <c r="AB227" s="136">
        <f t="shared" si="39"/>
        <v>0</v>
      </c>
      <c r="AC227" s="136">
        <f t="shared" si="39"/>
        <v>0</v>
      </c>
      <c r="AD227" s="136">
        <f t="shared" si="39"/>
        <v>0</v>
      </c>
      <c r="AE227" s="136">
        <f t="shared" si="39"/>
        <v>0</v>
      </c>
      <c r="AF227" s="137">
        <f t="shared" si="39"/>
        <v>0</v>
      </c>
      <c r="AG227" s="138">
        <f t="shared" si="39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40">AF229</f>
        <v>0</v>
      </c>
      <c r="C229" s="140">
        <v>0.3</v>
      </c>
      <c r="D229" s="140">
        <f t="shared" ref="D229:P234" si="41">C229</f>
        <v>0.3</v>
      </c>
      <c r="E229" s="140">
        <f t="shared" si="41"/>
        <v>0.3</v>
      </c>
      <c r="F229" s="140">
        <f t="shared" si="41"/>
        <v>0.3</v>
      </c>
      <c r="G229" s="140">
        <f t="shared" si="41"/>
        <v>0.3</v>
      </c>
      <c r="H229" s="140">
        <f t="shared" si="41"/>
        <v>0.3</v>
      </c>
      <c r="I229" s="140">
        <f t="shared" si="41"/>
        <v>0.3</v>
      </c>
      <c r="J229" s="140">
        <f t="shared" si="41"/>
        <v>0.3</v>
      </c>
      <c r="K229" s="140">
        <f t="shared" si="41"/>
        <v>0.3</v>
      </c>
      <c r="L229" s="140">
        <f t="shared" si="41"/>
        <v>0.3</v>
      </c>
      <c r="M229" s="140">
        <f t="shared" si="41"/>
        <v>0.3</v>
      </c>
      <c r="N229" s="140">
        <f t="shared" si="41"/>
        <v>0.3</v>
      </c>
      <c r="O229" s="140">
        <f t="shared" si="41"/>
        <v>0.3</v>
      </c>
      <c r="P229" s="140">
        <f t="shared" si="41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40"/>
        <v>0</v>
      </c>
      <c r="C230" s="128">
        <v>0.4</v>
      </c>
      <c r="D230" s="128">
        <f t="shared" si="41"/>
        <v>0.4</v>
      </c>
      <c r="E230" s="128">
        <f t="shared" si="41"/>
        <v>0.4</v>
      </c>
      <c r="F230" s="128">
        <f t="shared" si="41"/>
        <v>0.4</v>
      </c>
      <c r="G230" s="128">
        <f t="shared" si="41"/>
        <v>0.4</v>
      </c>
      <c r="H230" s="128">
        <f t="shared" si="41"/>
        <v>0.4</v>
      </c>
      <c r="I230" s="128">
        <f t="shared" si="41"/>
        <v>0.4</v>
      </c>
      <c r="J230" s="128">
        <f t="shared" si="41"/>
        <v>0.4</v>
      </c>
      <c r="K230" s="128">
        <f t="shared" si="41"/>
        <v>0.4</v>
      </c>
      <c r="L230" s="128">
        <f t="shared" si="41"/>
        <v>0.4</v>
      </c>
      <c r="M230" s="128">
        <f t="shared" si="41"/>
        <v>0.4</v>
      </c>
      <c r="N230" s="128">
        <f t="shared" si="41"/>
        <v>0.4</v>
      </c>
      <c r="O230" s="128">
        <f t="shared" si="41"/>
        <v>0.4</v>
      </c>
      <c r="P230" s="128">
        <f t="shared" si="41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40"/>
        <v>0</v>
      </c>
      <c r="C231" s="128">
        <v>1.5</v>
      </c>
      <c r="D231" s="128">
        <f t="shared" si="41"/>
        <v>1.5</v>
      </c>
      <c r="E231" s="128">
        <f t="shared" si="41"/>
        <v>1.5</v>
      </c>
      <c r="F231" s="128">
        <f t="shared" si="41"/>
        <v>1.5</v>
      </c>
      <c r="G231" s="128">
        <f t="shared" si="41"/>
        <v>1.5</v>
      </c>
      <c r="H231" s="128">
        <f t="shared" si="41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41"/>
        <v>123.21900000000009</v>
      </c>
      <c r="K231" s="128">
        <f t="shared" ca="1" si="41"/>
        <v>123.21900000000009</v>
      </c>
      <c r="L231" s="128">
        <f t="shared" ca="1" si="41"/>
        <v>123.21900000000009</v>
      </c>
      <c r="M231" s="128">
        <f t="shared" ca="1" si="41"/>
        <v>119.19900000000008</v>
      </c>
      <c r="N231" s="128">
        <f t="shared" ca="1" si="41"/>
        <v>119.19900000000008</v>
      </c>
      <c r="O231" s="128">
        <f t="shared" ca="1" si="41"/>
        <v>119.19900000000008</v>
      </c>
      <c r="P231" s="128">
        <f t="shared" ca="1" si="41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40"/>
        <v>0</v>
      </c>
      <c r="C232" s="128">
        <v>0.3</v>
      </c>
      <c r="D232" s="128">
        <f t="shared" si="41"/>
        <v>0.3</v>
      </c>
      <c r="E232" s="128">
        <f t="shared" si="41"/>
        <v>0.3</v>
      </c>
      <c r="F232" s="128">
        <f t="shared" si="41"/>
        <v>0.3</v>
      </c>
      <c r="G232" s="128">
        <f t="shared" si="41"/>
        <v>0.3</v>
      </c>
      <c r="H232" s="128">
        <f t="shared" si="41"/>
        <v>0.3</v>
      </c>
      <c r="I232" s="128">
        <f t="shared" si="41"/>
        <v>0.3</v>
      </c>
      <c r="J232" s="128">
        <f t="shared" si="41"/>
        <v>0.3</v>
      </c>
      <c r="K232" s="128">
        <f t="shared" si="41"/>
        <v>0.3</v>
      </c>
      <c r="L232" s="128">
        <f t="shared" si="41"/>
        <v>0.3</v>
      </c>
      <c r="M232" s="128">
        <f t="shared" si="41"/>
        <v>0.3</v>
      </c>
      <c r="N232" s="128">
        <f t="shared" si="41"/>
        <v>0.3</v>
      </c>
      <c r="O232" s="128">
        <f t="shared" si="41"/>
        <v>0.3</v>
      </c>
      <c r="P232" s="128">
        <f t="shared" si="41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40"/>
        <v>0</v>
      </c>
      <c r="C233" s="128">
        <v>0.4</v>
      </c>
      <c r="D233" s="128">
        <f t="shared" si="41"/>
        <v>0.4</v>
      </c>
      <c r="E233" s="128">
        <f t="shared" si="41"/>
        <v>0.4</v>
      </c>
      <c r="F233" s="128">
        <f t="shared" si="41"/>
        <v>0.4</v>
      </c>
      <c r="G233" s="128">
        <f t="shared" si="41"/>
        <v>0.4</v>
      </c>
      <c r="H233" s="128">
        <f t="shared" si="41"/>
        <v>0.4</v>
      </c>
      <c r="I233" s="128">
        <f t="shared" si="41"/>
        <v>0.4</v>
      </c>
      <c r="J233" s="128">
        <f t="shared" si="41"/>
        <v>0.4</v>
      </c>
      <c r="K233" s="128">
        <f t="shared" si="41"/>
        <v>0.4</v>
      </c>
      <c r="L233" s="128">
        <f t="shared" si="41"/>
        <v>0.4</v>
      </c>
      <c r="M233" s="128">
        <f t="shared" si="41"/>
        <v>0.4</v>
      </c>
      <c r="N233" s="128">
        <f t="shared" si="41"/>
        <v>0.4</v>
      </c>
      <c r="O233" s="128">
        <f t="shared" si="41"/>
        <v>0.4</v>
      </c>
      <c r="P233" s="128">
        <f t="shared" si="41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40"/>
        <v>0</v>
      </c>
      <c r="C234" s="132">
        <v>0.64</v>
      </c>
      <c r="D234" s="132">
        <f t="shared" si="41"/>
        <v>0.64</v>
      </c>
      <c r="E234" s="132">
        <f t="shared" si="41"/>
        <v>0.64</v>
      </c>
      <c r="F234" s="132">
        <f t="shared" si="41"/>
        <v>0.64</v>
      </c>
      <c r="G234" s="132">
        <f t="shared" si="41"/>
        <v>0.64</v>
      </c>
      <c r="H234" s="132">
        <f t="shared" si="41"/>
        <v>0.64</v>
      </c>
      <c r="I234" s="132">
        <f t="shared" si="41"/>
        <v>0.64</v>
      </c>
      <c r="J234" s="132">
        <f t="shared" si="41"/>
        <v>0.64</v>
      </c>
      <c r="K234" s="132">
        <f t="shared" si="41"/>
        <v>0.64</v>
      </c>
      <c r="L234" s="132">
        <f t="shared" si="41"/>
        <v>0.64</v>
      </c>
      <c r="M234" s="132">
        <f t="shared" si="41"/>
        <v>0.64</v>
      </c>
      <c r="N234" s="132">
        <f t="shared" si="41"/>
        <v>0.64</v>
      </c>
      <c r="O234" s="132">
        <f t="shared" si="41"/>
        <v>0.64</v>
      </c>
      <c r="P234" s="132">
        <f t="shared" si="41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42">SUM(B229:B234)</f>
        <v>0</v>
      </c>
      <c r="C235" s="136">
        <f t="shared" si="42"/>
        <v>3.54</v>
      </c>
      <c r="D235" s="136">
        <f t="shared" si="42"/>
        <v>3.54</v>
      </c>
      <c r="E235" s="136">
        <f t="shared" si="42"/>
        <v>3.54</v>
      </c>
      <c r="F235" s="136">
        <f t="shared" si="42"/>
        <v>3.54</v>
      </c>
      <c r="G235" s="136">
        <f t="shared" si="42"/>
        <v>3.54</v>
      </c>
      <c r="H235" s="136">
        <f t="shared" si="42"/>
        <v>3.54</v>
      </c>
      <c r="I235" s="136">
        <f t="shared" ca="1" si="42"/>
        <v>121.23900000000009</v>
      </c>
      <c r="J235" s="136">
        <f t="shared" ca="1" si="42"/>
        <v>121.23900000000009</v>
      </c>
      <c r="K235" s="136">
        <f t="shared" ca="1" si="42"/>
        <v>121.23900000000009</v>
      </c>
      <c r="L235" s="136">
        <f t="shared" ca="1" si="42"/>
        <v>125.2590000000001</v>
      </c>
      <c r="M235" s="136">
        <f t="shared" ca="1" si="42"/>
        <v>121.23900000000009</v>
      </c>
      <c r="N235" s="136">
        <f t="shared" ca="1" si="42"/>
        <v>121.23900000000009</v>
      </c>
      <c r="O235" s="136">
        <f t="shared" ca="1" si="42"/>
        <v>121.23900000000009</v>
      </c>
      <c r="P235" s="136">
        <f t="shared" ca="1" si="42"/>
        <v>121.23900000000009</v>
      </c>
      <c r="Q235" s="136">
        <f t="shared" si="42"/>
        <v>0</v>
      </c>
      <c r="R235" s="136">
        <f t="shared" si="42"/>
        <v>0</v>
      </c>
      <c r="S235" s="136">
        <f t="shared" si="42"/>
        <v>0</v>
      </c>
      <c r="T235" s="136">
        <f t="shared" si="42"/>
        <v>0</v>
      </c>
      <c r="U235" s="136">
        <f t="shared" si="42"/>
        <v>0</v>
      </c>
      <c r="V235" s="136">
        <f t="shared" si="42"/>
        <v>0</v>
      </c>
      <c r="W235" s="136">
        <f t="shared" si="42"/>
        <v>0</v>
      </c>
      <c r="X235" s="136">
        <f t="shared" si="42"/>
        <v>0</v>
      </c>
      <c r="Y235" s="136">
        <f t="shared" si="42"/>
        <v>0</v>
      </c>
      <c r="Z235" s="136">
        <f t="shared" si="42"/>
        <v>0</v>
      </c>
      <c r="AA235" s="136">
        <f t="shared" si="42"/>
        <v>0</v>
      </c>
      <c r="AB235" s="136">
        <f t="shared" si="42"/>
        <v>0</v>
      </c>
      <c r="AC235" s="136">
        <f t="shared" si="42"/>
        <v>0</v>
      </c>
      <c r="AD235" s="136">
        <f t="shared" si="42"/>
        <v>0</v>
      </c>
      <c r="AE235" s="136">
        <f t="shared" si="42"/>
        <v>0</v>
      </c>
      <c r="AF235" s="136">
        <f t="shared" si="42"/>
        <v>0</v>
      </c>
      <c r="AG235" s="145">
        <f t="shared" si="4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2038.49</v>
      </c>
      <c r="C244" s="161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16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2080/04/16)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2080/04/16)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43">B91</f>
        <v>2020.42</v>
      </c>
      <c r="U249" s="170">
        <f t="shared" si="43"/>
        <v>1992.5200000000002</v>
      </c>
      <c r="V249" s="170">
        <f t="shared" si="43"/>
        <v>1981.8200000000002</v>
      </c>
      <c r="W249" s="170">
        <f t="shared" si="43"/>
        <v>1945.62</v>
      </c>
      <c r="X249" s="170">
        <f t="shared" si="43"/>
        <v>1914.62</v>
      </c>
      <c r="Y249" s="170">
        <f t="shared" si="43"/>
        <v>1842.19</v>
      </c>
      <c r="Z249" s="170">
        <f t="shared" si="43"/>
        <v>1871.0900000000001</v>
      </c>
      <c r="AA249" s="170">
        <f t="shared" si="43"/>
        <v>1860.4900000000002</v>
      </c>
      <c r="AB249" s="170">
        <f t="shared" si="43"/>
        <v>1929.19</v>
      </c>
      <c r="AC249" s="170">
        <f t="shared" si="43"/>
        <v>1983.9900000000002</v>
      </c>
      <c r="AD249" s="170">
        <f t="shared" si="43"/>
        <v>2020.89</v>
      </c>
      <c r="AE249" s="170">
        <f t="shared" si="43"/>
        <v>2038.49</v>
      </c>
      <c r="AF249" s="170">
        <f t="shared" si="43"/>
        <v>2024.5900000000001</v>
      </c>
      <c r="AG249" s="170">
        <f t="shared" si="43"/>
        <v>2065.34</v>
      </c>
      <c r="AH249" s="170">
        <f t="shared" si="43"/>
        <v>2076.54</v>
      </c>
      <c r="AI249" s="170">
        <f t="shared" si="43"/>
        <v>2075.94</v>
      </c>
      <c r="AJ249" s="170">
        <f t="shared" si="43"/>
        <v>2075.94</v>
      </c>
      <c r="AK249" s="170">
        <f t="shared" si="43"/>
        <v>2096.04</v>
      </c>
      <c r="AL249" s="170">
        <f t="shared" si="43"/>
        <v>2102.14</v>
      </c>
      <c r="AM249" s="170">
        <f t="shared" si="43"/>
        <v>2067.34</v>
      </c>
      <c r="AN249" s="170">
        <f t="shared" si="43"/>
        <v>2058.94</v>
      </c>
      <c r="AO249" s="170">
        <f t="shared" si="43"/>
        <v>2038.54</v>
      </c>
      <c r="AP249" s="170">
        <f t="shared" si="43"/>
        <v>2044.34</v>
      </c>
      <c r="AQ249" s="170">
        <f t="shared" si="43"/>
        <v>2051.14</v>
      </c>
      <c r="AR249" s="170">
        <f t="shared" si="43"/>
        <v>2067.39</v>
      </c>
      <c r="AS249" s="170">
        <f t="shared" si="43"/>
        <v>2101.8199999999997</v>
      </c>
      <c r="AT249" s="170">
        <f t="shared" si="43"/>
        <v>2140.44</v>
      </c>
      <c r="AU249" s="170">
        <f t="shared" si="43"/>
        <v>2123.54</v>
      </c>
      <c r="AV249" s="170">
        <f t="shared" si="43"/>
        <v>2094.14</v>
      </c>
      <c r="AW249" s="170">
        <f t="shared" si="43"/>
        <v>2045.0399999999997</v>
      </c>
      <c r="AX249" s="170">
        <f t="shared" si="43"/>
        <v>1868.54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44">C234</f>
        <v>0.64</v>
      </c>
      <c r="C270" s="173">
        <f t="shared" si="44"/>
        <v>0.64</v>
      </c>
      <c r="D270" s="173">
        <f t="shared" si="44"/>
        <v>0.64</v>
      </c>
      <c r="E270" s="173">
        <f t="shared" si="44"/>
        <v>0.64</v>
      </c>
      <c r="F270" s="173">
        <f t="shared" si="44"/>
        <v>0.64</v>
      </c>
      <c r="G270" s="173">
        <f t="shared" si="44"/>
        <v>0.64</v>
      </c>
      <c r="H270" s="173">
        <f t="shared" si="44"/>
        <v>0.64</v>
      </c>
      <c r="I270" s="173">
        <f t="shared" si="44"/>
        <v>0.64</v>
      </c>
      <c r="J270" s="173">
        <f t="shared" si="44"/>
        <v>0.64</v>
      </c>
      <c r="K270" s="173">
        <f t="shared" si="44"/>
        <v>0.64</v>
      </c>
      <c r="L270" s="173">
        <f t="shared" si="44"/>
        <v>0.64</v>
      </c>
      <c r="M270" s="173">
        <f t="shared" si="44"/>
        <v>0.64</v>
      </c>
      <c r="N270" s="173">
        <f t="shared" si="44"/>
        <v>0.64</v>
      </c>
      <c r="O270" s="173">
        <f t="shared" si="44"/>
        <v>0.64</v>
      </c>
      <c r="P270" s="173">
        <f t="shared" si="44"/>
        <v>0</v>
      </c>
      <c r="Q270" s="173">
        <f t="shared" si="44"/>
        <v>0</v>
      </c>
      <c r="R270" s="173">
        <f t="shared" si="44"/>
        <v>0</v>
      </c>
      <c r="S270" s="173">
        <f t="shared" si="44"/>
        <v>0</v>
      </c>
      <c r="T270" s="173">
        <f t="shared" si="44"/>
        <v>0</v>
      </c>
      <c r="U270" s="173">
        <f t="shared" si="44"/>
        <v>0</v>
      </c>
      <c r="V270" s="173">
        <f t="shared" si="44"/>
        <v>0</v>
      </c>
      <c r="W270" s="173">
        <f t="shared" si="44"/>
        <v>0</v>
      </c>
      <c r="X270" s="173">
        <f t="shared" si="44"/>
        <v>0</v>
      </c>
      <c r="Y270" s="173">
        <f t="shared" si="44"/>
        <v>0</v>
      </c>
      <c r="Z270" s="173">
        <f t="shared" si="44"/>
        <v>0</v>
      </c>
      <c r="AA270" s="173">
        <f t="shared" si="44"/>
        <v>0</v>
      </c>
      <c r="AB270" s="173">
        <f t="shared" si="44"/>
        <v>0</v>
      </c>
      <c r="AC270" s="173">
        <f t="shared" si="44"/>
        <v>0</v>
      </c>
      <c r="AD270" s="173">
        <f t="shared" si="44"/>
        <v>0</v>
      </c>
      <c r="AE270" s="173">
        <f t="shared" si="44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45">IF(B238&lt;100,"",B238-520)</f>
        <v/>
      </c>
      <c r="C271" s="174" t="str">
        <f t="shared" si="45"/>
        <v/>
      </c>
      <c r="D271" s="174" t="str">
        <f t="shared" si="45"/>
        <v/>
      </c>
      <c r="E271" s="174" t="str">
        <f t="shared" si="45"/>
        <v/>
      </c>
      <c r="F271" s="174" t="str">
        <f t="shared" si="45"/>
        <v/>
      </c>
      <c r="G271" s="174" t="str">
        <f t="shared" si="45"/>
        <v/>
      </c>
      <c r="H271" s="174" t="str">
        <f t="shared" si="45"/>
        <v/>
      </c>
      <c r="I271" s="174" t="str">
        <f t="shared" si="45"/>
        <v/>
      </c>
      <c r="J271" s="174" t="str">
        <f t="shared" si="45"/>
        <v/>
      </c>
      <c r="K271" s="174" t="str">
        <f t="shared" si="45"/>
        <v/>
      </c>
      <c r="L271" s="174" t="str">
        <f t="shared" si="45"/>
        <v/>
      </c>
      <c r="M271" s="174" t="str">
        <f t="shared" si="45"/>
        <v/>
      </c>
      <c r="N271" s="174" t="str">
        <f t="shared" si="45"/>
        <v/>
      </c>
      <c r="O271" s="174" t="str">
        <f t="shared" si="45"/>
        <v/>
      </c>
      <c r="P271" s="174" t="str">
        <f t="shared" si="45"/>
        <v/>
      </c>
      <c r="Q271" s="174" t="str">
        <f t="shared" si="45"/>
        <v/>
      </c>
      <c r="R271" s="174" t="str">
        <f t="shared" si="45"/>
        <v/>
      </c>
      <c r="S271" s="174" t="str">
        <f t="shared" si="45"/>
        <v/>
      </c>
      <c r="T271" s="174" t="str">
        <f t="shared" si="45"/>
        <v/>
      </c>
      <c r="U271" s="174" t="str">
        <f t="shared" si="45"/>
        <v/>
      </c>
      <c r="V271" s="174" t="str">
        <f t="shared" si="45"/>
        <v/>
      </c>
      <c r="W271" s="174" t="str">
        <f t="shared" si="45"/>
        <v/>
      </c>
      <c r="X271" s="174" t="str">
        <f t="shared" si="45"/>
        <v/>
      </c>
      <c r="Y271" s="174" t="str">
        <f t="shared" si="45"/>
        <v/>
      </c>
      <c r="Z271" s="174" t="str">
        <f t="shared" si="45"/>
        <v/>
      </c>
      <c r="AA271" s="174" t="str">
        <f t="shared" si="45"/>
        <v/>
      </c>
      <c r="AB271" s="174" t="str">
        <f t="shared" si="45"/>
        <v/>
      </c>
      <c r="AC271" s="174" t="str">
        <f t="shared" si="45"/>
        <v/>
      </c>
      <c r="AD271" s="174" t="str">
        <f t="shared" si="45"/>
        <v/>
      </c>
      <c r="AE271" s="174" t="str">
        <f t="shared" si="45"/>
        <v/>
      </c>
      <c r="AF271" s="174" t="str">
        <f t="shared" si="45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46">IF(B239&lt;100,"",B239-620)</f>
        <v/>
      </c>
      <c r="C272" s="174" t="str">
        <f t="shared" si="46"/>
        <v/>
      </c>
      <c r="D272" s="174" t="str">
        <f t="shared" si="46"/>
        <v/>
      </c>
      <c r="E272" s="174" t="str">
        <f t="shared" si="46"/>
        <v/>
      </c>
      <c r="F272" s="174" t="str">
        <f t="shared" si="46"/>
        <v/>
      </c>
      <c r="G272" s="174" t="str">
        <f t="shared" si="46"/>
        <v/>
      </c>
      <c r="H272" s="174" t="str">
        <f t="shared" si="46"/>
        <v/>
      </c>
      <c r="I272" s="174" t="str">
        <f t="shared" si="46"/>
        <v/>
      </c>
      <c r="J272" s="174" t="str">
        <f t="shared" si="46"/>
        <v/>
      </c>
      <c r="K272" s="174" t="str">
        <f t="shared" si="46"/>
        <v/>
      </c>
      <c r="L272" s="174" t="str">
        <f t="shared" si="46"/>
        <v/>
      </c>
      <c r="M272" s="174" t="str">
        <f t="shared" si="46"/>
        <v/>
      </c>
      <c r="N272" s="174" t="str">
        <f t="shared" si="46"/>
        <v/>
      </c>
      <c r="O272" s="174" t="str">
        <f t="shared" si="46"/>
        <v/>
      </c>
      <c r="P272" s="174" t="str">
        <f t="shared" si="46"/>
        <v/>
      </c>
      <c r="Q272" s="174" t="str">
        <f t="shared" si="46"/>
        <v/>
      </c>
      <c r="R272" s="174" t="str">
        <f t="shared" si="46"/>
        <v/>
      </c>
      <c r="S272" s="174" t="str">
        <f t="shared" si="46"/>
        <v/>
      </c>
      <c r="T272" s="174" t="str">
        <f t="shared" si="46"/>
        <v/>
      </c>
      <c r="U272" s="174" t="str">
        <f t="shared" si="46"/>
        <v/>
      </c>
      <c r="V272" s="174" t="str">
        <f t="shared" si="46"/>
        <v/>
      </c>
      <c r="W272" s="174" t="str">
        <f t="shared" si="46"/>
        <v/>
      </c>
      <c r="X272" s="174" t="str">
        <f t="shared" si="46"/>
        <v/>
      </c>
      <c r="Y272" s="174" t="str">
        <f t="shared" si="46"/>
        <v/>
      </c>
      <c r="Z272" s="174" t="str">
        <f t="shared" si="46"/>
        <v/>
      </c>
      <c r="AA272" s="174" t="str">
        <f t="shared" si="46"/>
        <v/>
      </c>
      <c r="AB272" s="174" t="str">
        <f t="shared" si="46"/>
        <v/>
      </c>
      <c r="AC272" s="174" t="str">
        <f t="shared" si="46"/>
        <v/>
      </c>
      <c r="AD272" s="174" t="str">
        <f t="shared" si="46"/>
        <v/>
      </c>
      <c r="AE272" s="174" t="str">
        <f t="shared" si="46"/>
        <v/>
      </c>
      <c r="AF272" s="174" t="str">
        <f t="shared" si="46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47">IF(B240&lt;100,"",B240-330)</f>
        <v/>
      </c>
      <c r="C273" s="174" t="str">
        <f t="shared" si="47"/>
        <v/>
      </c>
      <c r="D273" s="174" t="str">
        <f t="shared" si="47"/>
        <v/>
      </c>
      <c r="E273" s="174" t="str">
        <f t="shared" si="47"/>
        <v/>
      </c>
      <c r="F273" s="174" t="str">
        <f t="shared" si="47"/>
        <v/>
      </c>
      <c r="G273" s="174" t="str">
        <f t="shared" si="47"/>
        <v/>
      </c>
      <c r="H273" s="174" t="str">
        <f t="shared" si="47"/>
        <v/>
      </c>
      <c r="I273" s="174" t="str">
        <f t="shared" si="47"/>
        <v/>
      </c>
      <c r="J273" s="174" t="str">
        <f t="shared" si="47"/>
        <v/>
      </c>
      <c r="K273" s="174" t="str">
        <f t="shared" si="47"/>
        <v/>
      </c>
      <c r="L273" s="174" t="str">
        <f t="shared" si="47"/>
        <v/>
      </c>
      <c r="M273" s="174" t="str">
        <f t="shared" si="47"/>
        <v/>
      </c>
      <c r="N273" s="174" t="str">
        <f t="shared" si="47"/>
        <v/>
      </c>
      <c r="O273" s="174" t="str">
        <f t="shared" si="47"/>
        <v/>
      </c>
      <c r="P273" s="174" t="str">
        <f t="shared" si="47"/>
        <v/>
      </c>
      <c r="Q273" s="174" t="str">
        <f t="shared" si="47"/>
        <v/>
      </c>
      <c r="R273" s="174" t="str">
        <f t="shared" si="47"/>
        <v/>
      </c>
      <c r="S273" s="174" t="str">
        <f t="shared" si="47"/>
        <v/>
      </c>
      <c r="T273" s="174" t="str">
        <f t="shared" si="47"/>
        <v/>
      </c>
      <c r="U273" s="174" t="str">
        <f t="shared" si="47"/>
        <v/>
      </c>
      <c r="V273" s="174" t="str">
        <f t="shared" si="47"/>
        <v/>
      </c>
      <c r="W273" s="174" t="str">
        <f t="shared" si="47"/>
        <v/>
      </c>
      <c r="X273" s="174" t="str">
        <f t="shared" si="47"/>
        <v/>
      </c>
      <c r="Y273" s="174" t="str">
        <f t="shared" si="47"/>
        <v/>
      </c>
      <c r="Z273" s="174" t="str">
        <f t="shared" si="47"/>
        <v/>
      </c>
      <c r="AA273" s="174" t="str">
        <f t="shared" si="47"/>
        <v/>
      </c>
      <c r="AB273" s="174" t="str">
        <f t="shared" si="47"/>
        <v/>
      </c>
      <c r="AC273" s="174" t="str">
        <f t="shared" si="47"/>
        <v/>
      </c>
      <c r="AD273" s="174" t="str">
        <f t="shared" si="47"/>
        <v/>
      </c>
      <c r="AE273" s="174" t="str">
        <f t="shared" si="47"/>
        <v/>
      </c>
      <c r="AF273" s="174" t="str">
        <f t="shared" si="47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48">IF(B241&lt;100,"",B241-1500)</f>
        <v/>
      </c>
      <c r="C274" s="174" t="str">
        <f t="shared" si="48"/>
        <v/>
      </c>
      <c r="D274" s="174" t="str">
        <f t="shared" si="48"/>
        <v/>
      </c>
      <c r="E274" s="174" t="str">
        <f t="shared" si="48"/>
        <v/>
      </c>
      <c r="F274" s="174" t="str">
        <f t="shared" si="48"/>
        <v/>
      </c>
      <c r="G274" s="174" t="str">
        <f t="shared" si="48"/>
        <v/>
      </c>
      <c r="H274" s="174" t="str">
        <f t="shared" si="48"/>
        <v/>
      </c>
      <c r="I274" s="174" t="str">
        <f t="shared" si="48"/>
        <v/>
      </c>
      <c r="J274" s="174" t="str">
        <f t="shared" si="48"/>
        <v/>
      </c>
      <c r="K274" s="174" t="str">
        <f t="shared" si="48"/>
        <v/>
      </c>
      <c r="L274" s="174" t="str">
        <f t="shared" si="48"/>
        <v/>
      </c>
      <c r="M274" s="174" t="str">
        <f t="shared" si="48"/>
        <v/>
      </c>
      <c r="N274" s="174" t="str">
        <f t="shared" si="48"/>
        <v/>
      </c>
      <c r="O274" s="174" t="str">
        <f t="shared" si="48"/>
        <v/>
      </c>
      <c r="P274" s="174" t="str">
        <f t="shared" si="48"/>
        <v/>
      </c>
      <c r="Q274" s="174" t="str">
        <f t="shared" si="48"/>
        <v/>
      </c>
      <c r="R274" s="174" t="str">
        <f t="shared" si="48"/>
        <v/>
      </c>
      <c r="S274" s="174" t="str">
        <f t="shared" si="48"/>
        <v/>
      </c>
      <c r="T274" s="174" t="str">
        <f t="shared" si="48"/>
        <v/>
      </c>
      <c r="U274" s="174" t="str">
        <f t="shared" si="48"/>
        <v/>
      </c>
      <c r="V274" s="174" t="str">
        <f t="shared" si="48"/>
        <v/>
      </c>
      <c r="W274" s="174" t="str">
        <f t="shared" si="48"/>
        <v/>
      </c>
      <c r="X274" s="174" t="str">
        <f t="shared" si="48"/>
        <v/>
      </c>
      <c r="Y274" s="174" t="str">
        <f t="shared" si="48"/>
        <v/>
      </c>
      <c r="Z274" s="174" t="str">
        <f t="shared" si="48"/>
        <v/>
      </c>
      <c r="AA274" s="174" t="str">
        <f t="shared" si="48"/>
        <v/>
      </c>
      <c r="AB274" s="174" t="str">
        <f t="shared" si="48"/>
        <v/>
      </c>
      <c r="AC274" s="174" t="str">
        <f t="shared" si="48"/>
        <v/>
      </c>
      <c r="AD274" s="174" t="str">
        <f t="shared" si="48"/>
        <v/>
      </c>
      <c r="AE274" s="174" t="str">
        <f t="shared" si="48"/>
        <v/>
      </c>
      <c r="AF274" s="174" t="str">
        <f t="shared" si="48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1277" priority="64">
      <formula>$AH11=0</formula>
    </cfRule>
  </conditionalFormatting>
  <conditionalFormatting sqref="B8 M8 S8 AB8">
    <cfRule type="expression" dxfId="1276" priority="117">
      <formula>C$9&lt;8/24</formula>
    </cfRule>
    <cfRule type="expression" dxfId="1275" priority="116">
      <formula>AND(C$9&gt;=8/24,C$9&lt;14/24)</formula>
    </cfRule>
    <cfRule type="expression" dxfId="1274" priority="115">
      <formula>AND(C$9&gt;=14/24,C$9&lt;20/24)</formula>
    </cfRule>
  </conditionalFormatting>
  <conditionalFormatting sqref="B54:C54">
    <cfRule type="expression" dxfId="1273" priority="38">
      <formula>B$9&gt;=20/24</formula>
    </cfRule>
    <cfRule type="expression" dxfId="1272" priority="39">
      <formula>AND(B$9&gt;=14/24,B$9&lt;20/24)</formula>
    </cfRule>
    <cfRule type="expression" dxfId="1271" priority="40">
      <formula>AND(B$9&gt;=8/24,B$9&lt;14/24)</formula>
    </cfRule>
    <cfRule type="expression" dxfId="1270" priority="41">
      <formula>B$9&lt;8/24</formula>
    </cfRule>
  </conditionalFormatting>
  <conditionalFormatting sqref="B54:C66">
    <cfRule type="expression" dxfId="1269" priority="33">
      <formula>B54&gt;$AG54</formula>
    </cfRule>
  </conditionalFormatting>
  <conditionalFormatting sqref="B55:D59">
    <cfRule type="expression" dxfId="1268" priority="63">
      <formula>B$9&lt;8/24</formula>
    </cfRule>
    <cfRule type="expression" dxfId="1267" priority="62">
      <formula>AND(B$9&gt;=8/24,B$9&lt;14/24)</formula>
    </cfRule>
    <cfRule type="expression" dxfId="1266" priority="61">
      <formula>AND(B$9&gt;=14/24,B$9&lt;20/24)</formula>
    </cfRule>
    <cfRule type="expression" dxfId="1265" priority="60">
      <formula>B$9&gt;=20/24</formula>
    </cfRule>
  </conditionalFormatting>
  <conditionalFormatting sqref="B60:Y60">
    <cfRule type="expression" dxfId="1264" priority="52">
      <formula>AND(B$9&gt;=14/24,B$9&lt;20/24)</formula>
    </cfRule>
    <cfRule type="expression" dxfId="1263" priority="51">
      <formula>B$9&gt;=20/24</formula>
    </cfRule>
    <cfRule type="expression" dxfId="1262" priority="54">
      <formula>B$9&lt;8/24</formula>
    </cfRule>
    <cfRule type="expression" dxfId="1261" priority="53">
      <formula>AND(B$9&gt;=8/24,B$9&lt;14/24)</formula>
    </cfRule>
  </conditionalFormatting>
  <conditionalFormatting sqref="B9:AF45">
    <cfRule type="expression" dxfId="1260" priority="23">
      <formula>B$9&gt;=20/24</formula>
    </cfRule>
    <cfRule type="expression" dxfId="1259" priority="24">
      <formula>AND(B$9&gt;=14/24,B$9&lt;20/24)</formula>
    </cfRule>
    <cfRule type="expression" dxfId="1258" priority="25">
      <formula>AND(B$9&gt;=8/24,B$9&lt;14/24)</formula>
    </cfRule>
    <cfRule type="expression" dxfId="1257" priority="26">
      <formula>B$9&lt;8/24</formula>
    </cfRule>
  </conditionalFormatting>
  <conditionalFormatting sqref="B11:AF46">
    <cfRule type="expression" dxfId="1256" priority="22">
      <formula>B11&gt;$AG11</formula>
    </cfRule>
  </conditionalFormatting>
  <conditionalFormatting sqref="B46:AF46">
    <cfRule type="expression" dxfId="1255" priority="21">
      <formula>B$9&lt;8/24</formula>
    </cfRule>
    <cfRule type="expression" dxfId="1254" priority="18">
      <formula>B$9&gt;=20/24</formula>
    </cfRule>
    <cfRule type="expression" dxfId="1253" priority="19">
      <formula>AND(B$9&gt;=14/24,B$9&lt;20/24)</formula>
    </cfRule>
    <cfRule type="expression" dxfId="1252" priority="20">
      <formula>AND(B$9&gt;=8/24,B$9&lt;14/24)</formula>
    </cfRule>
  </conditionalFormatting>
  <conditionalFormatting sqref="B47:AF47">
    <cfRule type="expression" dxfId="1251" priority="32">
      <formula>B47&gt;$AG47</formula>
    </cfRule>
  </conditionalFormatting>
  <conditionalFormatting sqref="B47:AF49">
    <cfRule type="expression" dxfId="1250" priority="31">
      <formula>B$9&lt;8/24</formula>
    </cfRule>
    <cfRule type="expression" dxfId="1249" priority="30">
      <formula>AND(B$9&gt;=8/24,B$9&lt;14/24)</formula>
    </cfRule>
    <cfRule type="expression" dxfId="1248" priority="29">
      <formula>AND(B$9&gt;=14/24,B$9&lt;20/24)</formula>
    </cfRule>
    <cfRule type="expression" dxfId="1247" priority="28">
      <formula>B$9&gt;=20/24</formula>
    </cfRule>
  </conditionalFormatting>
  <conditionalFormatting sqref="B48:AF53">
    <cfRule type="expression" dxfId="1246" priority="27">
      <formula>B48&gt;$AG48</formula>
    </cfRule>
  </conditionalFormatting>
  <conditionalFormatting sqref="B51:AF53">
    <cfRule type="expression" dxfId="1245" priority="48">
      <formula>AND(B$9&gt;=14/24,B$9&lt;20/24)</formula>
    </cfRule>
    <cfRule type="expression" dxfId="1244" priority="49">
      <formula>AND(B$9&gt;=8/24,B$9&lt;14/24)</formula>
    </cfRule>
    <cfRule type="expression" dxfId="1243" priority="50">
      <formula>B$9&lt;8/24</formula>
    </cfRule>
    <cfRule type="expression" dxfId="1242" priority="47">
      <formula>B$9&gt;=20/24</formula>
    </cfRule>
  </conditionalFormatting>
  <conditionalFormatting sqref="B61:AF66">
    <cfRule type="expression" dxfId="1241" priority="35">
      <formula>AND(B$9&gt;=14/24,B$9&lt;20/24)</formula>
    </cfRule>
    <cfRule type="expression" dxfId="1240" priority="36">
      <formula>AND(B$9&gt;=8/24,B$9&lt;14/24)</formula>
    </cfRule>
    <cfRule type="expression" dxfId="1239" priority="37">
      <formula>B$9&lt;8/24</formula>
    </cfRule>
    <cfRule type="expression" dxfId="1238" priority="34">
      <formula>B$9&gt;=20/24</formula>
    </cfRule>
  </conditionalFormatting>
  <conditionalFormatting sqref="B69:AF71">
    <cfRule type="expression" dxfId="1237" priority="58">
      <formula>AND(B$9&gt;=8/24,B$9&lt;14/24)</formula>
    </cfRule>
    <cfRule type="expression" dxfId="1236" priority="59">
      <formula>B$9&lt;8/24</formula>
    </cfRule>
    <cfRule type="expression" dxfId="1235" priority="55">
      <formula>B69&gt;$AG69</formula>
    </cfRule>
    <cfRule type="expression" dxfId="1234" priority="56">
      <formula>B$9&gt;=20/24</formula>
    </cfRule>
    <cfRule type="expression" dxfId="1233" priority="57">
      <formula>AND(B$9&gt;=14/24,B$9&lt;20/24)</formula>
    </cfRule>
  </conditionalFormatting>
  <conditionalFormatting sqref="B73:AF91">
    <cfRule type="expression" dxfId="1232" priority="2">
      <formula>AND(B$9&gt;=14/24,B$9&lt;20/24)</formula>
    </cfRule>
    <cfRule type="expression" dxfId="1231" priority="4">
      <formula>B$9&lt;8/24</formula>
    </cfRule>
    <cfRule type="expression" dxfId="1230" priority="3">
      <formula>AND(B$9&gt;=8/24,B$9&lt;14/24)</formula>
    </cfRule>
    <cfRule type="expression" dxfId="1229" priority="1">
      <formula>B$9&gt;=20/24</formula>
    </cfRule>
  </conditionalFormatting>
  <conditionalFormatting sqref="B111:AF120">
    <cfRule type="expression" dxfId="1228" priority="17">
      <formula>B$9&lt;8/24</formula>
    </cfRule>
    <cfRule type="expression" dxfId="1227" priority="16">
      <formula>AND(B$9&gt;=8/24,B$9&lt;14/24)</formula>
    </cfRule>
    <cfRule type="expression" dxfId="1226" priority="15">
      <formula>AND(B$9&gt;=14/24,B$9&lt;20/24)</formula>
    </cfRule>
    <cfRule type="expression" dxfId="1225" priority="14">
      <formula>B$9&gt;=20/24</formula>
    </cfRule>
  </conditionalFormatting>
  <conditionalFormatting sqref="B227:AF227 D229:AF230 B229:B235 D231:H231 J231:AF231 D232:AF235 U248:AF248">
    <cfRule type="expression" dxfId="1224" priority="108">
      <formula>B$9&gt;=20/24</formula>
    </cfRule>
    <cfRule type="expression" dxfId="1223" priority="110">
      <formula>AND(B$9&gt;=8/24,B$9&lt;14/24)</formula>
    </cfRule>
    <cfRule type="expression" dxfId="1222" priority="111">
      <formula>B$9&lt;8/24</formula>
    </cfRule>
    <cfRule type="expression" dxfId="1221" priority="109">
      <formula>AND(B$9&gt;=14/24,B$9&lt;20/24)</formula>
    </cfRule>
  </conditionalFormatting>
  <conditionalFormatting sqref="B67:AG68 B72:AG72">
    <cfRule type="expression" dxfId="1220" priority="42">
      <formula>B67&gt;$AG67</formula>
    </cfRule>
  </conditionalFormatting>
  <conditionalFormatting sqref="B72:AG72 B93:AF109">
    <cfRule type="expression" dxfId="1219" priority="46">
      <formula>B$9&lt;8/24</formula>
    </cfRule>
    <cfRule type="expression" dxfId="1218" priority="45">
      <formula>AND(B$9&gt;=8/24,B$9&lt;14/24)</formula>
    </cfRule>
    <cfRule type="expression" dxfId="1217" priority="44">
      <formula>AND(B$9&gt;=14/24,B$9&lt;20/24)</formula>
    </cfRule>
    <cfRule type="expression" dxfId="1216" priority="43">
      <formula>B$9&gt;=20/24</formula>
    </cfRule>
  </conditionalFormatting>
  <conditionalFormatting sqref="D55:AF66">
    <cfRule type="expression" dxfId="1215" priority="5">
      <formula>D55&gt;$AG55</formula>
    </cfRule>
  </conditionalFormatting>
  <conditionalFormatting sqref="D54:AG54">
    <cfRule type="expression" dxfId="1214" priority="78">
      <formula>AND(D$9&gt;=14/24,D$9&lt;20/24)</formula>
    </cfRule>
    <cfRule type="expression" dxfId="1213" priority="77">
      <formula>D$9&gt;=20/24</formula>
    </cfRule>
    <cfRule type="expression" dxfId="1212" priority="76">
      <formula>D54&gt;$AG54</formula>
    </cfRule>
    <cfRule type="expression" dxfId="1211" priority="79">
      <formula>AND(D$9&gt;=8/24,D$9&lt;14/24)</formula>
    </cfRule>
    <cfRule type="expression" dxfId="1210" priority="80">
      <formula>D$9&lt;8/24</formula>
    </cfRule>
  </conditionalFormatting>
  <conditionalFormatting sqref="E55:O57">
    <cfRule type="expression" dxfId="1209" priority="89">
      <formula>E$9&gt;=20/24</formula>
    </cfRule>
    <cfRule type="expression" dxfId="1208" priority="90">
      <formula>AND(E$9&gt;=14/24,E$9&lt;20/24)</formula>
    </cfRule>
    <cfRule type="expression" dxfId="1207" priority="91">
      <formula>AND(E$9&gt;=8/24,E$9&lt;14/24)</formula>
    </cfRule>
    <cfRule type="expression" dxfId="1206" priority="92">
      <formula>E$9&lt;8/24</formula>
    </cfRule>
  </conditionalFormatting>
  <conditionalFormatting sqref="M55:Y59">
    <cfRule type="expression" dxfId="1205" priority="93">
      <formula>M$9&gt;=20/24</formula>
    </cfRule>
    <cfRule type="expression" dxfId="1204" priority="95">
      <formula>AND(M$9&gt;=8/24,M$9&lt;14/24)</formula>
    </cfRule>
    <cfRule type="expression" dxfId="1203" priority="96">
      <formula>M$9&lt;8/24</formula>
    </cfRule>
    <cfRule type="expression" dxfId="1202" priority="94">
      <formula>AND(M$9&gt;=14/24,M$9&lt;20/24)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201" priority="114">
      <formula>C$9&gt;=20/24</formula>
    </cfRule>
  </conditionalFormatting>
  <conditionalFormatting sqref="S8">
    <cfRule type="expression" dxfId="1200" priority="102">
      <formula>AND(U$9&gt;=14/24,U$9&lt;20/24)</formula>
    </cfRule>
    <cfRule type="expression" dxfId="1199" priority="101">
      <formula>U$9&gt;=20/24</formula>
    </cfRule>
    <cfRule type="expression" dxfId="1198" priority="103">
      <formula>AND(U$9&gt;=8/24,U$9&lt;14/24)</formula>
    </cfRule>
    <cfRule type="expression" dxfId="1197" priority="104">
      <formula>U$9&lt;8/24</formula>
    </cfRule>
  </conditionalFormatting>
  <conditionalFormatting sqref="S55:AF60">
    <cfRule type="expression" dxfId="1196" priority="10">
      <formula>S$9&gt;=20/24</formula>
    </cfRule>
    <cfRule type="expression" dxfId="1195" priority="12">
      <formula>AND(S$9&gt;=8/24,S$9&lt;14/24)</formula>
    </cfRule>
    <cfRule type="expression" dxfId="1194" priority="13">
      <formula>S$9&lt;8/24</formula>
    </cfRule>
    <cfRule type="expression" dxfId="1193" priority="11">
      <formula>AND(S$9&gt;=14/24,S$9&lt;20/24)</formula>
    </cfRule>
  </conditionalFormatting>
  <conditionalFormatting sqref="T248">
    <cfRule type="expression" dxfId="1192" priority="129">
      <formula>AX$9&lt;8/24</formula>
    </cfRule>
    <cfRule type="expression" dxfId="1191" priority="126">
      <formula>AX$9&gt;=20/24</formula>
    </cfRule>
    <cfRule type="expression" dxfId="1190" priority="127">
      <formula>AND(AX$9&gt;=14/24,AX$9&lt;20/24)</formula>
    </cfRule>
    <cfRule type="expression" dxfId="1189" priority="128">
      <formula>AND(AX$9&gt;=8/24,AX$9&lt;14/24)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188" priority="97">
      <formula>AD$9&gt;=20/24</formula>
    </cfRule>
    <cfRule type="expression" dxfId="1187" priority="99">
      <formula>AND(AD$9&gt;=8/24,AD$9&lt;14/24)</formula>
    </cfRule>
    <cfRule type="expression" dxfId="1186" priority="98">
      <formula>AND(AD$9&gt;=14/24,AD$9&lt;20/24)</formula>
    </cfRule>
    <cfRule type="expression" dxfId="1185" priority="100">
      <formula>AD$9&lt;8/24</formula>
    </cfRule>
  </conditionalFormatting>
  <conditionalFormatting sqref="AE61:AF66">
    <cfRule type="expression" dxfId="1184" priority="9">
      <formula>AE$9&lt;8/24</formula>
    </cfRule>
    <cfRule type="expression" dxfId="1183" priority="8">
      <formula>AND(AE$9&gt;=8/24,AE$9&lt;14/24)</formula>
    </cfRule>
    <cfRule type="expression" dxfId="1182" priority="7">
      <formula>AND(AE$9&gt;=14/24,AE$9&lt;20/24)</formula>
    </cfRule>
    <cfRule type="expression" dxfId="1181" priority="6">
      <formula>AE$9&gt;=20/24</formula>
    </cfRule>
  </conditionalFormatting>
  <conditionalFormatting sqref="AG50">
    <cfRule type="expression" dxfId="1180" priority="84">
      <formula>AG50&gt;$AG50</formula>
    </cfRule>
  </conditionalFormatting>
  <conditionalFormatting sqref="AG89">
    <cfRule type="expression" dxfId="1179" priority="85">
      <formula>AG$9&gt;=20/24</formula>
    </cfRule>
    <cfRule type="expression" dxfId="1178" priority="86">
      <formula>AND(AG$9&gt;=14/24,AG$9&lt;20/24)</formula>
    </cfRule>
    <cfRule type="expression" dxfId="1177" priority="87">
      <formula>AND(AG$9&gt;=8/24,AG$9&lt;14/24)</formula>
    </cfRule>
    <cfRule type="expression" dxfId="1176" priority="88">
      <formula>AG$9&lt;8/24</formula>
    </cfRule>
  </conditionalFormatting>
  <conditionalFormatting sqref="AG248">
    <cfRule type="expression" dxfId="1175" priority="118">
      <formula>B$9&gt;=20/24</formula>
    </cfRule>
    <cfRule type="expression" dxfId="1174" priority="121">
      <formula>B$9&lt;8/24</formula>
    </cfRule>
    <cfRule type="expression" dxfId="1173" priority="120">
      <formula>AND(B$9&gt;=8/24,B$9&lt;14/24)</formula>
    </cfRule>
    <cfRule type="expression" dxfId="1172" priority="119">
      <formula>AND(B$9&gt;=14/24,B$9&lt;20/24)</formula>
    </cfRule>
  </conditionalFormatting>
  <conditionalFormatting sqref="AH248:AX248">
    <cfRule type="expression" dxfId="1171" priority="125">
      <formula>AG$9&lt;8/24</formula>
    </cfRule>
    <cfRule type="expression" dxfId="1170" priority="124">
      <formula>AND(AG$9&gt;=8/24,AG$9&lt;14/24)</formula>
    </cfRule>
    <cfRule type="expression" dxfId="1169" priority="123">
      <formula>AND(AG$9&gt;=14/24,AG$9&lt;20/24)</formula>
    </cfRule>
    <cfRule type="expression" dxfId="1168" priority="122">
      <formula>AG$9&gt;=20/24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167" priority="131">
      <formula>AJ$9&gt;=20/24</formula>
    </cfRule>
    <cfRule type="expression" dxfId="1166" priority="132">
      <formula>AND(AJ$9&gt;=14/24,AJ$9&lt;20/24)</formula>
    </cfRule>
    <cfRule type="expression" dxfId="1165" priority="133">
      <formula>AND(AJ$9&gt;=8/24,AJ$9&lt;14/24)</formula>
    </cfRule>
    <cfRule type="expression" dxfId="1164" priority="134">
      <formula>AJ$9&lt;8/24</formula>
    </cfRule>
  </conditionalFormatting>
  <conditionalFormatting sqref="AL80:AN80 AL86:AN86">
    <cfRule type="expression" dxfId="1163" priority="75">
      <formula>AL$9&lt;8/24</formula>
    </cfRule>
    <cfRule type="expression" dxfId="1162" priority="74">
      <formula>AND(AL$9&gt;=8/24,AL$9&lt;14/24)</formula>
    </cfRule>
    <cfRule type="expression" dxfId="1161" priority="73">
      <formula>AND(AL$9&gt;=14/24,AL$9&lt;20/24)</formula>
    </cfRule>
    <cfRule type="expression" dxfId="1160" priority="72">
      <formula>AL$9&gt;=20/24</formula>
    </cfRule>
  </conditionalFormatting>
  <conditionalFormatting sqref="AN81:AN84">
    <cfRule type="expression" dxfId="1159" priority="71">
      <formula>AN$9&lt;8/24</formula>
    </cfRule>
    <cfRule type="expression" dxfId="1158" priority="69">
      <formula>AND(AN$9&gt;=14/24,AN$9&lt;20/24)</formula>
    </cfRule>
    <cfRule type="expression" dxfId="1157" priority="70">
      <formula>AND(AN$9&gt;=8/24,AN$9&lt;14/24)</formula>
    </cfRule>
    <cfRule type="expression" dxfId="1156" priority="68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400A-9D9F-4BD0-829D-C3D314BB1B1C}">
  <dimension ref="A1:CJ281"/>
  <sheetViews>
    <sheetView tabSelected="1" zoomScale="98" zoomScaleNormal="98" zoomScaleSheetLayoutView="70"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H11" sqref="AH11:AI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7.140625" style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2080/04/17</v>
      </c>
      <c r="C4" s="203"/>
      <c r="D4" s="203"/>
      <c r="E4" s="204" t="str">
        <f ca="1">"2079/"&amp;"12/"&amp;INT(MID(CELL("filename",G6),FIND("]",CELL("filename",G6))+1,200))</f>
        <v>2079/12/17</v>
      </c>
      <c r="F4" s="204"/>
      <c r="G4" s="204"/>
      <c r="H4" s="204" t="str">
        <f ca="1">TEXT(E4,"dddd")</f>
        <v>Sunday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38.200000000000003</v>
      </c>
      <c r="C5" s="30">
        <f t="shared" si="0"/>
        <v>5</v>
      </c>
      <c r="D5" s="30">
        <f t="shared" si="0"/>
        <v>0</v>
      </c>
      <c r="E5" s="30">
        <f t="shared" si="0"/>
        <v>20</v>
      </c>
      <c r="F5" s="30">
        <f t="shared" si="0"/>
        <v>29.1</v>
      </c>
      <c r="G5" s="30">
        <f t="shared" si="0"/>
        <v>29.1</v>
      </c>
      <c r="H5" s="30">
        <f t="shared" si="0"/>
        <v>20.9</v>
      </c>
      <c r="I5" s="30">
        <f t="shared" si="0"/>
        <v>20.9</v>
      </c>
      <c r="J5" s="30">
        <f t="shared" si="0"/>
        <v>9.9</v>
      </c>
      <c r="K5" s="30">
        <f t="shared" si="0"/>
        <v>15</v>
      </c>
      <c r="L5" s="30">
        <f t="shared" si="0"/>
        <v>9.9</v>
      </c>
      <c r="M5" s="30">
        <f t="shared" si="0"/>
        <v>32</v>
      </c>
      <c r="N5" s="30">
        <f t="shared" si="0"/>
        <v>26.9</v>
      </c>
      <c r="O5" s="30">
        <f t="shared" si="0"/>
        <v>33.1</v>
      </c>
      <c r="P5" s="30">
        <f t="shared" si="0"/>
        <v>20.2</v>
      </c>
      <c r="Q5" s="30">
        <f t="shared" si="0"/>
        <v>0</v>
      </c>
      <c r="R5" s="30">
        <f t="shared" si="0"/>
        <v>5</v>
      </c>
      <c r="S5" s="30">
        <f t="shared" si="0"/>
        <v>7.9</v>
      </c>
      <c r="T5" s="30">
        <f t="shared" si="0"/>
        <v>5</v>
      </c>
      <c r="U5" s="30">
        <f t="shared" si="0"/>
        <v>5</v>
      </c>
      <c r="V5" s="30">
        <f t="shared" si="0"/>
        <v>5</v>
      </c>
      <c r="W5" s="30">
        <f t="shared" si="0"/>
        <v>7.1</v>
      </c>
      <c r="X5" s="30">
        <f t="shared" si="0"/>
        <v>5</v>
      </c>
      <c r="Y5" s="30">
        <f t="shared" si="0"/>
        <v>5</v>
      </c>
      <c r="Z5" s="30">
        <f t="shared" si="0"/>
        <v>9.1999999999999993</v>
      </c>
      <c r="AA5" s="30">
        <f t="shared" si="0"/>
        <v>5</v>
      </c>
      <c r="AB5" s="30">
        <f t="shared" si="0"/>
        <v>5</v>
      </c>
      <c r="AC5" s="30">
        <f t="shared" si="0"/>
        <v>27</v>
      </c>
      <c r="AD5" s="30">
        <f t="shared" si="0"/>
        <v>35</v>
      </c>
      <c r="AE5" s="30">
        <f t="shared" si="0"/>
        <v>33</v>
      </c>
      <c r="AF5" s="30">
        <f>B84</f>
        <v>22.7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1994MW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Load=1755</v>
      </c>
      <c r="B7" s="35">
        <f t="shared" ref="B7:AF7" si="1">B91</f>
        <v>1812.94</v>
      </c>
      <c r="C7" s="35">
        <f t="shared" si="1"/>
        <v>1830.94</v>
      </c>
      <c r="D7" s="35">
        <f t="shared" si="1"/>
        <v>1807.74</v>
      </c>
      <c r="E7" s="35">
        <f t="shared" si="1"/>
        <v>1755.0400000000002</v>
      </c>
      <c r="F7" s="35">
        <f t="shared" si="1"/>
        <v>1806.5400000000002</v>
      </c>
      <c r="G7" s="35">
        <f t="shared" si="1"/>
        <v>1820.64</v>
      </c>
      <c r="H7" s="35">
        <f t="shared" si="1"/>
        <v>1822.9399999999998</v>
      </c>
      <c r="I7" s="35">
        <f t="shared" si="1"/>
        <v>1812.64</v>
      </c>
      <c r="J7" s="35">
        <f t="shared" si="1"/>
        <v>1840.64</v>
      </c>
      <c r="K7" s="35">
        <f t="shared" si="1"/>
        <v>1857.64</v>
      </c>
      <c r="L7" s="35">
        <f t="shared" si="1"/>
        <v>1872.74</v>
      </c>
      <c r="M7" s="35">
        <f t="shared" si="1"/>
        <v>1875.6400000000003</v>
      </c>
      <c r="N7" s="35">
        <f>N91</f>
        <v>1994.0400000000002</v>
      </c>
      <c r="O7" s="35">
        <f t="shared" si="1"/>
        <v>1975.3400000000001</v>
      </c>
      <c r="P7" s="35">
        <f t="shared" si="1"/>
        <v>2006.54</v>
      </c>
      <c r="Q7" s="35">
        <f t="shared" si="1"/>
        <v>1969.8400000000001</v>
      </c>
      <c r="R7" s="35">
        <f t="shared" si="1"/>
        <v>1972.94</v>
      </c>
      <c r="S7" s="35">
        <f t="shared" si="1"/>
        <v>1999.0400000000002</v>
      </c>
      <c r="T7" s="35">
        <f t="shared" si="1"/>
        <v>1958.8400000000004</v>
      </c>
      <c r="U7" s="35">
        <f t="shared" si="1"/>
        <v>1972.5400000000002</v>
      </c>
      <c r="V7" s="35">
        <f t="shared" si="1"/>
        <v>1987.84</v>
      </c>
      <c r="W7" s="35">
        <f t="shared" si="1"/>
        <v>1960.7400000000002</v>
      </c>
      <c r="X7" s="35">
        <f t="shared" si="1"/>
        <v>1984.44</v>
      </c>
      <c r="Y7" s="35">
        <f t="shared" si="1"/>
        <v>1977.4400000000003</v>
      </c>
      <c r="Z7" s="35">
        <f t="shared" si="1"/>
        <v>1990.2400000000002</v>
      </c>
      <c r="AA7" s="35">
        <f t="shared" si="1"/>
        <v>2106.9399999999996</v>
      </c>
      <c r="AB7" s="35">
        <f t="shared" si="1"/>
        <v>2102.7399999999998</v>
      </c>
      <c r="AC7" s="35">
        <f t="shared" si="1"/>
        <v>2097.7399999999998</v>
      </c>
      <c r="AD7" s="35">
        <f t="shared" si="1"/>
        <v>2114.7399999999998</v>
      </c>
      <c r="AE7" s="35">
        <f t="shared" si="1"/>
        <v>2059.44</v>
      </c>
      <c r="AF7" s="35">
        <f t="shared" si="1"/>
        <v>2051.44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90.1</v>
      </c>
      <c r="C11" s="45">
        <v>90.1</v>
      </c>
      <c r="D11" s="45">
        <v>90.1</v>
      </c>
      <c r="E11" s="45">
        <v>90.1</v>
      </c>
      <c r="F11" s="45">
        <v>90.1</v>
      </c>
      <c r="G11" s="45">
        <v>90.1</v>
      </c>
      <c r="H11" s="45">
        <v>90.1</v>
      </c>
      <c r="I11" s="45">
        <v>90.1</v>
      </c>
      <c r="J11" s="45">
        <v>90.1</v>
      </c>
      <c r="K11" s="45">
        <v>90.1</v>
      </c>
      <c r="L11" s="45">
        <v>90.1</v>
      </c>
      <c r="M11" s="45">
        <v>90.1</v>
      </c>
      <c r="N11" s="45">
        <v>90.1</v>
      </c>
      <c r="O11" s="45">
        <v>90.1</v>
      </c>
      <c r="P11" s="45">
        <v>90.1</v>
      </c>
      <c r="Q11" s="45">
        <v>90.1</v>
      </c>
      <c r="R11" s="45">
        <v>90.1</v>
      </c>
      <c r="S11" s="45">
        <v>90.1</v>
      </c>
      <c r="T11" s="45">
        <v>90.1</v>
      </c>
      <c r="U11" s="45">
        <v>90.1</v>
      </c>
      <c r="V11" s="45">
        <v>90.1</v>
      </c>
      <c r="W11" s="45">
        <v>90.1</v>
      </c>
      <c r="X11" s="45">
        <v>90.1</v>
      </c>
      <c r="Y11" s="45">
        <v>90.1</v>
      </c>
      <c r="Z11" s="45">
        <v>90.1</v>
      </c>
      <c r="AA11" s="45">
        <v>90.1</v>
      </c>
      <c r="AB11" s="45">
        <v>90.1</v>
      </c>
      <c r="AC11" s="45">
        <v>90.1</v>
      </c>
      <c r="AD11" s="45">
        <v>90.1</v>
      </c>
      <c r="AE11" s="45">
        <v>90.1</v>
      </c>
      <c r="AF11" s="45">
        <v>90.1</v>
      </c>
      <c r="AG11" s="46">
        <v>86</v>
      </c>
      <c r="AH11" s="47">
        <f t="shared" ref="AH11:AH76" si="2">MAX(B11:AF11)</f>
        <v>90.1</v>
      </c>
      <c r="AI11" s="48">
        <f t="shared" ref="AI11:AI76" si="3">MIN(B11:AF11)</f>
        <v>90.1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8</v>
      </c>
      <c r="C12" s="45">
        <v>15</v>
      </c>
      <c r="D12" s="45">
        <v>15</v>
      </c>
      <c r="E12" s="45">
        <v>15</v>
      </c>
      <c r="F12" s="45">
        <v>15</v>
      </c>
      <c r="G12" s="45">
        <v>27</v>
      </c>
      <c r="H12" s="45">
        <v>27</v>
      </c>
      <c r="I12" s="45">
        <v>27</v>
      </c>
      <c r="J12" s="45">
        <v>27</v>
      </c>
      <c r="K12" s="45">
        <v>27</v>
      </c>
      <c r="L12" s="45">
        <v>27</v>
      </c>
      <c r="M12" s="45">
        <v>27</v>
      </c>
      <c r="N12" s="45">
        <v>18</v>
      </c>
      <c r="O12" s="45">
        <v>18</v>
      </c>
      <c r="P12" s="45">
        <v>26</v>
      </c>
      <c r="Q12" s="45">
        <v>26</v>
      </c>
      <c r="R12" s="45">
        <v>26</v>
      </c>
      <c r="S12" s="45">
        <v>26</v>
      </c>
      <c r="T12" s="45">
        <v>18</v>
      </c>
      <c r="U12" s="45">
        <v>9</v>
      </c>
      <c r="V12" s="45">
        <v>9</v>
      </c>
      <c r="W12" s="45">
        <v>9</v>
      </c>
      <c r="X12" s="45">
        <v>9</v>
      </c>
      <c r="Y12" s="45">
        <v>4.5</v>
      </c>
      <c r="Z12" s="45">
        <v>4.5</v>
      </c>
      <c r="AA12" s="45">
        <v>26</v>
      </c>
      <c r="AB12" s="45">
        <v>26</v>
      </c>
      <c r="AC12" s="45">
        <v>26</v>
      </c>
      <c r="AD12" s="45">
        <v>26</v>
      </c>
      <c r="AE12" s="45">
        <v>26</v>
      </c>
      <c r="AF12" s="45">
        <v>26</v>
      </c>
      <c r="AG12" s="49">
        <v>54</v>
      </c>
      <c r="AH12" s="47">
        <f t="shared" si="2"/>
        <v>27</v>
      </c>
      <c r="AI12" s="48">
        <f t="shared" si="3"/>
        <v>4.5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40</v>
      </c>
      <c r="C13" s="45">
        <v>40</v>
      </c>
      <c r="D13" s="45">
        <v>40</v>
      </c>
      <c r="E13" s="45">
        <v>40</v>
      </c>
      <c r="F13" s="45">
        <v>40</v>
      </c>
      <c r="G13" s="45">
        <v>40</v>
      </c>
      <c r="H13" s="45">
        <v>40</v>
      </c>
      <c r="I13" s="45">
        <v>40</v>
      </c>
      <c r="J13" s="45">
        <v>40</v>
      </c>
      <c r="K13" s="45">
        <v>40</v>
      </c>
      <c r="L13" s="45">
        <v>40</v>
      </c>
      <c r="M13" s="45">
        <v>40</v>
      </c>
      <c r="N13" s="45">
        <v>55</v>
      </c>
      <c r="O13" s="45">
        <v>55</v>
      </c>
      <c r="P13" s="45">
        <v>55</v>
      </c>
      <c r="Q13" s="45">
        <v>55</v>
      </c>
      <c r="R13" s="45">
        <v>55</v>
      </c>
      <c r="S13" s="45">
        <v>55</v>
      </c>
      <c r="T13" s="45">
        <v>46</v>
      </c>
      <c r="U13" s="45">
        <v>46</v>
      </c>
      <c r="V13" s="45">
        <v>54.8</v>
      </c>
      <c r="W13" s="45">
        <v>54.8</v>
      </c>
      <c r="X13" s="45">
        <v>54.8</v>
      </c>
      <c r="Y13" s="45">
        <v>54.8</v>
      </c>
      <c r="Z13" s="45">
        <v>54.8</v>
      </c>
      <c r="AA13" s="45">
        <v>54.8</v>
      </c>
      <c r="AB13" s="45">
        <v>54.8</v>
      </c>
      <c r="AC13" s="45">
        <v>54.8</v>
      </c>
      <c r="AD13" s="45">
        <v>54.8</v>
      </c>
      <c r="AE13" s="45">
        <v>54.8</v>
      </c>
      <c r="AF13" s="45">
        <v>54.8</v>
      </c>
      <c r="AG13" s="46">
        <v>52.4</v>
      </c>
      <c r="AH13" s="47">
        <f t="shared" si="2"/>
        <v>55</v>
      </c>
      <c r="AI13" s="48">
        <f t="shared" si="3"/>
        <v>40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50.4</v>
      </c>
      <c r="C14" s="58">
        <v>50.4</v>
      </c>
      <c r="D14" s="58">
        <v>50.4</v>
      </c>
      <c r="E14" s="58">
        <v>50.4</v>
      </c>
      <c r="F14" s="58">
        <v>50.4</v>
      </c>
      <c r="G14" s="58">
        <v>50.4</v>
      </c>
      <c r="H14" s="58">
        <v>50.4</v>
      </c>
      <c r="I14" s="58">
        <v>50.4</v>
      </c>
      <c r="J14" s="58">
        <v>50.4</v>
      </c>
      <c r="K14" s="58">
        <v>50.4</v>
      </c>
      <c r="L14" s="58">
        <v>50.4</v>
      </c>
      <c r="M14" s="58">
        <v>50.4</v>
      </c>
      <c r="N14" s="58">
        <v>50.4</v>
      </c>
      <c r="O14" s="58">
        <v>50.4</v>
      </c>
      <c r="P14" s="58">
        <v>50.4</v>
      </c>
      <c r="Q14" s="58">
        <v>50.4</v>
      </c>
      <c r="R14" s="58">
        <v>50.4</v>
      </c>
      <c r="S14" s="58">
        <v>50.4</v>
      </c>
      <c r="T14" s="58">
        <v>50.4</v>
      </c>
      <c r="U14" s="58">
        <v>50.4</v>
      </c>
      <c r="V14" s="58">
        <v>50.4</v>
      </c>
      <c r="W14" s="58">
        <v>50.4</v>
      </c>
      <c r="X14" s="58">
        <v>50.4</v>
      </c>
      <c r="Y14" s="58">
        <v>50.4</v>
      </c>
      <c r="Z14" s="58">
        <v>50.4</v>
      </c>
      <c r="AA14" s="58">
        <v>50.4</v>
      </c>
      <c r="AB14" s="58">
        <v>50.4</v>
      </c>
      <c r="AC14" s="58">
        <v>50.4</v>
      </c>
      <c r="AD14" s="58">
        <v>50.4</v>
      </c>
      <c r="AE14" s="58">
        <v>50.4</v>
      </c>
      <c r="AF14" s="58">
        <v>50.4</v>
      </c>
      <c r="AG14" s="49">
        <v>50</v>
      </c>
      <c r="AH14" s="47">
        <f t="shared" si="2"/>
        <v>50.4</v>
      </c>
      <c r="AI14" s="48">
        <f t="shared" si="3"/>
        <v>50.4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46.2</v>
      </c>
      <c r="C15" s="45">
        <v>46.2</v>
      </c>
      <c r="D15" s="45">
        <v>46.2</v>
      </c>
      <c r="E15" s="45">
        <v>3.5</v>
      </c>
      <c r="F15" s="45">
        <v>35</v>
      </c>
      <c r="G15" s="45">
        <v>35</v>
      </c>
      <c r="H15" s="45">
        <v>46.2</v>
      </c>
      <c r="I15" s="45">
        <v>46.2</v>
      </c>
      <c r="J15" s="45">
        <v>46.2</v>
      </c>
      <c r="K15" s="45">
        <v>46.2</v>
      </c>
      <c r="L15" s="45">
        <v>46.2</v>
      </c>
      <c r="M15" s="45">
        <v>46.2</v>
      </c>
      <c r="N15" s="45">
        <v>46.2</v>
      </c>
      <c r="O15" s="45">
        <v>46.2</v>
      </c>
      <c r="P15" s="45">
        <v>46.2</v>
      </c>
      <c r="Q15" s="45">
        <v>46.2</v>
      </c>
      <c r="R15" s="45">
        <v>46.2</v>
      </c>
      <c r="S15" s="45">
        <v>46.2</v>
      </c>
      <c r="T15" s="45">
        <v>46.2</v>
      </c>
      <c r="U15" s="45">
        <v>46.2</v>
      </c>
      <c r="V15" s="45">
        <v>46.2</v>
      </c>
      <c r="W15" s="45">
        <v>46.2</v>
      </c>
      <c r="X15" s="45">
        <v>46.2</v>
      </c>
      <c r="Y15" s="45">
        <v>46.2</v>
      </c>
      <c r="Z15" s="45">
        <v>46.2</v>
      </c>
      <c r="AA15" s="45">
        <v>46.2</v>
      </c>
      <c r="AB15" s="45">
        <v>46.2</v>
      </c>
      <c r="AC15" s="45">
        <v>46.2</v>
      </c>
      <c r="AD15" s="45">
        <v>46.2</v>
      </c>
      <c r="AE15" s="45">
        <v>46.2</v>
      </c>
      <c r="AF15" s="45">
        <v>46.2</v>
      </c>
      <c r="AG15" s="49">
        <v>45</v>
      </c>
      <c r="AH15" s="47">
        <f t="shared" si="2"/>
        <v>46.2</v>
      </c>
      <c r="AI15" s="48">
        <f t="shared" si="3"/>
        <v>3.5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</v>
      </c>
      <c r="C17" s="45">
        <v>28</v>
      </c>
      <c r="D17" s="45">
        <v>28</v>
      </c>
      <c r="E17" s="45">
        <v>28</v>
      </c>
      <c r="F17" s="45">
        <v>28</v>
      </c>
      <c r="G17" s="45">
        <v>0</v>
      </c>
      <c r="H17" s="45">
        <v>0</v>
      </c>
      <c r="I17" s="45">
        <v>0</v>
      </c>
      <c r="J17" s="45">
        <v>28</v>
      </c>
      <c r="K17" s="45">
        <v>28</v>
      </c>
      <c r="L17" s="45">
        <v>28</v>
      </c>
      <c r="M17" s="45">
        <v>28</v>
      </c>
      <c r="N17" s="45">
        <v>28</v>
      </c>
      <c r="O17" s="45">
        <v>28</v>
      </c>
      <c r="P17" s="45">
        <v>28</v>
      </c>
      <c r="Q17" s="45">
        <v>28</v>
      </c>
      <c r="R17" s="45">
        <v>28</v>
      </c>
      <c r="S17" s="45">
        <v>28</v>
      </c>
      <c r="T17" s="45">
        <v>28</v>
      </c>
      <c r="U17" s="45">
        <v>28</v>
      </c>
      <c r="V17" s="45">
        <v>28</v>
      </c>
      <c r="W17" s="45">
        <v>28</v>
      </c>
      <c r="X17" s="45">
        <v>28</v>
      </c>
      <c r="Y17" s="45">
        <v>28</v>
      </c>
      <c r="Z17" s="45">
        <v>28</v>
      </c>
      <c r="AA17" s="45">
        <v>36</v>
      </c>
      <c r="AB17" s="45">
        <v>36</v>
      </c>
      <c r="AC17" s="45">
        <v>31</v>
      </c>
      <c r="AD17" s="45">
        <v>31</v>
      </c>
      <c r="AE17" s="45">
        <v>30</v>
      </c>
      <c r="AF17" s="45">
        <v>30</v>
      </c>
      <c r="AG17" s="49">
        <v>42</v>
      </c>
      <c r="AH17" s="47">
        <f t="shared" si="2"/>
        <v>36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18</v>
      </c>
      <c r="AF19" s="45">
        <v>18</v>
      </c>
      <c r="AG19" s="49">
        <v>36</v>
      </c>
      <c r="AH19" s="47">
        <f t="shared" si="2"/>
        <v>36</v>
      </c>
      <c r="AI19" s="48">
        <f t="shared" si="3"/>
        <v>18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5</v>
      </c>
      <c r="C20" s="45">
        <v>10</v>
      </c>
      <c r="D20" s="45">
        <v>10</v>
      </c>
      <c r="E20" s="45">
        <v>10</v>
      </c>
      <c r="F20" s="45">
        <v>10</v>
      </c>
      <c r="G20" s="45">
        <v>16</v>
      </c>
      <c r="H20" s="45">
        <v>17.100000000000001</v>
      </c>
      <c r="I20" s="45">
        <v>15</v>
      </c>
      <c r="J20" s="45">
        <v>15</v>
      </c>
      <c r="K20" s="45">
        <v>30</v>
      </c>
      <c r="L20" s="45">
        <v>30</v>
      </c>
      <c r="M20" s="45">
        <v>30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5.4</v>
      </c>
      <c r="V20" s="45">
        <v>10.9</v>
      </c>
      <c r="W20" s="45">
        <v>6</v>
      </c>
      <c r="X20" s="45">
        <v>6</v>
      </c>
      <c r="Y20" s="45">
        <v>6</v>
      </c>
      <c r="Z20" s="45">
        <v>6</v>
      </c>
      <c r="AA20" s="45">
        <v>30</v>
      </c>
      <c r="AB20" s="45">
        <v>30</v>
      </c>
      <c r="AC20" s="45">
        <v>30</v>
      </c>
      <c r="AD20" s="45">
        <v>25</v>
      </c>
      <c r="AE20" s="45">
        <v>15</v>
      </c>
      <c r="AF20" s="45">
        <v>15</v>
      </c>
      <c r="AG20" s="51">
        <v>30</v>
      </c>
      <c r="AH20" s="47">
        <f t="shared" si="2"/>
        <v>30</v>
      </c>
      <c r="AI20" s="48">
        <f t="shared" si="3"/>
        <v>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15.6</v>
      </c>
      <c r="C21" s="45">
        <v>15.6</v>
      </c>
      <c r="D21" s="45">
        <v>15.6</v>
      </c>
      <c r="E21" s="45">
        <v>15.6</v>
      </c>
      <c r="F21" s="45">
        <v>15.6</v>
      </c>
      <c r="G21" s="45">
        <v>15.6</v>
      </c>
      <c r="H21" s="45">
        <v>15.6</v>
      </c>
      <c r="I21" s="45">
        <v>15.6</v>
      </c>
      <c r="J21" s="45">
        <v>15.6</v>
      </c>
      <c r="K21" s="45">
        <v>15.6</v>
      </c>
      <c r="L21" s="45">
        <v>15.6</v>
      </c>
      <c r="M21" s="45">
        <v>15.6</v>
      </c>
      <c r="N21" s="45">
        <v>15.6</v>
      </c>
      <c r="O21" s="45">
        <v>15.6</v>
      </c>
      <c r="P21" s="45">
        <v>15.6</v>
      </c>
      <c r="Q21" s="45">
        <v>15.6</v>
      </c>
      <c r="R21" s="45">
        <v>15.6</v>
      </c>
      <c r="S21" s="45">
        <v>15.6</v>
      </c>
      <c r="T21" s="45">
        <v>15.6</v>
      </c>
      <c r="U21" s="45">
        <v>25.3</v>
      </c>
      <c r="V21" s="45">
        <v>25.3</v>
      </c>
      <c r="W21" s="45">
        <v>25.3</v>
      </c>
      <c r="X21" s="45">
        <v>25.3</v>
      </c>
      <c r="Y21" s="45">
        <v>25.3</v>
      </c>
      <c r="Z21" s="45">
        <v>25.3</v>
      </c>
      <c r="AA21" s="45">
        <v>25.3</v>
      </c>
      <c r="AB21" s="45">
        <v>25.3</v>
      </c>
      <c r="AC21" s="45">
        <v>25.3</v>
      </c>
      <c r="AD21" s="45">
        <v>25.3</v>
      </c>
      <c r="AE21" s="45">
        <v>25.3</v>
      </c>
      <c r="AF21" s="45">
        <v>25.3</v>
      </c>
      <c r="AG21" s="49">
        <v>24.2</v>
      </c>
      <c r="AH21" s="47">
        <f t="shared" si="2"/>
        <v>25.3</v>
      </c>
      <c r="AI21" s="48">
        <f t="shared" si="3"/>
        <v>15.6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16.2</v>
      </c>
      <c r="C22" s="45">
        <v>16.2</v>
      </c>
      <c r="D22" s="45">
        <v>16.2</v>
      </c>
      <c r="E22" s="45">
        <v>16.2</v>
      </c>
      <c r="F22" s="45">
        <v>16.2</v>
      </c>
      <c r="G22" s="45">
        <v>16.2</v>
      </c>
      <c r="H22" s="45">
        <v>16.2</v>
      </c>
      <c r="I22" s="45">
        <v>16.2</v>
      </c>
      <c r="J22" s="45">
        <v>16.2</v>
      </c>
      <c r="K22" s="45">
        <v>16.2</v>
      </c>
      <c r="L22" s="45">
        <v>16.2</v>
      </c>
      <c r="M22" s="45">
        <v>16.2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25.3</v>
      </c>
      <c r="V22" s="45">
        <v>25.3</v>
      </c>
      <c r="W22" s="45">
        <v>25.3</v>
      </c>
      <c r="X22" s="45">
        <v>25.3</v>
      </c>
      <c r="Y22" s="45">
        <v>25.3</v>
      </c>
      <c r="Z22" s="45">
        <v>25.3</v>
      </c>
      <c r="AA22" s="45">
        <v>25.3</v>
      </c>
      <c r="AB22" s="45">
        <v>25.3</v>
      </c>
      <c r="AC22" s="45">
        <v>25.3</v>
      </c>
      <c r="AD22" s="45">
        <v>25.3</v>
      </c>
      <c r="AE22" s="45">
        <v>28</v>
      </c>
      <c r="AF22" s="45">
        <v>28</v>
      </c>
      <c r="AG22" s="49">
        <v>28</v>
      </c>
      <c r="AH22" s="47">
        <f t="shared" si="2"/>
        <v>28</v>
      </c>
      <c r="AI22" s="48">
        <f t="shared" si="3"/>
        <v>16.2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3</v>
      </c>
      <c r="C23" s="45">
        <v>8</v>
      </c>
      <c r="D23" s="45">
        <v>8</v>
      </c>
      <c r="E23" s="45">
        <v>8</v>
      </c>
      <c r="F23" s="45">
        <v>8</v>
      </c>
      <c r="G23" s="45">
        <v>14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9</v>
      </c>
      <c r="O23" s="45">
        <v>9</v>
      </c>
      <c r="P23" s="45">
        <v>9</v>
      </c>
      <c r="Q23" s="45">
        <v>9</v>
      </c>
      <c r="R23" s="45">
        <v>18</v>
      </c>
      <c r="S23" s="45">
        <v>18</v>
      </c>
      <c r="T23" s="45">
        <v>18</v>
      </c>
      <c r="U23" s="45">
        <v>4.5</v>
      </c>
      <c r="V23" s="45">
        <v>9</v>
      </c>
      <c r="W23" s="45">
        <v>4.5</v>
      </c>
      <c r="X23" s="45">
        <v>4.5</v>
      </c>
      <c r="Y23" s="45">
        <v>4.5</v>
      </c>
      <c r="Z23" s="45">
        <v>4.5</v>
      </c>
      <c r="AA23" s="45">
        <v>18</v>
      </c>
      <c r="AB23" s="45">
        <v>18</v>
      </c>
      <c r="AC23" s="45">
        <v>18</v>
      </c>
      <c r="AD23" s="45">
        <v>18</v>
      </c>
      <c r="AE23" s="45">
        <v>13.5</v>
      </c>
      <c r="AF23" s="45">
        <v>13.5</v>
      </c>
      <c r="AG23" s="51">
        <v>30</v>
      </c>
      <c r="AH23" s="47">
        <f t="shared" si="2"/>
        <v>18</v>
      </c>
      <c r="AI23" s="48">
        <f t="shared" si="3"/>
        <v>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24.5</v>
      </c>
      <c r="C24" s="45">
        <v>24.5</v>
      </c>
      <c r="D24" s="45">
        <v>24.5</v>
      </c>
      <c r="E24" s="45">
        <v>24.5</v>
      </c>
      <c r="F24" s="45">
        <v>24.5</v>
      </c>
      <c r="G24" s="45">
        <v>24.5</v>
      </c>
      <c r="H24" s="45">
        <v>24.5</v>
      </c>
      <c r="I24" s="45">
        <v>24.5</v>
      </c>
      <c r="J24" s="45">
        <v>24.5</v>
      </c>
      <c r="K24" s="45">
        <v>24.5</v>
      </c>
      <c r="L24" s="45">
        <v>24.5</v>
      </c>
      <c r="M24" s="45">
        <v>24.5</v>
      </c>
      <c r="N24" s="45">
        <v>26.1</v>
      </c>
      <c r="O24" s="45">
        <v>26.1</v>
      </c>
      <c r="P24" s="45">
        <v>26.1</v>
      </c>
      <c r="Q24" s="45">
        <v>26.1</v>
      </c>
      <c r="R24" s="45">
        <v>26.1</v>
      </c>
      <c r="S24" s="45">
        <v>26.1</v>
      </c>
      <c r="T24" s="45">
        <v>26.1</v>
      </c>
      <c r="U24" s="45">
        <v>24.3</v>
      </c>
      <c r="V24" s="45">
        <v>24.3</v>
      </c>
      <c r="W24" s="45">
        <v>24.3</v>
      </c>
      <c r="X24" s="45">
        <v>24.3</v>
      </c>
      <c r="Y24" s="45">
        <v>24.3</v>
      </c>
      <c r="Z24" s="45">
        <v>24.3</v>
      </c>
      <c r="AA24" s="45">
        <v>24.3</v>
      </c>
      <c r="AB24" s="45">
        <v>24.3</v>
      </c>
      <c r="AC24" s="45">
        <v>24.3</v>
      </c>
      <c r="AD24" s="45">
        <v>24.3</v>
      </c>
      <c r="AE24" s="45">
        <v>24.3</v>
      </c>
      <c r="AF24" s="45">
        <v>24.3</v>
      </c>
      <c r="AG24" s="49">
        <v>25</v>
      </c>
      <c r="AH24" s="47">
        <f t="shared" si="2"/>
        <v>26.1</v>
      </c>
      <c r="AI24" s="48">
        <f t="shared" si="3"/>
        <v>24.3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8</v>
      </c>
      <c r="D27" s="45">
        <v>8</v>
      </c>
      <c r="E27" s="45">
        <v>8</v>
      </c>
      <c r="F27" s="45">
        <v>8</v>
      </c>
      <c r="G27" s="45">
        <v>13</v>
      </c>
      <c r="H27" s="45">
        <v>15</v>
      </c>
      <c r="I27" s="45">
        <v>15</v>
      </c>
      <c r="J27" s="45">
        <v>15</v>
      </c>
      <c r="K27" s="45">
        <v>25</v>
      </c>
      <c r="L27" s="45">
        <v>25</v>
      </c>
      <c r="M27" s="45">
        <v>25</v>
      </c>
      <c r="N27" s="45">
        <v>8</v>
      </c>
      <c r="O27" s="45">
        <v>8</v>
      </c>
      <c r="P27" s="45">
        <v>25</v>
      </c>
      <c r="Q27" s="45">
        <v>25</v>
      </c>
      <c r="R27" s="45">
        <v>18</v>
      </c>
      <c r="S27" s="45">
        <v>18</v>
      </c>
      <c r="T27" s="45">
        <v>8</v>
      </c>
      <c r="U27" s="45">
        <v>4.5</v>
      </c>
      <c r="V27" s="45">
        <v>8.5</v>
      </c>
      <c r="W27" s="45">
        <v>4.5</v>
      </c>
      <c r="X27" s="45">
        <v>4.5</v>
      </c>
      <c r="Y27" s="45">
        <v>4.5</v>
      </c>
      <c r="Z27" s="45">
        <v>4.5</v>
      </c>
      <c r="AA27" s="45">
        <v>25</v>
      </c>
      <c r="AB27" s="45">
        <v>25</v>
      </c>
      <c r="AC27" s="45">
        <v>25</v>
      </c>
      <c r="AD27" s="45">
        <v>25</v>
      </c>
      <c r="AE27" s="45">
        <v>12.5</v>
      </c>
      <c r="AF27" s="45">
        <v>12.5</v>
      </c>
      <c r="AG27" s="49">
        <v>25</v>
      </c>
      <c r="AH27" s="47">
        <f t="shared" si="2"/>
        <v>25</v>
      </c>
      <c r="AI27" s="48">
        <f t="shared" si="3"/>
        <v>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24.8</v>
      </c>
      <c r="C28" s="45">
        <v>24.8</v>
      </c>
      <c r="D28" s="45">
        <v>24.8</v>
      </c>
      <c r="E28" s="45">
        <v>24.8</v>
      </c>
      <c r="F28" s="45">
        <v>24.8</v>
      </c>
      <c r="G28" s="45">
        <v>24.8</v>
      </c>
      <c r="H28" s="45">
        <v>24.8</v>
      </c>
      <c r="I28" s="45">
        <v>24.8</v>
      </c>
      <c r="J28" s="45">
        <v>24.8</v>
      </c>
      <c r="K28" s="45">
        <v>24.8</v>
      </c>
      <c r="L28" s="45">
        <v>24.8</v>
      </c>
      <c r="M28" s="45">
        <v>24.8</v>
      </c>
      <c r="N28" s="45">
        <v>24.8</v>
      </c>
      <c r="O28" s="45">
        <v>24.8</v>
      </c>
      <c r="P28" s="45">
        <v>24.8</v>
      </c>
      <c r="Q28" s="45">
        <v>24.8</v>
      </c>
      <c r="R28" s="45">
        <v>24.8</v>
      </c>
      <c r="S28" s="45">
        <v>24.8</v>
      </c>
      <c r="T28" s="45">
        <v>24.8</v>
      </c>
      <c r="U28" s="45">
        <v>24.8</v>
      </c>
      <c r="V28" s="45">
        <v>24.8</v>
      </c>
      <c r="W28" s="45">
        <v>24.8</v>
      </c>
      <c r="X28" s="45">
        <v>24.8</v>
      </c>
      <c r="Y28" s="45">
        <v>24.8</v>
      </c>
      <c r="Z28" s="45">
        <v>24.8</v>
      </c>
      <c r="AA28" s="45">
        <v>24.8</v>
      </c>
      <c r="AB28" s="45">
        <v>24.8</v>
      </c>
      <c r="AC28" s="45">
        <v>24.8</v>
      </c>
      <c r="AD28" s="45">
        <v>24.8</v>
      </c>
      <c r="AE28" s="45">
        <v>24.8</v>
      </c>
      <c r="AF28" s="45">
        <v>24.8</v>
      </c>
      <c r="AG28" s="49">
        <v>23.5</v>
      </c>
      <c r="AH28" s="47">
        <f t="shared" si="2"/>
        <v>24.8</v>
      </c>
      <c r="AI28" s="48">
        <f t="shared" si="3"/>
        <v>24.8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26.3</v>
      </c>
      <c r="C32" s="45">
        <v>26.3</v>
      </c>
      <c r="D32" s="45">
        <v>26.3</v>
      </c>
      <c r="E32" s="45">
        <v>26.3</v>
      </c>
      <c r="F32" s="45">
        <v>26.3</v>
      </c>
      <c r="G32" s="45">
        <v>26.3</v>
      </c>
      <c r="H32" s="45">
        <v>26.3</v>
      </c>
      <c r="I32" s="45">
        <v>26.3</v>
      </c>
      <c r="J32" s="45">
        <v>26.3</v>
      </c>
      <c r="K32" s="45">
        <v>26.3</v>
      </c>
      <c r="L32" s="45">
        <v>26.3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26.3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10</v>
      </c>
      <c r="D33" s="45">
        <v>10</v>
      </c>
      <c r="E33" s="45">
        <v>5</v>
      </c>
      <c r="F33" s="45">
        <v>5</v>
      </c>
      <c r="G33" s="45">
        <v>5</v>
      </c>
      <c r="H33" s="45">
        <v>10</v>
      </c>
      <c r="I33" s="45">
        <v>10</v>
      </c>
      <c r="J33" s="45">
        <v>10</v>
      </c>
      <c r="K33" s="45">
        <v>5</v>
      </c>
      <c r="L33" s="45">
        <v>5</v>
      </c>
      <c r="M33" s="45">
        <v>5</v>
      </c>
      <c r="N33" s="45">
        <v>5</v>
      </c>
      <c r="O33" s="45">
        <v>10</v>
      </c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10</v>
      </c>
      <c r="AB33" s="45">
        <v>10</v>
      </c>
      <c r="AC33" s="45">
        <v>10</v>
      </c>
      <c r="AD33" s="45">
        <v>10</v>
      </c>
      <c r="AE33" s="45">
        <v>5</v>
      </c>
      <c r="AF33" s="45">
        <v>5</v>
      </c>
      <c r="AG33" s="49">
        <v>20</v>
      </c>
      <c r="AH33" s="47">
        <f t="shared" si="2"/>
        <v>10</v>
      </c>
      <c r="AI33" s="48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4</v>
      </c>
      <c r="H34" s="45">
        <v>8</v>
      </c>
      <c r="I34" s="45">
        <v>8</v>
      </c>
      <c r="J34" s="45">
        <v>8</v>
      </c>
      <c r="K34" s="45">
        <v>5</v>
      </c>
      <c r="L34" s="45">
        <v>5</v>
      </c>
      <c r="M34" s="45">
        <v>5</v>
      </c>
      <c r="N34" s="45">
        <v>5</v>
      </c>
      <c r="O34" s="45">
        <v>5</v>
      </c>
      <c r="P34" s="45">
        <v>5</v>
      </c>
      <c r="Q34" s="45">
        <v>5</v>
      </c>
      <c r="R34" s="45">
        <v>5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5</v>
      </c>
      <c r="Y34" s="45">
        <v>5</v>
      </c>
      <c r="Z34" s="45">
        <v>5</v>
      </c>
      <c r="AA34" s="45">
        <v>8</v>
      </c>
      <c r="AB34" s="45">
        <v>8</v>
      </c>
      <c r="AC34" s="45">
        <v>8</v>
      </c>
      <c r="AD34" s="45">
        <v>8</v>
      </c>
      <c r="AE34" s="45">
        <v>5</v>
      </c>
      <c r="AF34" s="45">
        <v>5</v>
      </c>
      <c r="AG34" s="49">
        <v>18</v>
      </c>
      <c r="AH34" s="47">
        <f t="shared" si="2"/>
        <v>8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0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6</v>
      </c>
      <c r="I39" s="45">
        <v>6</v>
      </c>
      <c r="J39" s="45">
        <v>6</v>
      </c>
      <c r="K39" s="45">
        <v>12</v>
      </c>
      <c r="L39" s="45">
        <v>12</v>
      </c>
      <c r="M39" s="45">
        <v>12</v>
      </c>
      <c r="N39" s="45">
        <v>4</v>
      </c>
      <c r="O39" s="45">
        <v>4</v>
      </c>
      <c r="P39" s="45">
        <v>4</v>
      </c>
      <c r="Q39" s="45">
        <v>4</v>
      </c>
      <c r="R39" s="45">
        <v>6</v>
      </c>
      <c r="S39" s="45">
        <v>6</v>
      </c>
      <c r="T39" s="45">
        <v>4</v>
      </c>
      <c r="U39" s="45">
        <v>2</v>
      </c>
      <c r="V39" s="45">
        <v>4</v>
      </c>
      <c r="W39" s="45">
        <v>4</v>
      </c>
      <c r="X39" s="45">
        <v>4</v>
      </c>
      <c r="Y39" s="45">
        <v>4</v>
      </c>
      <c r="Z39" s="45">
        <v>4</v>
      </c>
      <c r="AA39" s="45">
        <v>12</v>
      </c>
      <c r="AB39" s="45">
        <v>12</v>
      </c>
      <c r="AC39" s="45">
        <v>12</v>
      </c>
      <c r="AD39" s="45">
        <v>12</v>
      </c>
      <c r="AE39" s="45">
        <v>6</v>
      </c>
      <c r="AF39" s="45">
        <v>6</v>
      </c>
      <c r="AG39" s="49">
        <v>12</v>
      </c>
      <c r="AH39" s="47">
        <f t="shared" si="2"/>
        <v>12</v>
      </c>
      <c r="AI39" s="48">
        <f t="shared" si="3"/>
        <v>2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12</v>
      </c>
      <c r="C41" s="45">
        <v>12</v>
      </c>
      <c r="D41" s="45">
        <v>7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12</v>
      </c>
      <c r="L41" s="45">
        <v>12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3</v>
      </c>
      <c r="W41" s="45">
        <v>3</v>
      </c>
      <c r="X41" s="45">
        <v>3</v>
      </c>
      <c r="Y41" s="45">
        <v>3</v>
      </c>
      <c r="Z41" s="45">
        <v>3</v>
      </c>
      <c r="AA41" s="45">
        <v>12</v>
      </c>
      <c r="AB41" s="45">
        <v>12</v>
      </c>
      <c r="AC41" s="45">
        <v>12</v>
      </c>
      <c r="AD41" s="45">
        <v>12</v>
      </c>
      <c r="AE41" s="45">
        <v>6</v>
      </c>
      <c r="AF41" s="45">
        <v>0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11.9</v>
      </c>
      <c r="C43" s="45">
        <v>11.9</v>
      </c>
      <c r="D43" s="45">
        <v>11.9</v>
      </c>
      <c r="E43" s="45">
        <v>11.9</v>
      </c>
      <c r="F43" s="45">
        <v>11.9</v>
      </c>
      <c r="G43" s="45">
        <v>11.9</v>
      </c>
      <c r="H43" s="45">
        <v>11.9</v>
      </c>
      <c r="I43" s="45">
        <v>11.9</v>
      </c>
      <c r="J43" s="45">
        <v>11.9</v>
      </c>
      <c r="K43" s="45">
        <v>11.9</v>
      </c>
      <c r="L43" s="45">
        <v>11.9</v>
      </c>
      <c r="M43" s="45">
        <v>11.9</v>
      </c>
      <c r="N43" s="45">
        <v>11.9</v>
      </c>
      <c r="O43" s="45">
        <v>11.9</v>
      </c>
      <c r="P43" s="45">
        <v>11.9</v>
      </c>
      <c r="Q43" s="45">
        <v>11.9</v>
      </c>
      <c r="R43" s="45">
        <v>11.9</v>
      </c>
      <c r="S43" s="45">
        <v>11.9</v>
      </c>
      <c r="T43" s="45">
        <v>11.9</v>
      </c>
      <c r="U43" s="45">
        <v>11.9</v>
      </c>
      <c r="V43" s="45">
        <v>11.9</v>
      </c>
      <c r="W43" s="45">
        <v>11.9</v>
      </c>
      <c r="X43" s="45">
        <v>11.9</v>
      </c>
      <c r="Y43" s="45">
        <v>11.9</v>
      </c>
      <c r="Z43" s="45">
        <v>11.9</v>
      </c>
      <c r="AA43" s="45">
        <v>11.9</v>
      </c>
      <c r="AB43" s="45">
        <v>11.9</v>
      </c>
      <c r="AC43" s="45">
        <v>11.9</v>
      </c>
      <c r="AD43" s="45">
        <v>11.9</v>
      </c>
      <c r="AE43" s="45">
        <v>11.9</v>
      </c>
      <c r="AF43" s="45">
        <v>11.9</v>
      </c>
      <c r="AG43" s="51">
        <v>11.88</v>
      </c>
      <c r="AH43" s="47">
        <f t="shared" si="2"/>
        <v>11.9</v>
      </c>
      <c r="AI43" s="48">
        <f t="shared" si="3"/>
        <v>11.9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10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358</v>
      </c>
      <c r="C48" s="56">
        <v>358</v>
      </c>
      <c r="D48" s="56">
        <v>358</v>
      </c>
      <c r="E48" s="56">
        <v>358</v>
      </c>
      <c r="F48" s="56">
        <v>358</v>
      </c>
      <c r="G48" s="56">
        <v>358</v>
      </c>
      <c r="H48" s="56">
        <v>358</v>
      </c>
      <c r="I48" s="56">
        <v>358</v>
      </c>
      <c r="J48" s="56">
        <v>358</v>
      </c>
      <c r="K48" s="56">
        <v>358</v>
      </c>
      <c r="L48" s="56">
        <v>358</v>
      </c>
      <c r="M48" s="56">
        <v>358</v>
      </c>
      <c r="N48" s="56">
        <v>358</v>
      </c>
      <c r="O48" s="56">
        <v>358</v>
      </c>
      <c r="P48" s="56">
        <v>358</v>
      </c>
      <c r="Q48" s="56">
        <v>358</v>
      </c>
      <c r="R48" s="56">
        <v>358</v>
      </c>
      <c r="S48" s="56">
        <v>358</v>
      </c>
      <c r="T48" s="56">
        <v>358</v>
      </c>
      <c r="U48" s="56">
        <v>358</v>
      </c>
      <c r="V48" s="56">
        <v>358</v>
      </c>
      <c r="W48" s="56">
        <v>358</v>
      </c>
      <c r="X48" s="56">
        <v>358</v>
      </c>
      <c r="Y48" s="56">
        <v>358</v>
      </c>
      <c r="Z48" s="56">
        <v>358</v>
      </c>
      <c r="AA48" s="56">
        <v>358</v>
      </c>
      <c r="AB48" s="56">
        <v>358</v>
      </c>
      <c r="AC48" s="56">
        <v>358</v>
      </c>
      <c r="AD48" s="56">
        <v>358</v>
      </c>
      <c r="AE48" s="56">
        <v>358</v>
      </c>
      <c r="AF48" s="56">
        <v>358</v>
      </c>
      <c r="AG48" s="54">
        <v>85</v>
      </c>
      <c r="AH48" s="47">
        <f t="shared" si="2"/>
        <v>358</v>
      </c>
      <c r="AI48" s="48">
        <f t="shared" si="3"/>
        <v>358</v>
      </c>
      <c r="AK48" s="50"/>
    </row>
    <row r="49" spans="1:41" ht="15.75" thickBot="1" x14ac:dyDescent="0.3">
      <c r="A49" s="57" t="s">
        <v>57</v>
      </c>
      <c r="B49" s="56">
        <v>101.8</v>
      </c>
      <c r="C49" s="56">
        <v>101.8</v>
      </c>
      <c r="D49" s="56">
        <v>101.8</v>
      </c>
      <c r="E49" s="56">
        <v>101.8</v>
      </c>
      <c r="F49" s="56">
        <v>106</v>
      </c>
      <c r="G49" s="56">
        <v>106</v>
      </c>
      <c r="H49" s="56">
        <v>106</v>
      </c>
      <c r="I49" s="56">
        <v>106</v>
      </c>
      <c r="J49" s="56">
        <v>106</v>
      </c>
      <c r="K49" s="56">
        <v>106</v>
      </c>
      <c r="L49" s="56">
        <v>108</v>
      </c>
      <c r="M49" s="56">
        <v>108</v>
      </c>
      <c r="N49" s="56">
        <v>108</v>
      </c>
      <c r="O49" s="56">
        <v>108</v>
      </c>
      <c r="P49" s="56">
        <v>108</v>
      </c>
      <c r="Q49" s="56">
        <v>108</v>
      </c>
      <c r="R49" s="56">
        <v>108</v>
      </c>
      <c r="S49" s="56">
        <v>108</v>
      </c>
      <c r="T49" s="58">
        <v>96</v>
      </c>
      <c r="U49" s="58">
        <v>96</v>
      </c>
      <c r="V49" s="58">
        <v>107.6</v>
      </c>
      <c r="W49" s="58">
        <v>105.7</v>
      </c>
      <c r="X49" s="56">
        <v>105.6</v>
      </c>
      <c r="Y49" s="56"/>
      <c r="Z49" s="56">
        <v>104.1</v>
      </c>
      <c r="AA49" s="56">
        <v>105</v>
      </c>
      <c r="AB49" s="56">
        <v>105</v>
      </c>
      <c r="AC49" s="56">
        <v>105</v>
      </c>
      <c r="AD49" s="56">
        <v>105</v>
      </c>
      <c r="AE49" s="56">
        <v>105</v>
      </c>
      <c r="AF49" s="56">
        <v>105</v>
      </c>
      <c r="AG49" s="54">
        <v>240</v>
      </c>
      <c r="AH49" s="47">
        <f t="shared" si="2"/>
        <v>108</v>
      </c>
      <c r="AI49" s="48">
        <f t="shared" si="3"/>
        <v>96</v>
      </c>
      <c r="AK49" s="50"/>
    </row>
    <row r="50" spans="1:41" ht="15.75" thickBot="1" x14ac:dyDescent="0.3">
      <c r="A50" s="59" t="s">
        <v>58</v>
      </c>
      <c r="B50" s="60">
        <f t="shared" ref="B50:AF50" si="4">SUM(B11:B48)</f>
        <v>1027.6999999999998</v>
      </c>
      <c r="C50" s="60">
        <f>SUM(C11:C48)</f>
        <v>1039.6999999999998</v>
      </c>
      <c r="D50" s="60">
        <f t="shared" si="4"/>
        <v>1049.6999999999998</v>
      </c>
      <c r="E50" s="60">
        <f t="shared" ref="E50:F50" si="5">SUM(E11:E48)</f>
        <v>1002</v>
      </c>
      <c r="F50" s="60">
        <f t="shared" si="5"/>
        <v>1033.5</v>
      </c>
      <c r="G50" s="60">
        <f t="shared" si="4"/>
        <v>1038.5</v>
      </c>
      <c r="H50" s="60">
        <f t="shared" ref="H50" si="6">SUM(H11:H48)</f>
        <v>1068.8</v>
      </c>
      <c r="I50" s="60">
        <f t="shared" si="4"/>
        <v>1066.6999999999998</v>
      </c>
      <c r="J50" s="60">
        <f t="shared" si="4"/>
        <v>1094.6999999999998</v>
      </c>
      <c r="K50" s="60">
        <f t="shared" si="4"/>
        <v>1122.6999999999998</v>
      </c>
      <c r="L50" s="60">
        <f t="shared" si="4"/>
        <v>1122.6999999999998</v>
      </c>
      <c r="M50" s="60">
        <f t="shared" si="4"/>
        <v>1118.4000000000001</v>
      </c>
      <c r="N50" s="60">
        <f t="shared" si="4"/>
        <v>1075.8000000000002</v>
      </c>
      <c r="O50" s="60">
        <f t="shared" si="4"/>
        <v>1080.8000000000002</v>
      </c>
      <c r="P50" s="60">
        <f t="shared" si="4"/>
        <v>1105.8000000000002</v>
      </c>
      <c r="Q50" s="60">
        <f t="shared" si="4"/>
        <v>1105.8000000000002</v>
      </c>
      <c r="R50" s="60">
        <f t="shared" ref="R50:S50" si="7">SUM(R11:R48)</f>
        <v>1109.8000000000002</v>
      </c>
      <c r="S50" s="60">
        <f t="shared" si="7"/>
        <v>1109.8000000000002</v>
      </c>
      <c r="T50" s="60">
        <f t="shared" si="4"/>
        <v>1080.8000000000002</v>
      </c>
      <c r="U50" s="60">
        <f t="shared" ref="U50" si="8">SUM(U11:U48)</f>
        <v>1056.4000000000001</v>
      </c>
      <c r="V50" s="60">
        <f t="shared" si="4"/>
        <v>1072.1999999999998</v>
      </c>
      <c r="W50" s="60">
        <f t="shared" si="4"/>
        <v>1058.8000000000002</v>
      </c>
      <c r="X50" s="60">
        <f t="shared" si="4"/>
        <v>1058.8000000000002</v>
      </c>
      <c r="Y50" s="60">
        <f t="shared" si="4"/>
        <v>1054.3000000000002</v>
      </c>
      <c r="Z50" s="60">
        <f t="shared" si="4"/>
        <v>1054.3000000000002</v>
      </c>
      <c r="AA50" s="60">
        <f t="shared" si="4"/>
        <v>1166.8</v>
      </c>
      <c r="AB50" s="60">
        <f t="shared" si="4"/>
        <v>1166.8</v>
      </c>
      <c r="AC50" s="60">
        <f t="shared" ref="AC50" si="9">SUM(AC11:AC48)</f>
        <v>1161.8</v>
      </c>
      <c r="AD50" s="60">
        <f t="shared" si="4"/>
        <v>1156.8</v>
      </c>
      <c r="AE50" s="60">
        <f t="shared" si="4"/>
        <v>1093.5</v>
      </c>
      <c r="AF50" s="60">
        <f t="shared" si="4"/>
        <v>1087.5</v>
      </c>
      <c r="AG50" s="61">
        <f>SUM(AG13:AG48)</f>
        <v>922.14</v>
      </c>
      <c r="AH50" s="47">
        <f t="shared" si="2"/>
        <v>1166.8</v>
      </c>
      <c r="AI50" s="48">
        <f t="shared" si="3"/>
        <v>1002</v>
      </c>
      <c r="AK50" s="50"/>
    </row>
    <row r="51" spans="1:41" x14ac:dyDescent="0.25">
      <c r="A51" s="62" t="s">
        <v>59</v>
      </c>
      <c r="B51" s="45">
        <v>310</v>
      </c>
      <c r="C51" s="45">
        <v>310</v>
      </c>
      <c r="D51" s="45">
        <v>310</v>
      </c>
      <c r="E51" s="45">
        <v>310</v>
      </c>
      <c r="F51" s="45">
        <v>310</v>
      </c>
      <c r="G51" s="45">
        <v>310</v>
      </c>
      <c r="H51" s="45">
        <v>310</v>
      </c>
      <c r="I51" s="45">
        <v>310</v>
      </c>
      <c r="J51" s="45">
        <v>310</v>
      </c>
      <c r="K51" s="45">
        <v>310</v>
      </c>
      <c r="L51" s="45">
        <v>310</v>
      </c>
      <c r="M51" s="45">
        <v>310</v>
      </c>
      <c r="N51" s="45">
        <v>456</v>
      </c>
      <c r="O51" s="45">
        <v>456</v>
      </c>
      <c r="P51" s="45">
        <v>456</v>
      </c>
      <c r="Q51" s="175">
        <v>400</v>
      </c>
      <c r="R51" s="175">
        <v>400</v>
      </c>
      <c r="S51" s="175">
        <v>430</v>
      </c>
      <c r="T51" s="45">
        <v>390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310</v>
      </c>
      <c r="AK51" s="50"/>
    </row>
    <row r="52" spans="1:41" x14ac:dyDescent="0.25">
      <c r="A52" s="63" t="s">
        <v>60</v>
      </c>
      <c r="B52" s="64">
        <v>40</v>
      </c>
      <c r="C52" s="64">
        <v>40</v>
      </c>
      <c r="D52" s="64">
        <v>40</v>
      </c>
      <c r="E52" s="64">
        <v>40</v>
      </c>
      <c r="F52" s="64">
        <v>40</v>
      </c>
      <c r="G52" s="64">
        <v>40</v>
      </c>
      <c r="H52" s="64">
        <v>40</v>
      </c>
      <c r="I52" s="64">
        <v>40</v>
      </c>
      <c r="J52" s="64">
        <v>40</v>
      </c>
      <c r="K52" s="64">
        <v>40</v>
      </c>
      <c r="L52" s="64">
        <v>50</v>
      </c>
      <c r="M52" s="64">
        <v>50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60</v>
      </c>
      <c r="AF52" s="64">
        <v>60</v>
      </c>
      <c r="AG52" s="54">
        <v>60</v>
      </c>
      <c r="AH52" s="47">
        <f t="shared" si="2"/>
        <v>60</v>
      </c>
      <c r="AI52" s="48">
        <f t="shared" si="3"/>
        <v>40</v>
      </c>
      <c r="AK52" s="50"/>
    </row>
    <row r="53" spans="1:41" ht="15.75" thickBot="1" x14ac:dyDescent="0.3">
      <c r="A53" s="65" t="s">
        <v>61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22.4</v>
      </c>
      <c r="AK53" s="50"/>
    </row>
    <row r="54" spans="1:41" ht="15.75" thickBot="1" x14ac:dyDescent="0.3">
      <c r="A54" s="68" t="s">
        <v>62</v>
      </c>
      <c r="B54" s="60">
        <f t="shared" ref="B54:AG54" si="10">SUM(B51:B53)</f>
        <v>372.4</v>
      </c>
      <c r="C54" s="60">
        <f t="shared" ref="C54" si="11">SUM(C51:C53)</f>
        <v>372.4</v>
      </c>
      <c r="D54" s="60">
        <f t="shared" si="10"/>
        <v>372.4</v>
      </c>
      <c r="E54" s="60">
        <f t="shared" ref="E54" si="12">SUM(E51:E53)</f>
        <v>372.4</v>
      </c>
      <c r="F54" s="60">
        <f t="shared" si="10"/>
        <v>372.4</v>
      </c>
      <c r="G54" s="60">
        <f t="shared" si="10"/>
        <v>372.4</v>
      </c>
      <c r="H54" s="60">
        <f t="shared" ref="H54" si="13">SUM(H51:H53)</f>
        <v>372.4</v>
      </c>
      <c r="I54" s="60">
        <f t="shared" si="10"/>
        <v>372.4</v>
      </c>
      <c r="J54" s="60">
        <f t="shared" si="10"/>
        <v>372.4</v>
      </c>
      <c r="K54" s="60">
        <f t="shared" si="10"/>
        <v>372.4</v>
      </c>
      <c r="L54" s="60">
        <f t="shared" si="10"/>
        <v>382.4</v>
      </c>
      <c r="M54" s="60">
        <f t="shared" si="10"/>
        <v>382.5</v>
      </c>
      <c r="N54" s="60">
        <f t="shared" si="10"/>
        <v>533.5</v>
      </c>
      <c r="O54" s="60">
        <f t="shared" si="10"/>
        <v>533.5</v>
      </c>
      <c r="P54" s="60">
        <f t="shared" si="10"/>
        <v>533.5</v>
      </c>
      <c r="Q54" s="60">
        <f t="shared" si="10"/>
        <v>477.5</v>
      </c>
      <c r="R54" s="60">
        <f t="shared" ref="R54:S54" si="14">SUM(R51:R53)</f>
        <v>477.5</v>
      </c>
      <c r="S54" s="60">
        <f t="shared" si="14"/>
        <v>507.5</v>
      </c>
      <c r="T54" s="60">
        <f t="shared" si="10"/>
        <v>472.5</v>
      </c>
      <c r="U54" s="60">
        <f t="shared" ref="U54" si="15">SUM(U51:U53)</f>
        <v>538.5</v>
      </c>
      <c r="V54" s="60">
        <f t="shared" si="10"/>
        <v>538.5</v>
      </c>
      <c r="W54" s="60">
        <f t="shared" si="10"/>
        <v>538.5</v>
      </c>
      <c r="X54" s="60">
        <f t="shared" si="10"/>
        <v>538.5</v>
      </c>
      <c r="Y54" s="60">
        <f t="shared" si="10"/>
        <v>538.5</v>
      </c>
      <c r="Z54" s="60">
        <f t="shared" si="10"/>
        <v>538.5</v>
      </c>
      <c r="AA54" s="60">
        <f t="shared" si="10"/>
        <v>538.5</v>
      </c>
      <c r="AB54" s="60">
        <f t="shared" si="10"/>
        <v>538.5</v>
      </c>
      <c r="AC54" s="60">
        <f t="shared" si="10"/>
        <v>538.5</v>
      </c>
      <c r="AD54" s="60">
        <f t="shared" si="10"/>
        <v>538.5</v>
      </c>
      <c r="AE54" s="60">
        <f t="shared" si="10"/>
        <v>538.5</v>
      </c>
      <c r="AF54" s="60">
        <f t="shared" si="10"/>
        <v>538.5</v>
      </c>
      <c r="AG54" s="61">
        <f t="shared" si="10"/>
        <v>538.1</v>
      </c>
      <c r="AH54" s="47">
        <f t="shared" si="2"/>
        <v>538.5</v>
      </c>
      <c r="AI54" s="48">
        <f t="shared" si="3"/>
        <v>372.4</v>
      </c>
      <c r="AK54" s="50"/>
    </row>
    <row r="55" spans="1:41" x14ac:dyDescent="0.25">
      <c r="A55" s="44" t="s">
        <v>63</v>
      </c>
      <c r="B55" s="45">
        <v>134.5</v>
      </c>
      <c r="C55" s="45">
        <v>134.5</v>
      </c>
      <c r="D55" s="45">
        <v>134.5</v>
      </c>
      <c r="E55" s="45">
        <v>134.5</v>
      </c>
      <c r="F55" s="45">
        <v>134.5</v>
      </c>
      <c r="G55" s="45">
        <v>134.5</v>
      </c>
      <c r="H55" s="45">
        <v>134.5</v>
      </c>
      <c r="I55" s="45">
        <v>134.5</v>
      </c>
      <c r="J55" s="45">
        <v>134.5</v>
      </c>
      <c r="K55" s="45">
        <v>134.5</v>
      </c>
      <c r="L55" s="45">
        <v>134.5</v>
      </c>
      <c r="M55" s="45">
        <v>134.9</v>
      </c>
      <c r="N55" s="45">
        <v>134.9</v>
      </c>
      <c r="O55" s="45">
        <v>132.69999999999999</v>
      </c>
      <c r="P55" s="45">
        <v>132.69999999999999</v>
      </c>
      <c r="Q55" s="45">
        <v>132.69999999999999</v>
      </c>
      <c r="R55" s="45">
        <v>133.80000000000001</v>
      </c>
      <c r="S55" s="45">
        <v>133.69999999999999</v>
      </c>
      <c r="T55" s="45">
        <v>133.69999999999999</v>
      </c>
      <c r="U55" s="45">
        <v>133.80000000000001</v>
      </c>
      <c r="V55" s="45">
        <v>133.80000000000001</v>
      </c>
      <c r="W55" s="45">
        <v>133.80000000000001</v>
      </c>
      <c r="X55" s="45">
        <v>133.80000000000001</v>
      </c>
      <c r="Y55" s="45">
        <v>133.80000000000001</v>
      </c>
      <c r="Z55" s="45">
        <v>133.80000000000001</v>
      </c>
      <c r="AA55" s="45">
        <v>133.80000000000001</v>
      </c>
      <c r="AB55" s="45">
        <v>133.80000000000001</v>
      </c>
      <c r="AC55" s="45">
        <v>133.80000000000001</v>
      </c>
      <c r="AD55" s="45">
        <v>133.80000000000001</v>
      </c>
      <c r="AE55" s="45">
        <v>133.80000000000001</v>
      </c>
      <c r="AF55" s="45">
        <v>133.80000000000001</v>
      </c>
      <c r="AG55" s="51">
        <v>144</v>
      </c>
      <c r="AH55" s="47">
        <f t="shared" si="2"/>
        <v>134.9</v>
      </c>
      <c r="AI55" s="48">
        <f t="shared" si="3"/>
        <v>132.69999999999999</v>
      </c>
      <c r="AK55" s="50"/>
    </row>
    <row r="56" spans="1:41" x14ac:dyDescent="0.25">
      <c r="A56" s="53" t="s">
        <v>64</v>
      </c>
      <c r="B56" s="64">
        <v>70</v>
      </c>
      <c r="C56" s="64">
        <v>70</v>
      </c>
      <c r="D56" s="64">
        <v>70</v>
      </c>
      <c r="E56" s="64">
        <v>70</v>
      </c>
      <c r="F56" s="64">
        <v>70</v>
      </c>
      <c r="G56" s="64">
        <v>70</v>
      </c>
      <c r="H56" s="64">
        <v>70</v>
      </c>
      <c r="I56" s="64">
        <v>70</v>
      </c>
      <c r="J56" s="64">
        <v>70</v>
      </c>
      <c r="K56" s="64">
        <v>70</v>
      </c>
      <c r="L56" s="64">
        <v>70</v>
      </c>
      <c r="M56" s="64">
        <v>70.3</v>
      </c>
      <c r="N56" s="64">
        <v>66</v>
      </c>
      <c r="O56" s="64">
        <v>64.599999999999994</v>
      </c>
      <c r="P56" s="64">
        <v>64.599999999999994</v>
      </c>
      <c r="Q56" s="64">
        <v>64.599999999999994</v>
      </c>
      <c r="R56" s="64">
        <v>59.6</v>
      </c>
      <c r="S56" s="64">
        <v>58</v>
      </c>
      <c r="T56" s="64">
        <v>71.400000000000006</v>
      </c>
      <c r="U56" s="64">
        <v>71.400000000000006</v>
      </c>
      <c r="V56" s="64">
        <v>71.400000000000006</v>
      </c>
      <c r="W56" s="64">
        <v>71.400000000000006</v>
      </c>
      <c r="X56" s="64">
        <v>71.400000000000006</v>
      </c>
      <c r="Y56" s="64">
        <v>71.400000000000006</v>
      </c>
      <c r="Z56" s="64">
        <v>71.400000000000006</v>
      </c>
      <c r="AA56" s="64">
        <v>71.400000000000006</v>
      </c>
      <c r="AB56" s="64">
        <v>71.400000000000006</v>
      </c>
      <c r="AC56" s="64">
        <v>71.400000000000006</v>
      </c>
      <c r="AD56" s="64">
        <v>71.400000000000006</v>
      </c>
      <c r="AE56" s="64">
        <v>71.400000000000006</v>
      </c>
      <c r="AF56" s="64">
        <v>71.400000000000006</v>
      </c>
      <c r="AG56" s="54">
        <v>70</v>
      </c>
      <c r="AH56" s="47">
        <f t="shared" si="2"/>
        <v>71.400000000000006</v>
      </c>
      <c r="AI56" s="48">
        <f t="shared" si="3"/>
        <v>58</v>
      </c>
      <c r="AK56" s="50"/>
    </row>
    <row r="57" spans="1:41" x14ac:dyDescent="0.25">
      <c r="A57" s="53" t="s">
        <v>65</v>
      </c>
      <c r="B57" s="64">
        <v>64</v>
      </c>
      <c r="C57" s="64">
        <v>64</v>
      </c>
      <c r="D57" s="64">
        <v>64</v>
      </c>
      <c r="E57" s="64">
        <v>64</v>
      </c>
      <c r="F57" s="64">
        <v>64</v>
      </c>
      <c r="G57" s="64">
        <v>64</v>
      </c>
      <c r="H57" s="64">
        <v>64</v>
      </c>
      <c r="I57" s="64">
        <v>64</v>
      </c>
      <c r="J57" s="64">
        <v>64</v>
      </c>
      <c r="K57" s="64">
        <v>64</v>
      </c>
      <c r="L57" s="64">
        <v>64</v>
      </c>
      <c r="M57" s="64">
        <v>64.3</v>
      </c>
      <c r="N57" s="64">
        <v>50</v>
      </c>
      <c r="O57" s="64">
        <v>64.5</v>
      </c>
      <c r="P57" s="64">
        <v>64.5</v>
      </c>
      <c r="Q57" s="64">
        <v>64.5</v>
      </c>
      <c r="R57" s="64">
        <v>61.1</v>
      </c>
      <c r="S57" s="64">
        <v>64.400000000000006</v>
      </c>
      <c r="T57" s="64">
        <v>64.400000000000006</v>
      </c>
      <c r="U57" s="64">
        <v>49.6</v>
      </c>
      <c r="V57" s="64">
        <v>49.6</v>
      </c>
      <c r="W57" s="64">
        <v>45.1</v>
      </c>
      <c r="X57" s="64">
        <v>58.6</v>
      </c>
      <c r="Y57" s="64">
        <v>58.6</v>
      </c>
      <c r="Z57" s="64">
        <v>64.2</v>
      </c>
      <c r="AA57" s="64">
        <v>64.2</v>
      </c>
      <c r="AB57" s="64">
        <v>64.2</v>
      </c>
      <c r="AC57" s="64">
        <v>64.2</v>
      </c>
      <c r="AD57" s="64">
        <v>64.2</v>
      </c>
      <c r="AE57" s="64">
        <v>64.2</v>
      </c>
      <c r="AF57" s="64">
        <v>64.2</v>
      </c>
      <c r="AG57" s="54">
        <v>69</v>
      </c>
      <c r="AH57" s="47">
        <f t="shared" si="2"/>
        <v>64.5</v>
      </c>
      <c r="AI57" s="48">
        <f t="shared" si="3"/>
        <v>45.1</v>
      </c>
      <c r="AK57" s="50"/>
    </row>
    <row r="58" spans="1:41" x14ac:dyDescent="0.25">
      <c r="A58" s="53" t="s">
        <v>66</v>
      </c>
      <c r="B58" s="64">
        <v>30.7</v>
      </c>
      <c r="C58" s="64">
        <v>30.7</v>
      </c>
      <c r="D58" s="64">
        <v>30.7</v>
      </c>
      <c r="E58" s="64">
        <v>30.7</v>
      </c>
      <c r="F58" s="64">
        <v>30.7</v>
      </c>
      <c r="G58" s="64">
        <v>30.7</v>
      </c>
      <c r="H58" s="64">
        <v>30.7</v>
      </c>
      <c r="I58" s="64">
        <v>30.7</v>
      </c>
      <c r="J58" s="64">
        <v>30.7</v>
      </c>
      <c r="K58" s="64">
        <v>30.7</v>
      </c>
      <c r="L58" s="64">
        <v>30.7</v>
      </c>
      <c r="M58" s="64">
        <v>28.7</v>
      </c>
      <c r="N58" s="64">
        <v>28.7</v>
      </c>
      <c r="O58" s="64">
        <v>0</v>
      </c>
      <c r="P58" s="64">
        <v>0</v>
      </c>
      <c r="Q58" s="64">
        <v>29.2</v>
      </c>
      <c r="R58" s="64">
        <v>29.2</v>
      </c>
      <c r="S58" s="64">
        <v>20.9</v>
      </c>
      <c r="T58" s="64">
        <v>29</v>
      </c>
      <c r="U58" s="64">
        <v>28.7</v>
      </c>
      <c r="V58" s="64">
        <v>28.7</v>
      </c>
      <c r="W58" s="64">
        <v>21.4</v>
      </c>
      <c r="X58" s="64">
        <v>30.5</v>
      </c>
      <c r="Y58" s="64">
        <v>30.5</v>
      </c>
      <c r="Z58" s="64">
        <v>30.5</v>
      </c>
      <c r="AA58" s="64">
        <v>30.5</v>
      </c>
      <c r="AB58" s="64">
        <v>30.5</v>
      </c>
      <c r="AC58" s="64">
        <v>30.5</v>
      </c>
      <c r="AD58" s="64">
        <v>30.5</v>
      </c>
      <c r="AE58" s="64">
        <v>30.5</v>
      </c>
      <c r="AF58" s="64">
        <v>30.5</v>
      </c>
      <c r="AG58" s="54">
        <v>60</v>
      </c>
      <c r="AH58" s="47">
        <f t="shared" si="2"/>
        <v>30.7</v>
      </c>
      <c r="AI58" s="48">
        <f t="shared" si="3"/>
        <v>0</v>
      </c>
      <c r="AK58" s="50"/>
    </row>
    <row r="59" spans="1:41" x14ac:dyDescent="0.25">
      <c r="A59" s="53" t="s">
        <v>67</v>
      </c>
      <c r="B59" s="64">
        <v>28</v>
      </c>
      <c r="C59" s="64">
        <v>28</v>
      </c>
      <c r="D59" s="64">
        <v>28</v>
      </c>
      <c r="E59" s="64">
        <v>28</v>
      </c>
      <c r="F59" s="64">
        <v>28</v>
      </c>
      <c r="G59" s="64">
        <v>28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64">
        <v>30</v>
      </c>
      <c r="AA59" s="64">
        <v>30</v>
      </c>
      <c r="AB59" s="64">
        <v>30</v>
      </c>
      <c r="AC59" s="64">
        <v>30</v>
      </c>
      <c r="AD59" s="64">
        <v>30</v>
      </c>
      <c r="AE59" s="64">
        <v>30</v>
      </c>
      <c r="AF59" s="64">
        <v>30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4.5</v>
      </c>
      <c r="N60" s="64">
        <v>11</v>
      </c>
      <c r="O60" s="64">
        <v>16.899999999999999</v>
      </c>
      <c r="P60" s="64">
        <v>16.899999999999999</v>
      </c>
      <c r="Q60" s="64">
        <v>19.899999999999999</v>
      </c>
      <c r="R60" s="64">
        <v>18.899999999999999</v>
      </c>
      <c r="S60" s="64">
        <v>16.7</v>
      </c>
      <c r="T60" s="64">
        <v>14.1</v>
      </c>
      <c r="U60" s="64">
        <v>3.5</v>
      </c>
      <c r="V60" s="64">
        <v>3</v>
      </c>
      <c r="W60" s="64">
        <v>1.4</v>
      </c>
      <c r="X60" s="64">
        <v>0.4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54">
        <v>25</v>
      </c>
      <c r="AH60" s="47">
        <f t="shared" si="2"/>
        <v>19.899999999999999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16</v>
      </c>
      <c r="C61" s="64">
        <v>16</v>
      </c>
      <c r="D61" s="64">
        <v>16</v>
      </c>
      <c r="E61" s="64">
        <v>16</v>
      </c>
      <c r="F61" s="64">
        <v>16</v>
      </c>
      <c r="G61" s="64">
        <v>16</v>
      </c>
      <c r="H61" s="64">
        <v>16</v>
      </c>
      <c r="I61" s="64">
        <v>16</v>
      </c>
      <c r="J61" s="64">
        <v>16</v>
      </c>
      <c r="K61" s="64">
        <v>16</v>
      </c>
      <c r="L61" s="64">
        <v>16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16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3.1</v>
      </c>
      <c r="C62" s="64">
        <v>3.1</v>
      </c>
      <c r="D62" s="64">
        <v>3.1</v>
      </c>
      <c r="E62" s="64">
        <v>3.1</v>
      </c>
      <c r="F62" s="64">
        <v>3.1</v>
      </c>
      <c r="G62" s="64">
        <v>3.1</v>
      </c>
      <c r="H62" s="64">
        <v>3.1</v>
      </c>
      <c r="I62" s="64">
        <v>3.1</v>
      </c>
      <c r="J62" s="64">
        <v>3.1</v>
      </c>
      <c r="K62" s="64">
        <v>3.1</v>
      </c>
      <c r="L62" s="64">
        <v>3.1</v>
      </c>
      <c r="M62" s="64">
        <v>3.1</v>
      </c>
      <c r="N62" s="64">
        <v>3.1</v>
      </c>
      <c r="O62" s="64">
        <v>3.1</v>
      </c>
      <c r="P62" s="64">
        <v>3.1</v>
      </c>
      <c r="Q62" s="64">
        <v>3.1</v>
      </c>
      <c r="R62" s="64">
        <v>3.1</v>
      </c>
      <c r="S62" s="64">
        <v>3.1</v>
      </c>
      <c r="T62" s="64">
        <v>3.1</v>
      </c>
      <c r="U62" s="64">
        <v>3.1</v>
      </c>
      <c r="V62" s="64">
        <v>3.1</v>
      </c>
      <c r="W62" s="64">
        <v>3.1</v>
      </c>
      <c r="X62" s="64">
        <v>3.1</v>
      </c>
      <c r="Y62" s="64">
        <v>3.1</v>
      </c>
      <c r="Z62" s="64">
        <v>3.1</v>
      </c>
      <c r="AA62" s="64">
        <v>3.1</v>
      </c>
      <c r="AB62" s="64">
        <v>3.1</v>
      </c>
      <c r="AC62" s="64">
        <v>3.1</v>
      </c>
      <c r="AD62" s="64">
        <v>3.1</v>
      </c>
      <c r="AE62" s="64">
        <v>3.1</v>
      </c>
      <c r="AF62" s="64">
        <v>3.1</v>
      </c>
      <c r="AG62" s="54">
        <v>15</v>
      </c>
      <c r="AH62" s="47">
        <f t="shared" si="2"/>
        <v>3.1</v>
      </c>
      <c r="AI62" s="48">
        <f t="shared" si="3"/>
        <v>3.1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11.1</v>
      </c>
      <c r="C63" s="64">
        <v>11.1</v>
      </c>
      <c r="D63" s="64">
        <v>11.1</v>
      </c>
      <c r="E63" s="64">
        <v>11.1</v>
      </c>
      <c r="F63" s="64">
        <v>11.1</v>
      </c>
      <c r="G63" s="64">
        <v>11.1</v>
      </c>
      <c r="H63" s="64">
        <v>11.1</v>
      </c>
      <c r="I63" s="64">
        <v>11.1</v>
      </c>
      <c r="J63" s="64">
        <v>11.1</v>
      </c>
      <c r="K63" s="64">
        <v>11.1</v>
      </c>
      <c r="L63" s="64">
        <v>11.1</v>
      </c>
      <c r="M63" s="64">
        <v>11.2</v>
      </c>
      <c r="N63" s="64">
        <v>11.2</v>
      </c>
      <c r="O63" s="64">
        <v>11.1</v>
      </c>
      <c r="P63" s="64">
        <v>11.1</v>
      </c>
      <c r="Q63" s="64">
        <v>11.1</v>
      </c>
      <c r="R63" s="64">
        <v>8.6999999999999993</v>
      </c>
      <c r="S63" s="64">
        <v>8.6999999999999993</v>
      </c>
      <c r="T63" s="64">
        <v>10.7</v>
      </c>
      <c r="U63" s="64">
        <v>11.3</v>
      </c>
      <c r="V63" s="64">
        <v>11.3</v>
      </c>
      <c r="W63" s="64">
        <v>11.3</v>
      </c>
      <c r="X63" s="64">
        <v>11.3</v>
      </c>
      <c r="Y63" s="64">
        <v>11.3</v>
      </c>
      <c r="Z63" s="64">
        <v>11.3</v>
      </c>
      <c r="AA63" s="64">
        <v>11.3</v>
      </c>
      <c r="AB63" s="64">
        <v>11.3</v>
      </c>
      <c r="AC63" s="64">
        <v>11.3</v>
      </c>
      <c r="AD63" s="64">
        <v>11.3</v>
      </c>
      <c r="AE63" s="64">
        <v>11.3</v>
      </c>
      <c r="AF63" s="64">
        <v>11.3</v>
      </c>
      <c r="AG63" s="54">
        <v>14.1</v>
      </c>
      <c r="AH63" s="47">
        <f t="shared" si="2"/>
        <v>11.3</v>
      </c>
      <c r="AI63" s="48">
        <f t="shared" si="3"/>
        <v>8.6999999999999993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13.5</v>
      </c>
      <c r="C64" s="64">
        <v>4</v>
      </c>
      <c r="D64" s="64">
        <v>4</v>
      </c>
      <c r="E64" s="64">
        <v>4</v>
      </c>
      <c r="F64" s="64">
        <v>4</v>
      </c>
      <c r="G64" s="64">
        <v>4</v>
      </c>
      <c r="H64" s="64">
        <v>4</v>
      </c>
      <c r="I64" s="64">
        <v>4</v>
      </c>
      <c r="J64" s="64">
        <v>4</v>
      </c>
      <c r="K64" s="64">
        <v>4</v>
      </c>
      <c r="L64" s="64">
        <v>4</v>
      </c>
      <c r="M64" s="64">
        <v>13.6</v>
      </c>
      <c r="N64" s="64">
        <v>13.6</v>
      </c>
      <c r="O64" s="64">
        <v>7</v>
      </c>
      <c r="P64" s="64">
        <v>7</v>
      </c>
      <c r="Q64" s="64">
        <v>7</v>
      </c>
      <c r="R64" s="64">
        <v>7</v>
      </c>
      <c r="S64" s="64">
        <v>7</v>
      </c>
      <c r="T64" s="64">
        <v>7</v>
      </c>
      <c r="U64" s="64">
        <v>7</v>
      </c>
      <c r="V64" s="64">
        <v>7</v>
      </c>
      <c r="W64" s="64">
        <v>6.7</v>
      </c>
      <c r="X64" s="64">
        <v>6.7</v>
      </c>
      <c r="Y64" s="64">
        <v>6.7</v>
      </c>
      <c r="Z64" s="64">
        <v>13.9</v>
      </c>
      <c r="AA64" s="64">
        <v>13.9</v>
      </c>
      <c r="AB64" s="64">
        <v>13.9</v>
      </c>
      <c r="AC64" s="64">
        <v>13.9</v>
      </c>
      <c r="AD64" s="64">
        <v>13.9</v>
      </c>
      <c r="AE64" s="64">
        <v>13.9</v>
      </c>
      <c r="AF64" s="64">
        <v>13.9</v>
      </c>
      <c r="AG64" s="54">
        <v>14</v>
      </c>
      <c r="AH64" s="47">
        <f t="shared" si="2"/>
        <v>13.9</v>
      </c>
      <c r="AI64" s="48">
        <f t="shared" si="3"/>
        <v>4</v>
      </c>
      <c r="AK64" s="50"/>
    </row>
    <row r="65" spans="1:40" x14ac:dyDescent="0.25">
      <c r="A65" s="53" t="s">
        <v>73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6">SUM(B55:B67)</f>
        <v>390.14000000000004</v>
      </c>
      <c r="C68" s="60">
        <f t="shared" si="16"/>
        <v>380.64000000000004</v>
      </c>
      <c r="D68" s="60">
        <f t="shared" si="16"/>
        <v>380.64000000000004</v>
      </c>
      <c r="E68" s="60">
        <f t="shared" si="16"/>
        <v>380.64000000000004</v>
      </c>
      <c r="F68" s="60">
        <f t="shared" si="16"/>
        <v>380.64000000000004</v>
      </c>
      <c r="G68" s="60">
        <f t="shared" si="16"/>
        <v>380.64000000000004</v>
      </c>
      <c r="H68" s="60">
        <f t="shared" ref="H68" si="17">SUM(H55:H67)</f>
        <v>352.64000000000004</v>
      </c>
      <c r="I68" s="60">
        <f t="shared" si="16"/>
        <v>352.64000000000004</v>
      </c>
      <c r="J68" s="60">
        <f t="shared" si="16"/>
        <v>352.64000000000004</v>
      </c>
      <c r="K68" s="60">
        <f t="shared" si="16"/>
        <v>352.64000000000004</v>
      </c>
      <c r="L68" s="60">
        <f t="shared" si="16"/>
        <v>352.64000000000004</v>
      </c>
      <c r="M68" s="60">
        <f t="shared" si="16"/>
        <v>364.84000000000003</v>
      </c>
      <c r="N68" s="60">
        <f t="shared" si="16"/>
        <v>352.74000000000007</v>
      </c>
      <c r="O68" s="60">
        <f t="shared" si="16"/>
        <v>334.14</v>
      </c>
      <c r="P68" s="60">
        <f t="shared" si="16"/>
        <v>334.14</v>
      </c>
      <c r="Q68" s="60">
        <f t="shared" si="16"/>
        <v>366.34</v>
      </c>
      <c r="R68" s="60">
        <f t="shared" ref="R68:S68" si="18">SUM(R55:R67)</f>
        <v>385.64</v>
      </c>
      <c r="S68" s="60">
        <f t="shared" si="18"/>
        <v>376.74</v>
      </c>
      <c r="T68" s="60">
        <f t="shared" si="16"/>
        <v>397.64000000000004</v>
      </c>
      <c r="U68" s="60">
        <f t="shared" ref="U68" si="19">SUM(U55:U67)</f>
        <v>372.64000000000004</v>
      </c>
      <c r="V68" s="60">
        <f t="shared" si="16"/>
        <v>372.14000000000004</v>
      </c>
      <c r="W68" s="60">
        <f t="shared" si="16"/>
        <v>358.44</v>
      </c>
      <c r="X68" s="60">
        <f t="shared" si="16"/>
        <v>380.04</v>
      </c>
      <c r="Y68" s="60">
        <f t="shared" si="16"/>
        <v>379.64000000000004</v>
      </c>
      <c r="Z68" s="60">
        <f t="shared" si="16"/>
        <v>392.44000000000005</v>
      </c>
      <c r="AA68" s="60">
        <f t="shared" si="16"/>
        <v>392.44000000000005</v>
      </c>
      <c r="AB68" s="60">
        <f t="shared" si="16"/>
        <v>392.44000000000005</v>
      </c>
      <c r="AC68" s="60">
        <f t="shared" si="16"/>
        <v>392.44000000000005</v>
      </c>
      <c r="AD68" s="60">
        <f t="shared" si="16"/>
        <v>392.44000000000005</v>
      </c>
      <c r="AE68" s="60">
        <f t="shared" si="16"/>
        <v>392.44000000000005</v>
      </c>
      <c r="AF68" s="60">
        <f t="shared" si="16"/>
        <v>392.44000000000005</v>
      </c>
      <c r="AG68" s="61">
        <f t="shared" si="16"/>
        <v>489.91</v>
      </c>
      <c r="AH68" s="47">
        <f t="shared" si="2"/>
        <v>397.64000000000004</v>
      </c>
      <c r="AI68" s="48">
        <f t="shared" si="3"/>
        <v>334.14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20">M69+M70+M71</f>
        <v>0</v>
      </c>
      <c r="N72" s="60">
        <f t="shared" si="20"/>
        <v>0</v>
      </c>
      <c r="O72" s="60">
        <f t="shared" si="20"/>
        <v>0</v>
      </c>
      <c r="P72" s="60">
        <f t="shared" si="20"/>
        <v>0</v>
      </c>
      <c r="Q72" s="60">
        <f t="shared" si="20"/>
        <v>0</v>
      </c>
      <c r="R72" s="60">
        <f t="shared" ref="R72:S72" si="21">R69+R70+R71</f>
        <v>0</v>
      </c>
      <c r="S72" s="60">
        <f t="shared" si="21"/>
        <v>0</v>
      </c>
      <c r="T72" s="60">
        <f t="shared" si="20"/>
        <v>0</v>
      </c>
      <c r="U72" s="60">
        <f t="shared" ref="U72" si="22">U69+U70+U71</f>
        <v>0</v>
      </c>
      <c r="V72" s="60">
        <f t="shared" si="20"/>
        <v>0</v>
      </c>
      <c r="W72" s="60">
        <f t="shared" si="20"/>
        <v>0</v>
      </c>
      <c r="X72" s="60">
        <f t="shared" si="20"/>
        <v>0</v>
      </c>
      <c r="Y72" s="60">
        <f t="shared" si="20"/>
        <v>0</v>
      </c>
      <c r="Z72" s="60">
        <f t="shared" si="20"/>
        <v>0</v>
      </c>
      <c r="AA72" s="60">
        <f t="shared" si="20"/>
        <v>0</v>
      </c>
      <c r="AB72" s="60">
        <f t="shared" si="20"/>
        <v>0</v>
      </c>
      <c r="AC72" s="60">
        <f t="shared" si="20"/>
        <v>0</v>
      </c>
      <c r="AD72" s="60">
        <f t="shared" si="20"/>
        <v>0</v>
      </c>
      <c r="AE72" s="60">
        <f t="shared" si="20"/>
        <v>0</v>
      </c>
      <c r="AF72" s="60">
        <f t="shared" si="20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22.7</v>
      </c>
      <c r="C73" s="45">
        <v>38.200000000000003</v>
      </c>
      <c r="D73" s="45">
        <v>5</v>
      </c>
      <c r="E73" s="45">
        <v>-1.3</v>
      </c>
      <c r="F73" s="45">
        <v>20</v>
      </c>
      <c r="G73" s="45">
        <v>29.1</v>
      </c>
      <c r="H73" s="45">
        <v>29.1</v>
      </c>
      <c r="I73" s="45">
        <v>20.9</v>
      </c>
      <c r="J73" s="45">
        <v>20.9</v>
      </c>
      <c r="K73" s="45">
        <v>9.9</v>
      </c>
      <c r="L73" s="45">
        <v>15</v>
      </c>
      <c r="M73" s="45">
        <v>9.9</v>
      </c>
      <c r="N73" s="45">
        <v>32</v>
      </c>
      <c r="O73" s="45">
        <v>26.9</v>
      </c>
      <c r="P73" s="45">
        <v>33.1</v>
      </c>
      <c r="Q73" s="45">
        <v>20.2</v>
      </c>
      <c r="R73" s="45">
        <v>-9.3000000000000007</v>
      </c>
      <c r="S73" s="45">
        <v>-4.3</v>
      </c>
      <c r="T73" s="45">
        <v>2.9</v>
      </c>
      <c r="U73" s="45">
        <v>0</v>
      </c>
      <c r="V73" s="45">
        <v>-16</v>
      </c>
      <c r="W73" s="45">
        <v>-2.8</v>
      </c>
      <c r="X73" s="45">
        <v>2.1</v>
      </c>
      <c r="Y73" s="45">
        <v>-9.1999999999999993</v>
      </c>
      <c r="Z73" s="45">
        <v>-8</v>
      </c>
      <c r="AA73" s="45">
        <v>4.2</v>
      </c>
      <c r="AB73" s="45">
        <v>-10</v>
      </c>
      <c r="AC73" s="45">
        <v>-15</v>
      </c>
      <c r="AD73" s="45">
        <v>22</v>
      </c>
      <c r="AE73" s="45">
        <v>30</v>
      </c>
      <c r="AF73" s="45">
        <v>28</v>
      </c>
      <c r="AG73" s="51"/>
      <c r="AH73" s="47">
        <f t="shared" si="2"/>
        <v>38.200000000000003</v>
      </c>
      <c r="AI73" s="48">
        <f t="shared" si="3"/>
        <v>-16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-150</v>
      </c>
      <c r="C75" s="64">
        <v>-245</v>
      </c>
      <c r="D75" s="64">
        <v>-209</v>
      </c>
      <c r="E75" s="64">
        <v>-211</v>
      </c>
      <c r="F75" s="64">
        <v>-213</v>
      </c>
      <c r="G75" s="64">
        <v>-263</v>
      </c>
      <c r="H75" s="64">
        <v>-263</v>
      </c>
      <c r="I75" s="64">
        <v>-296</v>
      </c>
      <c r="J75" s="64">
        <v>-296</v>
      </c>
      <c r="K75" s="64">
        <v>-248</v>
      </c>
      <c r="L75" s="64">
        <v>-209.7</v>
      </c>
      <c r="M75" s="64">
        <v>-212.6</v>
      </c>
      <c r="N75" s="64">
        <v>-290</v>
      </c>
      <c r="O75" s="64">
        <v>-277.7</v>
      </c>
      <c r="P75" s="64">
        <v>-305</v>
      </c>
      <c r="Q75" s="64">
        <v>-339</v>
      </c>
      <c r="R75" s="64">
        <v>-319.60000000000002</v>
      </c>
      <c r="S75" s="64">
        <v>-264.5</v>
      </c>
      <c r="T75" s="64">
        <v>-237</v>
      </c>
      <c r="U75" s="64">
        <v>-281.39999999999998</v>
      </c>
      <c r="V75" s="64">
        <v>-322</v>
      </c>
      <c r="W75" s="64">
        <v>-335</v>
      </c>
      <c r="X75" s="64">
        <v>-381</v>
      </c>
      <c r="Y75" s="64">
        <v>-335</v>
      </c>
      <c r="Z75" s="64">
        <v>-308</v>
      </c>
      <c r="AA75" s="64">
        <v>-257</v>
      </c>
      <c r="AB75" s="64">
        <v>-255</v>
      </c>
      <c r="AC75" s="64">
        <v>-260</v>
      </c>
      <c r="AD75" s="64">
        <v>-295</v>
      </c>
      <c r="AE75" s="64">
        <v>-282</v>
      </c>
      <c r="AF75" s="64">
        <v>-300</v>
      </c>
      <c r="AG75" s="74"/>
      <c r="AH75" s="47">
        <f t="shared" si="2"/>
        <v>-150</v>
      </c>
      <c r="AI75" s="48">
        <f t="shared" si="3"/>
        <v>-381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75">
        <v>0</v>
      </c>
      <c r="F76" s="75">
        <v>0</v>
      </c>
      <c r="G76" s="75"/>
      <c r="H76" s="75"/>
      <c r="I76" s="75">
        <v>0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64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64">
        <v>0</v>
      </c>
      <c r="C77" s="64">
        <v>0</v>
      </c>
      <c r="D77" s="64">
        <v>0</v>
      </c>
      <c r="E77" s="45"/>
      <c r="F77" s="45"/>
      <c r="G77" s="45"/>
      <c r="H77" s="45"/>
      <c r="I77" s="45"/>
      <c r="J77" s="45"/>
      <c r="K77" s="45"/>
      <c r="L77" s="45"/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4"/>
      <c r="AH77" s="47">
        <f t="shared" ref="AH77:AH120" si="23">MAX(B77:AF77)</f>
        <v>0</v>
      </c>
      <c r="AI77" s="48">
        <f t="shared" ref="AI77:AI120" si="24">MIN(B77:AF77)</f>
        <v>0</v>
      </c>
      <c r="AK77" s="50"/>
    </row>
    <row r="78" spans="1:40" x14ac:dyDescent="0.25">
      <c r="A78" s="53" t="s">
        <v>86</v>
      </c>
      <c r="B78" s="64">
        <v>0</v>
      </c>
      <c r="C78" s="64">
        <v>0</v>
      </c>
      <c r="D78" s="64">
        <v>0</v>
      </c>
      <c r="E78" s="76"/>
      <c r="F78" s="76"/>
      <c r="G78" s="76"/>
      <c r="H78" s="76"/>
      <c r="I78" s="76"/>
      <c r="J78" s="76"/>
      <c r="K78" s="76"/>
      <c r="L78" s="76"/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5</v>
      </c>
      <c r="T78" s="76">
        <v>5</v>
      </c>
      <c r="U78" s="76">
        <v>5</v>
      </c>
      <c r="V78" s="76">
        <v>5</v>
      </c>
      <c r="W78" s="76">
        <v>5</v>
      </c>
      <c r="X78" s="76">
        <v>5</v>
      </c>
      <c r="Y78" s="76">
        <v>5</v>
      </c>
      <c r="Z78" s="76">
        <v>5</v>
      </c>
      <c r="AA78" s="76">
        <v>5</v>
      </c>
      <c r="AB78" s="76">
        <v>5</v>
      </c>
      <c r="AC78" s="76">
        <v>5</v>
      </c>
      <c r="AD78" s="76">
        <v>5</v>
      </c>
      <c r="AE78" s="76">
        <v>5</v>
      </c>
      <c r="AF78" s="76">
        <v>5</v>
      </c>
      <c r="AG78" s="74"/>
      <c r="AH78" s="47">
        <f t="shared" si="23"/>
        <v>5</v>
      </c>
      <c r="AI78" s="48">
        <f t="shared" si="24"/>
        <v>0</v>
      </c>
      <c r="AK78" s="50"/>
    </row>
    <row r="79" spans="1:40" ht="15.75" thickBot="1" x14ac:dyDescent="0.3">
      <c r="A79" s="53" t="s">
        <v>87</v>
      </c>
      <c r="B79" s="64">
        <v>0</v>
      </c>
      <c r="C79" s="64">
        <v>0</v>
      </c>
      <c r="D79" s="64">
        <v>0</v>
      </c>
      <c r="E79" s="76"/>
      <c r="F79" s="76"/>
      <c r="G79" s="76"/>
      <c r="H79" s="76"/>
      <c r="I79" s="76"/>
      <c r="J79" s="76"/>
      <c r="K79" s="76"/>
      <c r="L79" s="76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4"/>
      <c r="AH79" s="47">
        <f t="shared" si="23"/>
        <v>0</v>
      </c>
      <c r="AI79" s="48">
        <f t="shared" si="24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64">
        <v>0</v>
      </c>
      <c r="C80" s="64">
        <v>0</v>
      </c>
      <c r="D80" s="64">
        <v>0</v>
      </c>
      <c r="E80" s="76"/>
      <c r="F80" s="76"/>
      <c r="G80" s="76"/>
      <c r="H80" s="76"/>
      <c r="I80" s="76"/>
      <c r="J80" s="76"/>
      <c r="K80" s="76"/>
      <c r="L80" s="76"/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4"/>
      <c r="AH80" s="47">
        <f t="shared" si="23"/>
        <v>0</v>
      </c>
      <c r="AI80" s="48">
        <f t="shared" si="24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64">
        <v>0</v>
      </c>
      <c r="C81" s="64">
        <v>0</v>
      </c>
      <c r="D81" s="64">
        <v>0</v>
      </c>
      <c r="E81" s="76"/>
      <c r="F81" s="76"/>
      <c r="G81" s="76"/>
      <c r="H81" s="76"/>
      <c r="I81" s="76"/>
      <c r="J81" s="76"/>
      <c r="K81" s="76"/>
      <c r="L81" s="76"/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4"/>
      <c r="AH81" s="47">
        <f t="shared" si="23"/>
        <v>0</v>
      </c>
      <c r="AI81" s="48">
        <f t="shared" si="24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64">
        <v>0</v>
      </c>
      <c r="C82" s="64">
        <v>0</v>
      </c>
      <c r="D82" s="64">
        <v>0</v>
      </c>
      <c r="E82" s="76"/>
      <c r="F82" s="76"/>
      <c r="G82" s="76"/>
      <c r="H82" s="76"/>
      <c r="I82" s="76"/>
      <c r="J82" s="76"/>
      <c r="K82" s="76"/>
      <c r="L82" s="76"/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84"/>
      <c r="AH82" s="47">
        <f t="shared" si="23"/>
        <v>0</v>
      </c>
      <c r="AI82" s="48">
        <f t="shared" si="24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64">
        <v>0</v>
      </c>
      <c r="C83" s="64">
        <v>0</v>
      </c>
      <c r="D83" s="64">
        <v>0</v>
      </c>
      <c r="E83" s="76"/>
      <c r="F83" s="76"/>
      <c r="G83" s="76"/>
      <c r="H83" s="76"/>
      <c r="I83" s="76"/>
      <c r="J83" s="76"/>
      <c r="K83" s="76"/>
      <c r="L83" s="76"/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4"/>
      <c r="AH83" s="47">
        <f t="shared" si="23"/>
        <v>0</v>
      </c>
      <c r="AI83" s="48">
        <f t="shared" si="24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25">SUMIF(B73:B83,"&gt;0")</f>
        <v>22.7</v>
      </c>
      <c r="C84" s="60">
        <f t="shared" si="25"/>
        <v>38.200000000000003</v>
      </c>
      <c r="D84" s="60">
        <f t="shared" si="25"/>
        <v>5</v>
      </c>
      <c r="E84" s="60">
        <f t="shared" si="25"/>
        <v>0</v>
      </c>
      <c r="F84" s="60">
        <f t="shared" si="25"/>
        <v>20</v>
      </c>
      <c r="G84" s="60">
        <f t="shared" si="25"/>
        <v>29.1</v>
      </c>
      <c r="H84" s="60">
        <f t="shared" ref="H84" si="26">SUMIF(H73:H83,"&gt;0")</f>
        <v>29.1</v>
      </c>
      <c r="I84" s="60">
        <f t="shared" si="25"/>
        <v>20.9</v>
      </c>
      <c r="J84" s="60">
        <f t="shared" si="25"/>
        <v>20.9</v>
      </c>
      <c r="K84" s="60">
        <f t="shared" si="25"/>
        <v>9.9</v>
      </c>
      <c r="L84" s="60">
        <f t="shared" si="25"/>
        <v>15</v>
      </c>
      <c r="M84" s="60">
        <f t="shared" si="25"/>
        <v>9.9</v>
      </c>
      <c r="N84" s="60">
        <f t="shared" si="25"/>
        <v>32</v>
      </c>
      <c r="O84" s="60">
        <f t="shared" si="25"/>
        <v>26.9</v>
      </c>
      <c r="P84" s="60">
        <f t="shared" si="25"/>
        <v>33.1</v>
      </c>
      <c r="Q84" s="60">
        <f t="shared" si="25"/>
        <v>20.2</v>
      </c>
      <c r="R84" s="60">
        <f t="shared" ref="R84:S84" si="27">SUMIF(R73:R83,"&gt;0")</f>
        <v>0</v>
      </c>
      <c r="S84" s="60">
        <f t="shared" si="27"/>
        <v>5</v>
      </c>
      <c r="T84" s="60">
        <f t="shared" si="25"/>
        <v>7.9</v>
      </c>
      <c r="U84" s="60">
        <f t="shared" ref="U84" si="28">SUMIF(U73:U83,"&gt;0")</f>
        <v>5</v>
      </c>
      <c r="V84" s="60">
        <f t="shared" si="25"/>
        <v>5</v>
      </c>
      <c r="W84" s="60">
        <f t="shared" si="25"/>
        <v>5</v>
      </c>
      <c r="X84" s="60">
        <f t="shared" si="25"/>
        <v>7.1</v>
      </c>
      <c r="Y84" s="60">
        <f t="shared" si="25"/>
        <v>5</v>
      </c>
      <c r="Z84" s="60">
        <f t="shared" si="25"/>
        <v>5</v>
      </c>
      <c r="AA84" s="60">
        <f t="shared" si="25"/>
        <v>9.1999999999999993</v>
      </c>
      <c r="AB84" s="60">
        <f t="shared" si="25"/>
        <v>5</v>
      </c>
      <c r="AC84" s="60">
        <f t="shared" si="25"/>
        <v>5</v>
      </c>
      <c r="AD84" s="60">
        <f t="shared" si="25"/>
        <v>27</v>
      </c>
      <c r="AE84" s="60">
        <f t="shared" si="25"/>
        <v>35</v>
      </c>
      <c r="AF84" s="60">
        <f t="shared" si="25"/>
        <v>33</v>
      </c>
      <c r="AG84" s="87">
        <f>SUM(AG73:AG83)</f>
        <v>0</v>
      </c>
      <c r="AH84" s="47">
        <f t="shared" si="23"/>
        <v>38.200000000000003</v>
      </c>
      <c r="AI84" s="48">
        <f t="shared" si="24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23"/>
        <v>0</v>
      </c>
      <c r="AI85" s="48">
        <f t="shared" si="24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23"/>
        <v>0</v>
      </c>
      <c r="AI86" s="48">
        <f t="shared" si="24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23"/>
        <v>0</v>
      </c>
      <c r="AI87" s="48">
        <f t="shared" si="24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23"/>
        <v>0</v>
      </c>
      <c r="AI88" s="48">
        <f t="shared" si="24"/>
        <v>0</v>
      </c>
    </row>
    <row r="89" spans="1:40" ht="15.75" thickBot="1" x14ac:dyDescent="0.3">
      <c r="A89" s="73" t="s">
        <v>100</v>
      </c>
      <c r="B89" s="94">
        <f t="shared" ref="B89:AG89" si="29">B50+B54+B72+B68+B84+B88</f>
        <v>1812.94</v>
      </c>
      <c r="C89" s="94">
        <f t="shared" si="29"/>
        <v>1830.94</v>
      </c>
      <c r="D89" s="94">
        <f>D50+D54+D72+D68+D84+D88</f>
        <v>1807.74</v>
      </c>
      <c r="E89" s="94">
        <f t="shared" si="29"/>
        <v>1755.0400000000002</v>
      </c>
      <c r="F89" s="94">
        <f t="shared" si="29"/>
        <v>1806.5400000000002</v>
      </c>
      <c r="G89" s="94">
        <f t="shared" si="29"/>
        <v>1820.64</v>
      </c>
      <c r="H89" s="94">
        <f t="shared" ref="H89" si="30">H50+H54+H72+H68+H84+H88</f>
        <v>1822.9399999999998</v>
      </c>
      <c r="I89" s="94">
        <f t="shared" si="29"/>
        <v>1812.64</v>
      </c>
      <c r="J89" s="94">
        <f t="shared" si="29"/>
        <v>1840.64</v>
      </c>
      <c r="K89" s="94">
        <f t="shared" si="29"/>
        <v>1857.64</v>
      </c>
      <c r="L89" s="94">
        <f t="shared" si="29"/>
        <v>1872.74</v>
      </c>
      <c r="M89" s="94">
        <f t="shared" si="29"/>
        <v>1875.6400000000003</v>
      </c>
      <c r="N89" s="94">
        <f t="shared" si="29"/>
        <v>1994.0400000000002</v>
      </c>
      <c r="O89" s="94">
        <f t="shared" si="29"/>
        <v>1975.3400000000001</v>
      </c>
      <c r="P89" s="94">
        <f t="shared" si="29"/>
        <v>2006.54</v>
      </c>
      <c r="Q89" s="94">
        <f t="shared" si="29"/>
        <v>1969.8400000000001</v>
      </c>
      <c r="R89" s="94">
        <f t="shared" ref="R89:S89" si="31">R50+R54+R72+R68+R84+R88</f>
        <v>1972.94</v>
      </c>
      <c r="S89" s="94">
        <f t="shared" si="31"/>
        <v>1999.0400000000002</v>
      </c>
      <c r="T89" s="94">
        <f t="shared" si="29"/>
        <v>1958.8400000000004</v>
      </c>
      <c r="U89" s="94">
        <f t="shared" ref="U89" si="32">U50+U54+U72+U68+U84+U88</f>
        <v>1972.5400000000002</v>
      </c>
      <c r="V89" s="94">
        <f t="shared" si="29"/>
        <v>1987.84</v>
      </c>
      <c r="W89" s="94">
        <f t="shared" si="29"/>
        <v>1960.7400000000002</v>
      </c>
      <c r="X89" s="94">
        <f t="shared" si="29"/>
        <v>1984.44</v>
      </c>
      <c r="Y89" s="94">
        <f t="shared" si="29"/>
        <v>1977.4400000000003</v>
      </c>
      <c r="Z89" s="94">
        <f t="shared" si="29"/>
        <v>1990.2400000000002</v>
      </c>
      <c r="AA89" s="94">
        <f t="shared" si="29"/>
        <v>2106.9399999999996</v>
      </c>
      <c r="AB89" s="94">
        <f t="shared" si="29"/>
        <v>2102.7399999999998</v>
      </c>
      <c r="AC89" s="94">
        <f t="shared" si="29"/>
        <v>2097.7399999999998</v>
      </c>
      <c r="AD89" s="94">
        <f t="shared" si="29"/>
        <v>2114.7399999999998</v>
      </c>
      <c r="AE89" s="94">
        <f t="shared" si="29"/>
        <v>2059.44</v>
      </c>
      <c r="AF89" s="94">
        <f t="shared" si="29"/>
        <v>2051.44</v>
      </c>
      <c r="AG89" s="61">
        <f t="shared" si="29"/>
        <v>2111.5500000000002</v>
      </c>
      <c r="AH89" s="47">
        <f t="shared" si="23"/>
        <v>2114.7399999999998</v>
      </c>
      <c r="AI89" s="48">
        <f t="shared" si="24"/>
        <v>1755.0400000000002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23"/>
        <v>0</v>
      </c>
      <c r="AI90" s="48">
        <f t="shared" si="24"/>
        <v>0</v>
      </c>
    </row>
    <row r="91" spans="1:40" ht="15.75" thickBot="1" x14ac:dyDescent="0.3">
      <c r="A91" s="73" t="s">
        <v>102</v>
      </c>
      <c r="B91" s="94">
        <f t="shared" ref="B91:AF91" si="33">B89+B90</f>
        <v>1812.94</v>
      </c>
      <c r="C91" s="94">
        <f t="shared" si="33"/>
        <v>1830.94</v>
      </c>
      <c r="D91" s="94">
        <f t="shared" si="33"/>
        <v>1807.74</v>
      </c>
      <c r="E91" s="94">
        <f t="shared" si="33"/>
        <v>1755.0400000000002</v>
      </c>
      <c r="F91" s="94">
        <f t="shared" si="33"/>
        <v>1806.5400000000002</v>
      </c>
      <c r="G91" s="94">
        <f t="shared" si="33"/>
        <v>1820.64</v>
      </c>
      <c r="H91" s="94">
        <f t="shared" ref="H91" si="34">H89+H90</f>
        <v>1822.9399999999998</v>
      </c>
      <c r="I91" s="94">
        <f t="shared" si="33"/>
        <v>1812.64</v>
      </c>
      <c r="J91" s="94">
        <f t="shared" si="33"/>
        <v>1840.64</v>
      </c>
      <c r="K91" s="94">
        <f t="shared" si="33"/>
        <v>1857.64</v>
      </c>
      <c r="L91" s="94">
        <f t="shared" si="33"/>
        <v>1872.74</v>
      </c>
      <c r="M91" s="94">
        <f t="shared" si="33"/>
        <v>1875.6400000000003</v>
      </c>
      <c r="N91" s="94">
        <f t="shared" si="33"/>
        <v>1994.0400000000002</v>
      </c>
      <c r="O91" s="94">
        <f t="shared" si="33"/>
        <v>1975.3400000000001</v>
      </c>
      <c r="P91" s="94">
        <f t="shared" si="33"/>
        <v>2006.54</v>
      </c>
      <c r="Q91" s="94">
        <f t="shared" si="33"/>
        <v>1969.8400000000001</v>
      </c>
      <c r="R91" s="94">
        <f t="shared" ref="R91:S91" si="35">R89+R90</f>
        <v>1972.94</v>
      </c>
      <c r="S91" s="94">
        <f t="shared" si="35"/>
        <v>1999.0400000000002</v>
      </c>
      <c r="T91" s="94">
        <f t="shared" si="33"/>
        <v>1958.8400000000004</v>
      </c>
      <c r="U91" s="94">
        <f t="shared" ref="U91" si="36">U89+U90</f>
        <v>1972.5400000000002</v>
      </c>
      <c r="V91" s="94">
        <f t="shared" si="33"/>
        <v>1987.84</v>
      </c>
      <c r="W91" s="94">
        <f t="shared" si="33"/>
        <v>1960.7400000000002</v>
      </c>
      <c r="X91" s="94">
        <f t="shared" si="33"/>
        <v>1984.44</v>
      </c>
      <c r="Y91" s="94">
        <f t="shared" si="33"/>
        <v>1977.4400000000003</v>
      </c>
      <c r="Z91" s="94">
        <f t="shared" si="33"/>
        <v>1990.2400000000002</v>
      </c>
      <c r="AA91" s="94">
        <f t="shared" si="33"/>
        <v>2106.9399999999996</v>
      </c>
      <c r="AB91" s="94">
        <f t="shared" si="33"/>
        <v>2102.7399999999998</v>
      </c>
      <c r="AC91" s="94">
        <f t="shared" si="33"/>
        <v>2097.7399999999998</v>
      </c>
      <c r="AD91" s="94">
        <f t="shared" si="33"/>
        <v>2114.7399999999998</v>
      </c>
      <c r="AE91" s="94">
        <f t="shared" si="33"/>
        <v>2059.44</v>
      </c>
      <c r="AF91" s="94">
        <f t="shared" si="33"/>
        <v>2051.44</v>
      </c>
      <c r="AG91" s="87">
        <f>AG88+AG84+AG72+AG68+AG50+AG90</f>
        <v>1573.45</v>
      </c>
      <c r="AH91" s="47">
        <f t="shared" si="23"/>
        <v>2114.7399999999998</v>
      </c>
      <c r="AI91" s="48">
        <f t="shared" si="24"/>
        <v>1755.0400000000002</v>
      </c>
    </row>
    <row r="92" spans="1:40" ht="15.75" thickBot="1" x14ac:dyDescent="0.3">
      <c r="A92" s="73" t="s">
        <v>103</v>
      </c>
      <c r="B92" s="94">
        <f t="shared" ref="B92:AF92" si="37">B91-B99</f>
        <v>1812.94</v>
      </c>
      <c r="C92" s="94">
        <f t="shared" si="37"/>
        <v>1830.94</v>
      </c>
      <c r="D92" s="94">
        <f t="shared" si="37"/>
        <v>1807.74</v>
      </c>
      <c r="E92" s="94">
        <f t="shared" si="37"/>
        <v>1755.0400000000002</v>
      </c>
      <c r="F92" s="94">
        <f t="shared" si="37"/>
        <v>1806.5400000000002</v>
      </c>
      <c r="G92" s="94">
        <f t="shared" si="37"/>
        <v>1820.64</v>
      </c>
      <c r="H92" s="94">
        <f t="shared" ref="H92" si="38">H91-H99</f>
        <v>1822.9399999999998</v>
      </c>
      <c r="I92" s="94">
        <f t="shared" si="37"/>
        <v>1812.64</v>
      </c>
      <c r="J92" s="94">
        <f t="shared" si="37"/>
        <v>1840.64</v>
      </c>
      <c r="K92" s="94">
        <f t="shared" si="37"/>
        <v>1857.64</v>
      </c>
      <c r="L92" s="94">
        <f t="shared" si="37"/>
        <v>1872.74</v>
      </c>
      <c r="M92" s="94">
        <f t="shared" si="37"/>
        <v>1875.6400000000003</v>
      </c>
      <c r="N92" s="94">
        <f t="shared" si="37"/>
        <v>1994.0400000000002</v>
      </c>
      <c r="O92" s="94">
        <f t="shared" si="37"/>
        <v>1975.3400000000001</v>
      </c>
      <c r="P92" s="94">
        <f t="shared" si="37"/>
        <v>2006.54</v>
      </c>
      <c r="Q92" s="94">
        <f t="shared" si="37"/>
        <v>1969.8400000000001</v>
      </c>
      <c r="R92" s="94">
        <f t="shared" ref="R92:S92" si="39">R91-R99</f>
        <v>1972.94</v>
      </c>
      <c r="S92" s="94">
        <f t="shared" si="39"/>
        <v>1999.0400000000002</v>
      </c>
      <c r="T92" s="94">
        <f t="shared" si="37"/>
        <v>1958.8400000000004</v>
      </c>
      <c r="U92" s="94">
        <f t="shared" ref="U92" si="40">U91-U99</f>
        <v>1972.5400000000002</v>
      </c>
      <c r="V92" s="94">
        <f t="shared" si="37"/>
        <v>1987.84</v>
      </c>
      <c r="W92" s="94">
        <f t="shared" si="37"/>
        <v>1960.7400000000002</v>
      </c>
      <c r="X92" s="94">
        <f t="shared" si="37"/>
        <v>1984.44</v>
      </c>
      <c r="Y92" s="94">
        <f t="shared" si="37"/>
        <v>1977.4400000000003</v>
      </c>
      <c r="Z92" s="94">
        <f t="shared" si="37"/>
        <v>1990.2400000000002</v>
      </c>
      <c r="AA92" s="94">
        <f t="shared" si="37"/>
        <v>2106.9399999999996</v>
      </c>
      <c r="AB92" s="94">
        <f t="shared" si="37"/>
        <v>2102.7399999999998</v>
      </c>
      <c r="AC92" s="94">
        <f t="shared" si="37"/>
        <v>2097.7399999999998</v>
      </c>
      <c r="AD92" s="94">
        <f t="shared" si="37"/>
        <v>2114.7399999999998</v>
      </c>
      <c r="AE92" s="94">
        <f t="shared" si="37"/>
        <v>2059.44</v>
      </c>
      <c r="AF92" s="94">
        <f t="shared" si="37"/>
        <v>2051.44</v>
      </c>
      <c r="AG92" s="87"/>
      <c r="AH92" s="47">
        <f t="shared" si="23"/>
        <v>2114.7399999999998</v>
      </c>
      <c r="AI92" s="48">
        <f t="shared" si="24"/>
        <v>1755.0400000000002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23"/>
        <v>0</v>
      </c>
      <c r="AI93" s="48">
        <f t="shared" si="24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23"/>
        <v>0</v>
      </c>
      <c r="AI94" s="48">
        <f t="shared" si="24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23"/>
        <v>0</v>
      </c>
      <c r="AI95" s="48">
        <f t="shared" si="24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23"/>
        <v>0</v>
      </c>
      <c r="AI96" s="48">
        <f t="shared" si="24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23"/>
        <v>0</v>
      </c>
      <c r="AI97" s="48">
        <f t="shared" si="24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23"/>
        <v>0</v>
      </c>
      <c r="AI98" s="48">
        <f t="shared" si="24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23"/>
        <v>0</v>
      </c>
      <c r="AI99" s="48">
        <f t="shared" si="24"/>
        <v>0</v>
      </c>
      <c r="AK99" s="50"/>
    </row>
    <row r="100" spans="1:37" ht="15.75" thickBot="1" x14ac:dyDescent="0.3">
      <c r="A100" s="73" t="s">
        <v>108</v>
      </c>
      <c r="B100" s="60">
        <f t="shared" ref="B100:AF100" si="41">B84-B99</f>
        <v>22.7</v>
      </c>
      <c r="C100" s="60">
        <f t="shared" si="41"/>
        <v>38.200000000000003</v>
      </c>
      <c r="D100" s="60">
        <f t="shared" si="41"/>
        <v>5</v>
      </c>
      <c r="E100" s="60">
        <f t="shared" si="41"/>
        <v>0</v>
      </c>
      <c r="F100" s="60">
        <f t="shared" si="41"/>
        <v>20</v>
      </c>
      <c r="G100" s="60">
        <f t="shared" si="41"/>
        <v>29.1</v>
      </c>
      <c r="H100" s="60">
        <f t="shared" ref="H100" si="42">H84-H99</f>
        <v>29.1</v>
      </c>
      <c r="I100" s="60">
        <f t="shared" si="41"/>
        <v>20.9</v>
      </c>
      <c r="J100" s="60">
        <f t="shared" si="41"/>
        <v>20.9</v>
      </c>
      <c r="K100" s="60">
        <f t="shared" si="41"/>
        <v>9.9</v>
      </c>
      <c r="L100" s="60">
        <f t="shared" si="41"/>
        <v>15</v>
      </c>
      <c r="M100" s="60">
        <f t="shared" si="41"/>
        <v>9.9</v>
      </c>
      <c r="N100" s="60">
        <f t="shared" si="41"/>
        <v>32</v>
      </c>
      <c r="O100" s="60">
        <f t="shared" si="41"/>
        <v>26.9</v>
      </c>
      <c r="P100" s="60">
        <f t="shared" si="41"/>
        <v>33.1</v>
      </c>
      <c r="Q100" s="60">
        <f t="shared" si="41"/>
        <v>20.2</v>
      </c>
      <c r="R100" s="60">
        <f t="shared" ref="R100:S100" si="43">R84-R99</f>
        <v>0</v>
      </c>
      <c r="S100" s="60">
        <f t="shared" si="43"/>
        <v>5</v>
      </c>
      <c r="T100" s="60">
        <f t="shared" si="41"/>
        <v>7.9</v>
      </c>
      <c r="U100" s="60">
        <f t="shared" ref="U100" si="44">U84-U99</f>
        <v>5</v>
      </c>
      <c r="V100" s="60">
        <f t="shared" si="41"/>
        <v>5</v>
      </c>
      <c r="W100" s="60">
        <f t="shared" si="41"/>
        <v>5</v>
      </c>
      <c r="X100" s="60">
        <f t="shared" si="41"/>
        <v>7.1</v>
      </c>
      <c r="Y100" s="60">
        <f t="shared" si="41"/>
        <v>5</v>
      </c>
      <c r="Z100" s="60">
        <f t="shared" si="41"/>
        <v>5</v>
      </c>
      <c r="AA100" s="60">
        <f t="shared" si="41"/>
        <v>9.1999999999999993</v>
      </c>
      <c r="AB100" s="60">
        <f t="shared" si="41"/>
        <v>5</v>
      </c>
      <c r="AC100" s="60">
        <f t="shared" si="41"/>
        <v>5</v>
      </c>
      <c r="AD100" s="60">
        <f t="shared" si="41"/>
        <v>27</v>
      </c>
      <c r="AE100" s="60">
        <f t="shared" si="41"/>
        <v>35</v>
      </c>
      <c r="AF100" s="60">
        <f t="shared" si="41"/>
        <v>33</v>
      </c>
      <c r="AG100" s="87"/>
      <c r="AH100" s="47">
        <f t="shared" si="23"/>
        <v>38.200000000000003</v>
      </c>
      <c r="AI100" s="48">
        <f t="shared" si="24"/>
        <v>0</v>
      </c>
    </row>
    <row r="101" spans="1:37" x14ac:dyDescent="0.25">
      <c r="A101" s="99" t="s">
        <v>109</v>
      </c>
      <c r="B101" s="100">
        <v>50.055999999999997</v>
      </c>
      <c r="C101" s="100">
        <v>49.994</v>
      </c>
      <c r="D101" s="100">
        <v>50.042999999999999</v>
      </c>
      <c r="E101" s="100">
        <v>50</v>
      </c>
      <c r="F101" s="100">
        <v>50</v>
      </c>
      <c r="G101" s="100">
        <v>50.021000000000001</v>
      </c>
      <c r="H101" s="100">
        <v>49.972999999999999</v>
      </c>
      <c r="I101" s="100">
        <v>50.048000000000002</v>
      </c>
      <c r="J101" s="100">
        <v>49.991</v>
      </c>
      <c r="K101" s="100">
        <v>50.002000000000002</v>
      </c>
      <c r="L101" s="100">
        <v>49.966999999999999</v>
      </c>
      <c r="M101" s="100">
        <v>49.96</v>
      </c>
      <c r="N101" s="100">
        <v>49.862000000000002</v>
      </c>
      <c r="O101" s="100">
        <v>50.094000000000001</v>
      </c>
      <c r="P101" s="100">
        <v>50.002000000000002</v>
      </c>
      <c r="Q101" s="100">
        <v>50.064999999999998</v>
      </c>
      <c r="R101" s="100">
        <v>50.064999999999998</v>
      </c>
      <c r="S101" s="100">
        <v>49.98</v>
      </c>
      <c r="T101" s="100">
        <v>50.04</v>
      </c>
      <c r="U101" s="100">
        <v>49.97</v>
      </c>
      <c r="V101" s="100">
        <v>49.98</v>
      </c>
      <c r="W101" s="100">
        <v>49.945999999999998</v>
      </c>
      <c r="X101" s="100">
        <v>49.924999999999997</v>
      </c>
      <c r="Y101" s="100">
        <v>50.008000000000003</v>
      </c>
      <c r="Z101" s="100">
        <v>50.005000000000003</v>
      </c>
      <c r="AA101" s="100">
        <v>49.966999999999999</v>
      </c>
      <c r="AB101" s="100">
        <v>50.04</v>
      </c>
      <c r="AC101" s="100">
        <v>50.02</v>
      </c>
      <c r="AD101" s="100">
        <v>49.93</v>
      </c>
      <c r="AE101" s="100">
        <v>50</v>
      </c>
      <c r="AF101" s="100">
        <v>49.98</v>
      </c>
      <c r="AG101" s="101"/>
      <c r="AH101" s="47">
        <f t="shared" si="23"/>
        <v>50.094000000000001</v>
      </c>
      <c r="AI101" s="48">
        <f t="shared" si="24"/>
        <v>49.862000000000002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23"/>
        <v>0</v>
      </c>
      <c r="AI102" s="48">
        <f t="shared" si="24"/>
        <v>0</v>
      </c>
    </row>
    <row r="103" spans="1:37" x14ac:dyDescent="0.25">
      <c r="A103" s="102" t="s">
        <v>111</v>
      </c>
      <c r="B103" s="64">
        <v>129.5</v>
      </c>
      <c r="C103" s="64">
        <v>129.5</v>
      </c>
      <c r="D103" s="64">
        <v>130.30000000000001</v>
      </c>
      <c r="E103" s="64">
        <v>131.9</v>
      </c>
      <c r="F103" s="64">
        <v>131.9</v>
      </c>
      <c r="G103" s="64">
        <v>131.19999999999999</v>
      </c>
      <c r="H103" s="64">
        <v>130.19999999999999</v>
      </c>
      <c r="I103" s="64">
        <v>127.8</v>
      </c>
      <c r="J103" s="64">
        <v>127.1</v>
      </c>
      <c r="K103" s="64">
        <v>126.9</v>
      </c>
      <c r="L103" s="64">
        <v>124.7</v>
      </c>
      <c r="M103" s="64">
        <v>124.9</v>
      </c>
      <c r="N103" s="64">
        <v>125.7</v>
      </c>
      <c r="O103" s="64">
        <v>122.3</v>
      </c>
      <c r="P103" s="64">
        <v>122.2</v>
      </c>
      <c r="Q103" s="64">
        <v>124.8</v>
      </c>
      <c r="R103" s="64">
        <v>124.8</v>
      </c>
      <c r="S103" s="64">
        <v>124.8</v>
      </c>
      <c r="T103" s="64">
        <v>124.1</v>
      </c>
      <c r="U103" s="64">
        <v>124.7</v>
      </c>
      <c r="V103" s="64">
        <v>126.5</v>
      </c>
      <c r="W103" s="64">
        <v>127.9</v>
      </c>
      <c r="X103" s="64">
        <v>128.30000000000001</v>
      </c>
      <c r="Y103" s="64">
        <v>128</v>
      </c>
      <c r="Z103" s="64">
        <v>126.2</v>
      </c>
      <c r="AA103" s="64">
        <v>125.4</v>
      </c>
      <c r="AB103" s="64">
        <v>126</v>
      </c>
      <c r="AC103" s="64">
        <v>126.9</v>
      </c>
      <c r="AD103" s="64">
        <v>126.9</v>
      </c>
      <c r="AE103" s="64">
        <v>128</v>
      </c>
      <c r="AF103" s="64">
        <v>128</v>
      </c>
      <c r="AG103" s="103"/>
      <c r="AH103" s="47">
        <f t="shared" si="23"/>
        <v>131.9</v>
      </c>
      <c r="AI103" s="48">
        <f t="shared" si="24"/>
        <v>122.2</v>
      </c>
    </row>
    <row r="104" spans="1:37" x14ac:dyDescent="0.25">
      <c r="A104" s="102" t="s">
        <v>112</v>
      </c>
      <c r="B104" s="64">
        <v>124.2</v>
      </c>
      <c r="C104" s="64">
        <v>127.1</v>
      </c>
      <c r="D104" s="64">
        <v>127.7</v>
      </c>
      <c r="E104" s="64">
        <v>129.69999999999999</v>
      </c>
      <c r="F104" s="64">
        <v>129.69999999999999</v>
      </c>
      <c r="G104" s="64">
        <v>128.9</v>
      </c>
      <c r="H104" s="64">
        <v>128.30000000000001</v>
      </c>
      <c r="I104" s="64">
        <v>129.19999999999999</v>
      </c>
      <c r="J104" s="64">
        <v>127</v>
      </c>
      <c r="K104" s="64">
        <v>128.19999999999999</v>
      </c>
      <c r="L104" s="64">
        <v>128.30000000000001</v>
      </c>
      <c r="M104" s="64">
        <v>123.7</v>
      </c>
      <c r="N104" s="64">
        <v>125.8</v>
      </c>
      <c r="O104" s="64">
        <v>127</v>
      </c>
      <c r="P104" s="64">
        <v>129.19999999999999</v>
      </c>
      <c r="Q104" s="64">
        <v>130</v>
      </c>
      <c r="R104" s="64">
        <v>130</v>
      </c>
      <c r="S104" s="64">
        <v>124</v>
      </c>
      <c r="T104" s="64">
        <v>126.4</v>
      </c>
      <c r="U104" s="64">
        <v>127.1</v>
      </c>
      <c r="V104" s="64">
        <v>128.80000000000001</v>
      </c>
      <c r="W104" s="64">
        <v>127</v>
      </c>
      <c r="X104" s="64">
        <v>129.6</v>
      </c>
      <c r="Y104" s="64">
        <v>129</v>
      </c>
      <c r="Z104" s="64">
        <v>127.1</v>
      </c>
      <c r="AA104" s="64">
        <v>124.5</v>
      </c>
      <c r="AB104" s="64">
        <v>126</v>
      </c>
      <c r="AC104" s="64">
        <v>125</v>
      </c>
      <c r="AD104" s="64">
        <v>125</v>
      </c>
      <c r="AE104" s="64">
        <v>128</v>
      </c>
      <c r="AF104" s="64">
        <v>128</v>
      </c>
      <c r="AG104" s="103"/>
      <c r="AH104" s="47">
        <f t="shared" si="23"/>
        <v>130</v>
      </c>
      <c r="AI104" s="48">
        <f t="shared" si="24"/>
        <v>123.7</v>
      </c>
    </row>
    <row r="105" spans="1:37" x14ac:dyDescent="0.25">
      <c r="A105" s="104" t="s">
        <v>113</v>
      </c>
      <c r="B105" s="64">
        <v>126.1</v>
      </c>
      <c r="C105" s="64">
        <v>128.69999999999999</v>
      </c>
      <c r="D105" s="64">
        <v>129.9</v>
      </c>
      <c r="E105" s="64">
        <v>132.1</v>
      </c>
      <c r="F105" s="64">
        <v>132.1</v>
      </c>
      <c r="G105" s="64">
        <v>131.6</v>
      </c>
      <c r="H105" s="64">
        <v>131.19999999999999</v>
      </c>
      <c r="I105" s="64">
        <v>133.30000000000001</v>
      </c>
      <c r="J105" s="64">
        <v>128.69999999999999</v>
      </c>
      <c r="K105" s="64">
        <v>129.4</v>
      </c>
      <c r="L105" s="64">
        <v>127.6</v>
      </c>
      <c r="M105" s="64">
        <v>124.3</v>
      </c>
      <c r="N105" s="64">
        <v>128.9</v>
      </c>
      <c r="O105" s="64">
        <v>126.4</v>
      </c>
      <c r="P105" s="64">
        <v>130.19999999999999</v>
      </c>
      <c r="Q105" s="64">
        <v>130.69999999999999</v>
      </c>
      <c r="R105" s="64">
        <v>130.69999999999999</v>
      </c>
      <c r="S105" s="64">
        <v>130.69999999999999</v>
      </c>
      <c r="T105" s="64">
        <v>127.3</v>
      </c>
      <c r="U105" s="64">
        <v>127</v>
      </c>
      <c r="V105" s="64">
        <v>128.80000000000001</v>
      </c>
      <c r="W105" s="64">
        <v>127.7</v>
      </c>
      <c r="X105" s="64">
        <v>130.6</v>
      </c>
      <c r="Y105" s="64">
        <v>128.5</v>
      </c>
      <c r="Z105" s="64">
        <v>128.6</v>
      </c>
      <c r="AA105" s="64">
        <v>126.8</v>
      </c>
      <c r="AB105" s="64">
        <v>128</v>
      </c>
      <c r="AC105" s="64">
        <v>127</v>
      </c>
      <c r="AD105" s="64">
        <v>127</v>
      </c>
      <c r="AE105" s="64">
        <v>130</v>
      </c>
      <c r="AF105" s="64">
        <v>130</v>
      </c>
      <c r="AG105" s="103"/>
      <c r="AH105" s="47">
        <f t="shared" si="23"/>
        <v>133.30000000000001</v>
      </c>
      <c r="AI105" s="48">
        <f t="shared" si="24"/>
        <v>124.3</v>
      </c>
    </row>
    <row r="106" spans="1:37" x14ac:dyDescent="0.25">
      <c r="A106" s="104" t="s">
        <v>114</v>
      </c>
      <c r="B106" s="105">
        <v>135.4</v>
      </c>
      <c r="C106" s="105">
        <v>133.19999999999999</v>
      </c>
      <c r="D106" s="105">
        <v>134</v>
      </c>
      <c r="E106" s="105">
        <v>134.1</v>
      </c>
      <c r="F106" s="105">
        <v>134.1</v>
      </c>
      <c r="G106" s="105">
        <v>133.5</v>
      </c>
      <c r="H106" s="105">
        <v>135.19999999999999</v>
      </c>
      <c r="I106" s="105">
        <v>134.80000000000001</v>
      </c>
      <c r="J106" s="105">
        <v>129.4</v>
      </c>
      <c r="K106" s="105">
        <v>133</v>
      </c>
      <c r="L106" s="105">
        <v>130.19999999999999</v>
      </c>
      <c r="M106" s="105">
        <v>128.9</v>
      </c>
      <c r="N106" s="105">
        <v>130.5</v>
      </c>
      <c r="O106" s="105">
        <v>130.5</v>
      </c>
      <c r="P106" s="105">
        <v>132.80000000000001</v>
      </c>
      <c r="Q106" s="105">
        <v>130.19999999999999</v>
      </c>
      <c r="R106" s="105">
        <v>130.19999999999999</v>
      </c>
      <c r="S106" s="105">
        <v>130.30000000000001</v>
      </c>
      <c r="T106" s="105">
        <v>132.9</v>
      </c>
      <c r="U106" s="105">
        <v>133.1</v>
      </c>
      <c r="V106" s="105">
        <v>132.30000000000001</v>
      </c>
      <c r="W106" s="105">
        <v>134.1</v>
      </c>
      <c r="X106" s="105">
        <v>134.19999999999999</v>
      </c>
      <c r="Y106" s="105">
        <v>134.5</v>
      </c>
      <c r="Z106" s="105">
        <v>130</v>
      </c>
      <c r="AA106" s="105">
        <v>130.80000000000001</v>
      </c>
      <c r="AB106" s="105">
        <v>129</v>
      </c>
      <c r="AC106" s="105">
        <v>133</v>
      </c>
      <c r="AD106" s="105">
        <v>133</v>
      </c>
      <c r="AE106" s="105">
        <v>132</v>
      </c>
      <c r="AF106" s="105">
        <v>132</v>
      </c>
      <c r="AG106" s="106"/>
      <c r="AH106" s="47">
        <f t="shared" si="23"/>
        <v>135.4</v>
      </c>
      <c r="AI106" s="48">
        <f t="shared" si="24"/>
        <v>128.9</v>
      </c>
    </row>
    <row r="107" spans="1:37" x14ac:dyDescent="0.25">
      <c r="A107" s="102" t="s">
        <v>115</v>
      </c>
      <c r="B107" s="64">
        <v>129.1</v>
      </c>
      <c r="C107" s="64">
        <v>130.80000000000001</v>
      </c>
      <c r="D107" s="64">
        <v>135.1</v>
      </c>
      <c r="E107" s="64">
        <v>133.69999999999999</v>
      </c>
      <c r="F107" s="64">
        <v>133.69999999999999</v>
      </c>
      <c r="G107" s="64">
        <v>135</v>
      </c>
      <c r="H107" s="64">
        <v>134.19999999999999</v>
      </c>
      <c r="I107" s="64">
        <v>129.9</v>
      </c>
      <c r="J107" s="64">
        <v>132.4</v>
      </c>
      <c r="K107" s="64">
        <v>130</v>
      </c>
      <c r="L107" s="64">
        <v>132</v>
      </c>
      <c r="M107" s="64">
        <v>128.30000000000001</v>
      </c>
      <c r="N107" s="64">
        <v>131.9</v>
      </c>
      <c r="O107" s="64">
        <v>131.9</v>
      </c>
      <c r="P107" s="64">
        <v>128</v>
      </c>
      <c r="Q107" s="64">
        <v>129.4</v>
      </c>
      <c r="R107" s="64">
        <v>129.4</v>
      </c>
      <c r="S107" s="64">
        <v>129.5</v>
      </c>
      <c r="T107" s="64">
        <v>127.2</v>
      </c>
      <c r="U107" s="64">
        <v>129.19999999999999</v>
      </c>
      <c r="V107" s="64">
        <v>137.69999999999999</v>
      </c>
      <c r="W107" s="64">
        <v>129.69999999999999</v>
      </c>
      <c r="X107" s="64">
        <v>134.1</v>
      </c>
      <c r="Y107" s="64">
        <v>136.80000000000001</v>
      </c>
      <c r="Z107" s="64">
        <v>133.9</v>
      </c>
      <c r="AA107" s="64">
        <v>128.1</v>
      </c>
      <c r="AB107" s="64">
        <v>130</v>
      </c>
      <c r="AC107" s="64">
        <v>128</v>
      </c>
      <c r="AD107" s="64">
        <v>128</v>
      </c>
      <c r="AE107" s="64">
        <v>128</v>
      </c>
      <c r="AF107" s="64">
        <v>127</v>
      </c>
      <c r="AG107" s="103"/>
      <c r="AH107" s="47">
        <f t="shared" si="23"/>
        <v>137.69999999999999</v>
      </c>
      <c r="AI107" s="48">
        <f t="shared" si="24"/>
        <v>127</v>
      </c>
    </row>
    <row r="108" spans="1:37" ht="15.75" thickBot="1" x14ac:dyDescent="0.3">
      <c r="A108" s="102" t="s">
        <v>116</v>
      </c>
      <c r="B108" s="91">
        <v>65.400000000000006</v>
      </c>
      <c r="C108" s="91">
        <v>65.3</v>
      </c>
      <c r="D108" s="91">
        <v>66.400000000000006</v>
      </c>
      <c r="E108" s="91">
        <v>66.5</v>
      </c>
      <c r="F108" s="91">
        <v>66.5</v>
      </c>
      <c r="G108" s="91">
        <v>66</v>
      </c>
      <c r="H108" s="91">
        <v>65.400000000000006</v>
      </c>
      <c r="I108" s="91">
        <v>64.400000000000006</v>
      </c>
      <c r="J108" s="91">
        <v>63.9</v>
      </c>
      <c r="K108" s="91">
        <v>64.099999999999994</v>
      </c>
      <c r="L108" s="91">
        <v>62.5</v>
      </c>
      <c r="M108" s="91">
        <v>62.8</v>
      </c>
      <c r="N108" s="91">
        <v>62.9</v>
      </c>
      <c r="O108" s="91">
        <v>62.9</v>
      </c>
      <c r="P108" s="91">
        <v>60.9</v>
      </c>
      <c r="Q108" s="91">
        <v>62.1</v>
      </c>
      <c r="R108" s="91">
        <v>62.1</v>
      </c>
      <c r="S108" s="91">
        <v>62.4</v>
      </c>
      <c r="T108" s="91">
        <v>62.1</v>
      </c>
      <c r="U108" s="91">
        <v>62.3</v>
      </c>
      <c r="V108" s="91">
        <v>63.3</v>
      </c>
      <c r="W108" s="91">
        <v>64.2</v>
      </c>
      <c r="X108" s="91">
        <v>64.3</v>
      </c>
      <c r="Y108" s="91">
        <v>64.3</v>
      </c>
      <c r="Z108" s="91">
        <v>63.8</v>
      </c>
      <c r="AA108" s="91">
        <v>62.8</v>
      </c>
      <c r="AB108" s="91">
        <v>63.9</v>
      </c>
      <c r="AC108" s="91">
        <v>64.099999999999994</v>
      </c>
      <c r="AD108" s="91">
        <v>64.099999999999994</v>
      </c>
      <c r="AE108" s="91">
        <v>64</v>
      </c>
      <c r="AF108" s="91">
        <v>64</v>
      </c>
      <c r="AG108" s="107"/>
      <c r="AH108" s="47">
        <f t="shared" si="23"/>
        <v>66.5</v>
      </c>
      <c r="AI108" s="48">
        <f t="shared" si="24"/>
        <v>60.9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23"/>
        <v>0</v>
      </c>
      <c r="AI109" s="48">
        <f t="shared" si="24"/>
        <v>0</v>
      </c>
    </row>
    <row r="110" spans="1:37" ht="15.75" thickBot="1" x14ac:dyDescent="0.3">
      <c r="A110" s="109" t="s">
        <v>118</v>
      </c>
      <c r="B110" s="110">
        <f t="shared" ref="B110:O110" si="45">SUM(B20,B26,B29:B30,B58,B60:B61,B63,B65,B111:B115,B138,B144,B150,B159,B161,B173,B180,B183:B184,B191,B193,B195,B199:B201,B203:B205,B210,B216:B217,B219:B221,B229,B234)</f>
        <v>32.899999999999991</v>
      </c>
      <c r="C110" s="110">
        <f>SUM(C20,C26,C29:C30,C58,C60:C61,C63,C65,C111:C115,C138,C144,C150,C159,C161,C173,C180,C183:C184,C191,C193,C195,C199:C201,C203:C205,C210,C216:C217,C219:C221,C229,C234)</f>
        <v>67.14</v>
      </c>
      <c r="D110" s="110">
        <f>SUM(D20,D26,D29:D30,D58,D60:D61,D63,D65,D111:D115,D138,D144,D150,D159,D161,D173,D180,D183:D184,D191,D193,D195,D199:D201,D203:D205,D210,D216:D217,D219:D221,D229,D234)</f>
        <v>43.940000000000012</v>
      </c>
      <c r="E110" s="110">
        <f t="shared" si="45"/>
        <v>36.940000000000019</v>
      </c>
      <c r="F110" s="110">
        <f t="shared" si="45"/>
        <v>38.440000000000026</v>
      </c>
      <c r="G110" s="110">
        <f t="shared" si="45"/>
        <v>56.440000000000019</v>
      </c>
      <c r="H110" s="110">
        <f t="shared" si="45"/>
        <v>83.539999999999949</v>
      </c>
      <c r="I110" s="110">
        <f t="shared" si="45"/>
        <v>106.53999999999999</v>
      </c>
      <c r="J110" s="110">
        <f t="shared" si="45"/>
        <v>131.84000000000003</v>
      </c>
      <c r="K110" s="110">
        <f t="shared" si="45"/>
        <v>178.24</v>
      </c>
      <c r="L110" s="110">
        <f t="shared" si="45"/>
        <v>205.84</v>
      </c>
      <c r="M110" s="110">
        <f t="shared" si="45"/>
        <v>201.94000000000003</v>
      </c>
      <c r="N110" s="110">
        <f t="shared" si="45"/>
        <v>183.44000000000003</v>
      </c>
      <c r="O110" s="110">
        <f t="shared" si="45"/>
        <v>160.54</v>
      </c>
      <c r="P110" s="110">
        <v>42</v>
      </c>
      <c r="Q110" s="110">
        <f t="shared" ref="Q110:AF110" si="46">SUM(Q20,Q26,Q29:Q30,Q58,Q60:Q61,Q63,Q65,Q111:Q115,Q138,Q144,Q150,Q159,Q161,Q173,Q180,Q183:Q184,Q191,Q193,Q195,Q199:Q201,Q203:Q205,Q210,Q216:Q217,Q219:Q221,Q229,Q234)</f>
        <v>193.59999999999997</v>
      </c>
      <c r="R110" s="110">
        <f t="shared" ref="R110:S110" si="47">SUM(R20,R26,R29:R30,R58,R60:R61,R63,R65,R111:R115,R138,R144,R150,R159,R161,R173,R180,R183:R184,R191,R193,R195,R199:R201,R203:R205,R210,R216:R217,R219:R221,R229,R234)</f>
        <v>190.2</v>
      </c>
      <c r="S110" s="110">
        <f t="shared" si="47"/>
        <v>208.30000000000004</v>
      </c>
      <c r="T110" s="110">
        <f t="shared" si="46"/>
        <v>191.5</v>
      </c>
      <c r="U110" s="110">
        <f t="shared" ref="U110" si="48">SUM(U20,U26,U29:U30,U58,U60:U61,U63,U65,U111:U115,U138,U144,U150,U159,U161,U173,U180,U183:U184,U191,U193,U195,U199:U201,U203:U205,U210,U216:U217,U219:U221,U229,U234)</f>
        <v>192</v>
      </c>
      <c r="V110" s="110">
        <f t="shared" si="46"/>
        <v>180.79999999999998</v>
      </c>
      <c r="W110" s="110">
        <f t="shared" si="46"/>
        <v>171.7</v>
      </c>
      <c r="X110" s="110">
        <f t="shared" si="46"/>
        <v>168.49999999999997</v>
      </c>
      <c r="Y110" s="110">
        <f t="shared" si="46"/>
        <v>192.70000000000002</v>
      </c>
      <c r="Z110" s="110">
        <f t="shared" si="46"/>
        <v>199.7</v>
      </c>
      <c r="AA110" s="110">
        <f t="shared" si="46"/>
        <v>261.8</v>
      </c>
      <c r="AB110" s="110">
        <f t="shared" si="46"/>
        <v>214.3</v>
      </c>
      <c r="AC110" s="110">
        <f t="shared" si="46"/>
        <v>201.3</v>
      </c>
      <c r="AD110" s="110"/>
      <c r="AE110" s="110">
        <f t="shared" si="46"/>
        <v>121.80000000000001</v>
      </c>
      <c r="AF110" s="110">
        <f t="shared" si="46"/>
        <v>63.300000000000011</v>
      </c>
      <c r="AG110" s="111"/>
      <c r="AH110" s="47">
        <f t="shared" si="23"/>
        <v>261.8</v>
      </c>
      <c r="AI110" s="48">
        <f t="shared" si="24"/>
        <v>32.899999999999991</v>
      </c>
    </row>
    <row r="111" spans="1:37" x14ac:dyDescent="0.25">
      <c r="A111" s="99" t="s">
        <v>119</v>
      </c>
      <c r="B111" s="112">
        <v>26.2</v>
      </c>
      <c r="C111" s="112">
        <v>31.4</v>
      </c>
      <c r="D111" s="112">
        <v>28.2</v>
      </c>
      <c r="E111" s="112">
        <v>34</v>
      </c>
      <c r="F111" s="112">
        <v>41</v>
      </c>
      <c r="G111" s="112">
        <v>38.9</v>
      </c>
      <c r="H111" s="112">
        <v>50</v>
      </c>
      <c r="I111" s="112">
        <v>59.2</v>
      </c>
      <c r="J111" s="112">
        <v>60.4</v>
      </c>
      <c r="K111" s="112">
        <v>63.8</v>
      </c>
      <c r="L111" s="112">
        <v>68.900000000000006</v>
      </c>
      <c r="M111" s="112">
        <v>70.3</v>
      </c>
      <c r="N111" s="112">
        <v>22.1</v>
      </c>
      <c r="O111" s="112">
        <v>22.1</v>
      </c>
      <c r="P111" s="112">
        <v>53.7</v>
      </c>
      <c r="Q111" s="112">
        <v>31.1</v>
      </c>
      <c r="R111" s="112">
        <v>31.1</v>
      </c>
      <c r="S111" s="112">
        <v>60.8</v>
      </c>
      <c r="T111" s="112">
        <v>52.4</v>
      </c>
      <c r="U111" s="112">
        <v>49.2</v>
      </c>
      <c r="V111" s="112">
        <v>50.4</v>
      </c>
      <c r="W111" s="112">
        <v>45.4</v>
      </c>
      <c r="X111" s="112">
        <v>55</v>
      </c>
      <c r="Y111" s="112">
        <v>51.5</v>
      </c>
      <c r="Z111" s="112">
        <v>59.8</v>
      </c>
      <c r="AA111" s="112">
        <v>59</v>
      </c>
      <c r="AB111" s="112">
        <v>73</v>
      </c>
      <c r="AC111" s="112">
        <v>95</v>
      </c>
      <c r="AD111" s="112">
        <v>98</v>
      </c>
      <c r="AE111" s="112">
        <v>72</v>
      </c>
      <c r="AF111" s="112">
        <v>69</v>
      </c>
      <c r="AG111" s="113">
        <v>75</v>
      </c>
      <c r="AH111" s="47">
        <f t="shared" si="23"/>
        <v>98</v>
      </c>
      <c r="AI111" s="48">
        <f t="shared" si="24"/>
        <v>22.1</v>
      </c>
    </row>
    <row r="112" spans="1:37" x14ac:dyDescent="0.25">
      <c r="A112" s="102" t="s">
        <v>120</v>
      </c>
      <c r="B112" s="114">
        <v>43.6</v>
      </c>
      <c r="C112" s="114">
        <v>52.3</v>
      </c>
      <c r="D112" s="114">
        <v>47.3</v>
      </c>
      <c r="E112" s="114">
        <v>53.5</v>
      </c>
      <c r="F112" s="114">
        <v>64.400000000000006</v>
      </c>
      <c r="G112" s="114">
        <v>64.400000000000006</v>
      </c>
      <c r="H112" s="114">
        <v>81.900000000000006</v>
      </c>
      <c r="I112" s="114">
        <v>92.5</v>
      </c>
      <c r="J112" s="114">
        <v>93.4</v>
      </c>
      <c r="K112" s="114">
        <v>95.9</v>
      </c>
      <c r="L112" s="114">
        <v>102.8</v>
      </c>
      <c r="M112" s="114">
        <v>106.4</v>
      </c>
      <c r="N112" s="114">
        <v>32.299999999999997</v>
      </c>
      <c r="O112" s="114">
        <v>32.299999999999997</v>
      </c>
      <c r="P112" s="114">
        <v>78.2</v>
      </c>
      <c r="Q112" s="114">
        <v>46.8</v>
      </c>
      <c r="R112" s="114">
        <v>46.8</v>
      </c>
      <c r="S112" s="114">
        <v>46.3</v>
      </c>
      <c r="T112" s="114">
        <v>76.8</v>
      </c>
      <c r="U112" s="114">
        <v>68.400000000000006</v>
      </c>
      <c r="V112" s="114">
        <v>72.900000000000006</v>
      </c>
      <c r="W112" s="114">
        <v>61.1</v>
      </c>
      <c r="X112" s="114">
        <v>76.7</v>
      </c>
      <c r="Y112" s="114">
        <v>70.900000000000006</v>
      </c>
      <c r="Z112" s="114">
        <v>86.3</v>
      </c>
      <c r="AA112" s="114">
        <v>89</v>
      </c>
      <c r="AB112" s="114">
        <v>48</v>
      </c>
      <c r="AC112" s="114">
        <v>63</v>
      </c>
      <c r="AD112" s="114">
        <v>65</v>
      </c>
      <c r="AE112" s="114">
        <v>49</v>
      </c>
      <c r="AF112" s="114">
        <v>43</v>
      </c>
      <c r="AG112" s="113">
        <v>240</v>
      </c>
      <c r="AH112" s="47">
        <f t="shared" si="23"/>
        <v>106.4</v>
      </c>
      <c r="AI112" s="48">
        <f t="shared" si="24"/>
        <v>32.299999999999997</v>
      </c>
    </row>
    <row r="113" spans="1:37" x14ac:dyDescent="0.25">
      <c r="A113" s="102" t="s">
        <v>121</v>
      </c>
      <c r="B113" s="114">
        <v>-160</v>
      </c>
      <c r="C113" s="114">
        <v>-170</v>
      </c>
      <c r="D113" s="114">
        <v>-160</v>
      </c>
      <c r="E113" s="114">
        <v>-171.7</v>
      </c>
      <c r="F113" s="114">
        <v>-184.7</v>
      </c>
      <c r="G113" s="114">
        <v>-172</v>
      </c>
      <c r="H113" s="114">
        <v>-178</v>
      </c>
      <c r="I113" s="114">
        <v>-174.3</v>
      </c>
      <c r="J113" s="114">
        <v>-165</v>
      </c>
      <c r="K113" s="114">
        <v>-146.6</v>
      </c>
      <c r="L113" s="114">
        <v>-162.6</v>
      </c>
      <c r="M113" s="114">
        <v>-175</v>
      </c>
      <c r="N113" s="114">
        <v>-40</v>
      </c>
      <c r="O113" s="114">
        <v>-40</v>
      </c>
      <c r="P113" s="114">
        <v>-105</v>
      </c>
      <c r="Q113" s="114">
        <v>-72</v>
      </c>
      <c r="R113" s="114">
        <v>-72</v>
      </c>
      <c r="S113" s="114">
        <v>-72.5</v>
      </c>
      <c r="T113" s="114">
        <v>-120</v>
      </c>
      <c r="U113" s="114">
        <v>-87.5</v>
      </c>
      <c r="V113" s="114">
        <v>-107</v>
      </c>
      <c r="W113" s="114">
        <v>-86</v>
      </c>
      <c r="X113" s="114">
        <v>-120</v>
      </c>
      <c r="Y113" s="114">
        <v>-90</v>
      </c>
      <c r="Z113" s="114">
        <v>-110</v>
      </c>
      <c r="AA113" s="114">
        <v>-96</v>
      </c>
      <c r="AB113" s="114">
        <v>-120</v>
      </c>
      <c r="AC113" s="114">
        <v>-160</v>
      </c>
      <c r="AD113" s="114">
        <v>-175</v>
      </c>
      <c r="AE113" s="114">
        <v>-160</v>
      </c>
      <c r="AF113" s="114">
        <v>-170</v>
      </c>
      <c r="AG113" s="113">
        <v>240</v>
      </c>
      <c r="AH113" s="47">
        <f t="shared" si="23"/>
        <v>-40</v>
      </c>
      <c r="AI113" s="48">
        <f t="shared" si="24"/>
        <v>-184.7</v>
      </c>
    </row>
    <row r="114" spans="1:37" x14ac:dyDescent="0.25">
      <c r="A114" s="102" t="s">
        <v>122</v>
      </c>
      <c r="B114" s="114">
        <v>-12.2</v>
      </c>
      <c r="C114" s="114">
        <v>16.7</v>
      </c>
      <c r="D114" s="114">
        <v>-9.5</v>
      </c>
      <c r="E114" s="114">
        <v>-10.3</v>
      </c>
      <c r="F114" s="114">
        <v>-12.7</v>
      </c>
      <c r="G114" s="114">
        <v>-11.2</v>
      </c>
      <c r="H114" s="114">
        <v>-10.9</v>
      </c>
      <c r="I114" s="114">
        <v>-9.6</v>
      </c>
      <c r="J114" s="114">
        <v>-0.8</v>
      </c>
      <c r="K114" s="114">
        <v>-4.5</v>
      </c>
      <c r="L114" s="114">
        <v>-6.5</v>
      </c>
      <c r="M114" s="114">
        <v>-3.5</v>
      </c>
      <c r="N114" s="114">
        <v>10.9</v>
      </c>
      <c r="O114" s="114">
        <v>10.9</v>
      </c>
      <c r="P114" s="114">
        <v>6.3</v>
      </c>
      <c r="Q114" s="114">
        <v>10.3</v>
      </c>
      <c r="R114" s="114">
        <v>10.3</v>
      </c>
      <c r="S114" s="114">
        <v>9.9</v>
      </c>
      <c r="T114" s="114">
        <v>6</v>
      </c>
      <c r="U114" s="114">
        <v>6.9</v>
      </c>
      <c r="V114" s="114">
        <v>4.0999999999999996</v>
      </c>
      <c r="W114" s="114">
        <v>5.3</v>
      </c>
      <c r="X114" s="114">
        <v>3</v>
      </c>
      <c r="Y114" s="114">
        <v>6.5</v>
      </c>
      <c r="Z114" s="114">
        <v>5.3</v>
      </c>
      <c r="AA114" s="114">
        <v>6.5</v>
      </c>
      <c r="AB114" s="114">
        <v>5</v>
      </c>
      <c r="AC114" s="114">
        <v>-3</v>
      </c>
      <c r="AD114" s="114">
        <v>-7</v>
      </c>
      <c r="AE114" s="114">
        <v>-6.5</v>
      </c>
      <c r="AF114" s="114">
        <v>-9</v>
      </c>
      <c r="AG114" s="113">
        <v>60</v>
      </c>
      <c r="AH114" s="47">
        <f t="shared" si="23"/>
        <v>16.7</v>
      </c>
      <c r="AI114" s="48">
        <f t="shared" si="24"/>
        <v>-12.7</v>
      </c>
    </row>
    <row r="115" spans="1:37" x14ac:dyDescent="0.25">
      <c r="A115" s="115" t="s">
        <v>123</v>
      </c>
      <c r="B115" s="116">
        <v>16</v>
      </c>
      <c r="C115" s="116">
        <v>11.5</v>
      </c>
      <c r="D115" s="116">
        <v>12.7</v>
      </c>
      <c r="E115" s="116">
        <v>6.2</v>
      </c>
      <c r="F115" s="116">
        <v>5.2</v>
      </c>
      <c r="G115" s="116">
        <v>5.0999999999999996</v>
      </c>
      <c r="H115" s="116">
        <v>8.1999999999999993</v>
      </c>
      <c r="I115" s="116">
        <v>8.5</v>
      </c>
      <c r="J115" s="116">
        <v>13.6</v>
      </c>
      <c r="K115" s="116">
        <v>24.4</v>
      </c>
      <c r="L115" s="116">
        <v>58</v>
      </c>
      <c r="M115" s="116">
        <v>56.9</v>
      </c>
      <c r="N115" s="116">
        <v>24.8</v>
      </c>
      <c r="O115" s="116">
        <v>24.8</v>
      </c>
      <c r="P115" s="116">
        <v>33.799999999999997</v>
      </c>
      <c r="Q115" s="116">
        <v>35.700000000000003</v>
      </c>
      <c r="R115" s="116">
        <v>35.700000000000003</v>
      </c>
      <c r="S115" s="116">
        <v>36</v>
      </c>
      <c r="T115" s="116">
        <v>41</v>
      </c>
      <c r="U115" s="116">
        <v>34.6</v>
      </c>
      <c r="V115" s="116">
        <v>35</v>
      </c>
      <c r="W115" s="116">
        <v>34.299999999999997</v>
      </c>
      <c r="X115" s="116">
        <v>34.1</v>
      </c>
      <c r="Y115" s="116">
        <v>34.5</v>
      </c>
      <c r="Z115" s="116">
        <v>39</v>
      </c>
      <c r="AA115" s="116">
        <v>60</v>
      </c>
      <c r="AB115" s="116">
        <v>65</v>
      </c>
      <c r="AC115" s="116">
        <v>63</v>
      </c>
      <c r="AD115" s="116">
        <v>63</v>
      </c>
      <c r="AE115" s="116">
        <v>39</v>
      </c>
      <c r="AF115" s="116">
        <v>2</v>
      </c>
      <c r="AG115" s="117">
        <v>120</v>
      </c>
      <c r="AH115" s="47">
        <f t="shared" si="23"/>
        <v>65</v>
      </c>
      <c r="AI115" s="48">
        <f t="shared" si="24"/>
        <v>2</v>
      </c>
    </row>
    <row r="116" spans="1:37" x14ac:dyDescent="0.25">
      <c r="A116" s="115" t="s">
        <v>124</v>
      </c>
      <c r="B116" s="116">
        <v>41.9</v>
      </c>
      <c r="C116" s="116">
        <v>-11.5</v>
      </c>
      <c r="D116" s="116">
        <v>-4.5999999999999996</v>
      </c>
      <c r="E116" s="116">
        <v>-3.9</v>
      </c>
      <c r="F116" s="116">
        <v>-0.7</v>
      </c>
      <c r="G116" s="116">
        <v>-2.6</v>
      </c>
      <c r="H116" s="116">
        <v>-4</v>
      </c>
      <c r="I116" s="116">
        <v>-3.1</v>
      </c>
      <c r="J116" s="116">
        <v>12</v>
      </c>
      <c r="K116" s="116">
        <v>21.2</v>
      </c>
      <c r="L116" s="116">
        <v>11.6</v>
      </c>
      <c r="M116" s="116">
        <v>11.6</v>
      </c>
      <c r="N116" s="116">
        <v>89.7</v>
      </c>
      <c r="O116" s="116">
        <v>89.7</v>
      </c>
      <c r="P116" s="116">
        <v>60</v>
      </c>
      <c r="Q116" s="116">
        <v>69.400000000000006</v>
      </c>
      <c r="R116" s="116">
        <v>69.400000000000006</v>
      </c>
      <c r="S116" s="116">
        <v>71.2</v>
      </c>
      <c r="T116" s="116">
        <v>49.1</v>
      </c>
      <c r="U116" s="116">
        <v>87.4</v>
      </c>
      <c r="V116" s="116">
        <v>53.4</v>
      </c>
      <c r="W116" s="116"/>
      <c r="X116" s="116"/>
      <c r="Y116" s="116"/>
      <c r="Z116" s="116">
        <v>55</v>
      </c>
      <c r="AA116" s="116">
        <v>75</v>
      </c>
      <c r="AB116" s="116">
        <v>74</v>
      </c>
      <c r="AC116" s="116">
        <v>48</v>
      </c>
      <c r="AD116" s="116">
        <v>44</v>
      </c>
      <c r="AE116" s="116"/>
      <c r="AF116" s="116"/>
      <c r="AG116" s="117"/>
      <c r="AH116" s="47">
        <f t="shared" si="23"/>
        <v>89.7</v>
      </c>
      <c r="AI116" s="48">
        <f t="shared" si="24"/>
        <v>-11.5</v>
      </c>
    </row>
    <row r="117" spans="1:37" x14ac:dyDescent="0.25">
      <c r="A117" s="115" t="s">
        <v>125</v>
      </c>
      <c r="B117" s="116">
        <v>25.9</v>
      </c>
      <c r="C117" s="116">
        <v>29.2</v>
      </c>
      <c r="D117" s="116">
        <v>26.9</v>
      </c>
      <c r="E117" s="116">
        <v>14.8</v>
      </c>
      <c r="F117" s="116">
        <v>11.4</v>
      </c>
      <c r="G117" s="116">
        <v>37.4</v>
      </c>
      <c r="H117" s="116">
        <v>35.799999999999997</v>
      </c>
      <c r="I117" s="116">
        <v>15.3</v>
      </c>
      <c r="J117" s="116">
        <v>16.3</v>
      </c>
      <c r="K117" s="116">
        <v>21.7</v>
      </c>
      <c r="L117" s="116">
        <v>14.5</v>
      </c>
      <c r="M117" s="116">
        <v>14.5</v>
      </c>
      <c r="N117" s="116">
        <v>32</v>
      </c>
      <c r="O117" s="116">
        <v>32</v>
      </c>
      <c r="P117" s="116">
        <v>21.6</v>
      </c>
      <c r="Q117" s="116">
        <v>27.3</v>
      </c>
      <c r="R117" s="116">
        <v>27.3</v>
      </c>
      <c r="S117" s="116">
        <v>19.8</v>
      </c>
      <c r="T117" s="116">
        <v>4.5</v>
      </c>
      <c r="U117" s="116">
        <v>6.7</v>
      </c>
      <c r="V117" s="116">
        <v>8.6999999999999993</v>
      </c>
      <c r="W117" s="116">
        <v>-1.1000000000000001</v>
      </c>
      <c r="X117" s="116">
        <v>-19</v>
      </c>
      <c r="Y117" s="116">
        <v>-16</v>
      </c>
      <c r="Z117" s="116">
        <v>3.5</v>
      </c>
      <c r="AA117" s="116">
        <v>24</v>
      </c>
      <c r="AB117" s="116">
        <v>55</v>
      </c>
      <c r="AC117" s="116">
        <v>19</v>
      </c>
      <c r="AD117" s="116">
        <v>15</v>
      </c>
      <c r="AE117" s="116">
        <v>31</v>
      </c>
      <c r="AF117" s="116">
        <v>23</v>
      </c>
      <c r="AG117" s="118"/>
      <c r="AH117" s="47">
        <f t="shared" si="23"/>
        <v>55</v>
      </c>
      <c r="AI117" s="48">
        <f t="shared" si="24"/>
        <v>-19</v>
      </c>
    </row>
    <row r="118" spans="1:37" x14ac:dyDescent="0.25">
      <c r="A118" s="119" t="s">
        <v>126</v>
      </c>
      <c r="B118" s="105">
        <v>23.5</v>
      </c>
      <c r="C118" s="105">
        <v>23.8</v>
      </c>
      <c r="D118" s="105">
        <v>26.3</v>
      </c>
      <c r="E118" s="105">
        <v>31.8</v>
      </c>
      <c r="F118" s="105">
        <v>34</v>
      </c>
      <c r="G118" s="105">
        <v>34.4</v>
      </c>
      <c r="H118" s="105">
        <v>38.4</v>
      </c>
      <c r="I118" s="105">
        <v>51.1</v>
      </c>
      <c r="J118" s="105">
        <v>31</v>
      </c>
      <c r="K118" s="105">
        <v>29.4</v>
      </c>
      <c r="L118" s="105">
        <v>31.9</v>
      </c>
      <c r="M118" s="105">
        <v>31.9</v>
      </c>
      <c r="N118" s="105">
        <v>29.9</v>
      </c>
      <c r="O118" s="105">
        <v>29.9</v>
      </c>
      <c r="P118" s="105">
        <v>36.6</v>
      </c>
      <c r="Q118" s="105">
        <v>28.6</v>
      </c>
      <c r="R118" s="105">
        <v>28.6</v>
      </c>
      <c r="S118" s="105">
        <v>3.7</v>
      </c>
      <c r="T118" s="105">
        <v>26</v>
      </c>
      <c r="U118" s="105">
        <v>20.5</v>
      </c>
      <c r="V118" s="105">
        <v>24.6</v>
      </c>
      <c r="W118" s="105">
        <v>23.1</v>
      </c>
      <c r="X118" s="105">
        <v>29.4</v>
      </c>
      <c r="Y118" s="105">
        <v>25</v>
      </c>
      <c r="Z118" s="105">
        <v>15</v>
      </c>
      <c r="AA118" s="105">
        <v>16</v>
      </c>
      <c r="AB118" s="105">
        <v>21.6</v>
      </c>
      <c r="AC118" s="105">
        <v>19</v>
      </c>
      <c r="AD118" s="105">
        <v>19</v>
      </c>
      <c r="AE118" s="105">
        <v>21</v>
      </c>
      <c r="AF118" s="105">
        <v>27</v>
      </c>
      <c r="AG118" s="118"/>
      <c r="AH118" s="47">
        <f t="shared" si="23"/>
        <v>51.1</v>
      </c>
      <c r="AI118" s="48">
        <f t="shared" si="24"/>
        <v>3.7</v>
      </c>
    </row>
    <row r="119" spans="1:37" x14ac:dyDescent="0.25">
      <c r="A119" s="120" t="s">
        <v>127</v>
      </c>
      <c r="B119" s="105">
        <v>81.7</v>
      </c>
      <c r="C119" s="105">
        <v>87</v>
      </c>
      <c r="D119" s="105">
        <v>84.6</v>
      </c>
      <c r="E119" s="105">
        <v>92</v>
      </c>
      <c r="F119" s="105">
        <v>96.3</v>
      </c>
      <c r="G119" s="105">
        <v>90.2</v>
      </c>
      <c r="H119" s="105">
        <v>93</v>
      </c>
      <c r="I119" s="105">
        <v>91</v>
      </c>
      <c r="J119" s="105">
        <v>79</v>
      </c>
      <c r="K119" s="105">
        <v>72.2</v>
      </c>
      <c r="L119" s="105">
        <v>81.099999999999994</v>
      </c>
      <c r="M119" s="105">
        <v>81.099999999999994</v>
      </c>
      <c r="N119" s="105">
        <v>14.2</v>
      </c>
      <c r="O119" s="105">
        <v>14.2</v>
      </c>
      <c r="P119" s="105">
        <v>83.7</v>
      </c>
      <c r="Q119" s="105">
        <v>76</v>
      </c>
      <c r="R119" s="105">
        <v>76</v>
      </c>
      <c r="S119" s="105">
        <v>82.2</v>
      </c>
      <c r="T119" s="105">
        <v>93</v>
      </c>
      <c r="U119" s="105">
        <v>55.2</v>
      </c>
      <c r="V119" s="105">
        <v>81.400000000000006</v>
      </c>
      <c r="W119" s="105">
        <v>66</v>
      </c>
      <c r="X119" s="105">
        <v>94.2</v>
      </c>
      <c r="Y119" s="105">
        <v>77</v>
      </c>
      <c r="Z119" s="105">
        <v>85</v>
      </c>
      <c r="AA119" s="105">
        <v>39</v>
      </c>
      <c r="AB119" s="105">
        <v>53</v>
      </c>
      <c r="AC119" s="105">
        <v>75</v>
      </c>
      <c r="AD119" s="105">
        <v>85</v>
      </c>
      <c r="AE119" s="105">
        <v>80</v>
      </c>
      <c r="AF119" s="105">
        <v>83</v>
      </c>
      <c r="AG119" s="118"/>
      <c r="AH119" s="47">
        <f t="shared" si="23"/>
        <v>96.3</v>
      </c>
      <c r="AI119" s="48">
        <f t="shared" si="24"/>
        <v>14.2</v>
      </c>
    </row>
    <row r="120" spans="1:37" ht="15.75" thickBot="1" x14ac:dyDescent="0.3">
      <c r="A120" s="119" t="s">
        <v>128</v>
      </c>
      <c r="B120" s="105">
        <v>58.3</v>
      </c>
      <c r="C120" s="105">
        <v>58.8</v>
      </c>
      <c r="D120" s="105">
        <v>67.5</v>
      </c>
      <c r="E120" s="105">
        <v>55.2</v>
      </c>
      <c r="F120" s="105">
        <v>42</v>
      </c>
      <c r="G120" s="105">
        <v>38.200000000000003</v>
      </c>
      <c r="H120" s="105">
        <v>30.3</v>
      </c>
      <c r="I120" s="105">
        <v>24.74</v>
      </c>
      <c r="J120" s="105">
        <v>37.5</v>
      </c>
      <c r="K120" s="105">
        <v>35.5</v>
      </c>
      <c r="L120" s="105">
        <v>34.5</v>
      </c>
      <c r="M120" s="105">
        <v>34.5</v>
      </c>
      <c r="N120" s="105">
        <v>21.3</v>
      </c>
      <c r="O120" s="105">
        <v>21.3</v>
      </c>
      <c r="P120" s="105">
        <v>0.9</v>
      </c>
      <c r="Q120" s="105">
        <v>6.4</v>
      </c>
      <c r="R120" s="105">
        <v>6.4</v>
      </c>
      <c r="S120" s="105">
        <v>41.45</v>
      </c>
      <c r="T120" s="105">
        <v>40</v>
      </c>
      <c r="U120" s="105">
        <v>33.299999999999997</v>
      </c>
      <c r="V120" s="105">
        <v>36.299999999999997</v>
      </c>
      <c r="W120" s="105">
        <v>35</v>
      </c>
      <c r="X120" s="105">
        <v>21</v>
      </c>
      <c r="Y120" s="105">
        <v>33</v>
      </c>
      <c r="Z120" s="105">
        <v>39</v>
      </c>
      <c r="AA120" s="105">
        <v>52</v>
      </c>
      <c r="AB120" s="105">
        <v>50</v>
      </c>
      <c r="AC120" s="105">
        <v>54</v>
      </c>
      <c r="AD120" s="105">
        <v>51</v>
      </c>
      <c r="AE120" s="105">
        <v>45</v>
      </c>
      <c r="AF120" s="105">
        <v>43</v>
      </c>
      <c r="AG120" s="118"/>
      <c r="AH120" s="47">
        <f t="shared" si="23"/>
        <v>67.5</v>
      </c>
      <c r="AI120" s="48">
        <f t="shared" si="24"/>
        <v>0.9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49">SUM(B122:B226)</f>
        <v>0</v>
      </c>
      <c r="C227" s="136">
        <f t="shared" si="49"/>
        <v>0</v>
      </c>
      <c r="D227" s="136">
        <f t="shared" si="49"/>
        <v>0</v>
      </c>
      <c r="E227" s="136">
        <f t="shared" si="49"/>
        <v>0</v>
      </c>
      <c r="F227" s="136">
        <f t="shared" si="49"/>
        <v>0</v>
      </c>
      <c r="G227" s="136">
        <f t="shared" si="49"/>
        <v>0</v>
      </c>
      <c r="H227" s="136">
        <f t="shared" si="49"/>
        <v>0</v>
      </c>
      <c r="I227" s="136">
        <f t="shared" si="49"/>
        <v>0</v>
      </c>
      <c r="J227" s="136">
        <f t="shared" si="49"/>
        <v>0</v>
      </c>
      <c r="K227" s="136">
        <f t="shared" si="49"/>
        <v>0</v>
      </c>
      <c r="L227" s="136">
        <f t="shared" si="49"/>
        <v>0</v>
      </c>
      <c r="M227" s="136">
        <f t="shared" si="49"/>
        <v>0</v>
      </c>
      <c r="N227" s="136">
        <f t="shared" si="49"/>
        <v>0</v>
      </c>
      <c r="O227" s="136">
        <f t="shared" si="49"/>
        <v>0</v>
      </c>
      <c r="P227" s="136">
        <f t="shared" si="49"/>
        <v>0</v>
      </c>
      <c r="Q227" s="136">
        <f t="shared" si="49"/>
        <v>0</v>
      </c>
      <c r="R227" s="136">
        <f t="shared" si="49"/>
        <v>0</v>
      </c>
      <c r="S227" s="136">
        <f t="shared" si="49"/>
        <v>0</v>
      </c>
      <c r="T227" s="136">
        <f t="shared" si="49"/>
        <v>0</v>
      </c>
      <c r="U227" s="136">
        <f t="shared" si="49"/>
        <v>0</v>
      </c>
      <c r="V227" s="136">
        <f t="shared" si="49"/>
        <v>0</v>
      </c>
      <c r="W227" s="136">
        <f t="shared" si="49"/>
        <v>0</v>
      </c>
      <c r="X227" s="136">
        <f t="shared" si="49"/>
        <v>0</v>
      </c>
      <c r="Y227" s="136">
        <f t="shared" si="49"/>
        <v>0</v>
      </c>
      <c r="Z227" s="136">
        <f t="shared" si="49"/>
        <v>0</v>
      </c>
      <c r="AA227" s="136">
        <f t="shared" si="49"/>
        <v>0</v>
      </c>
      <c r="AB227" s="136">
        <f t="shared" si="49"/>
        <v>0</v>
      </c>
      <c r="AC227" s="136">
        <f t="shared" si="49"/>
        <v>0</v>
      </c>
      <c r="AD227" s="136">
        <f t="shared" si="49"/>
        <v>0</v>
      </c>
      <c r="AE227" s="136">
        <f t="shared" si="49"/>
        <v>0</v>
      </c>
      <c r="AF227" s="137">
        <f t="shared" si="49"/>
        <v>0</v>
      </c>
      <c r="AG227" s="138">
        <f t="shared" si="49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50">AF229</f>
        <v>0</v>
      </c>
      <c r="C229" s="140">
        <v>0.3</v>
      </c>
      <c r="D229" s="140">
        <f t="shared" ref="D229:P234" si="51">C229</f>
        <v>0.3</v>
      </c>
      <c r="E229" s="140">
        <f t="shared" si="51"/>
        <v>0.3</v>
      </c>
      <c r="F229" s="140">
        <f t="shared" si="51"/>
        <v>0.3</v>
      </c>
      <c r="G229" s="140">
        <f t="shared" si="51"/>
        <v>0.3</v>
      </c>
      <c r="H229" s="140">
        <f t="shared" si="51"/>
        <v>0.3</v>
      </c>
      <c r="I229" s="140">
        <f t="shared" si="51"/>
        <v>0.3</v>
      </c>
      <c r="J229" s="140">
        <f t="shared" si="51"/>
        <v>0.3</v>
      </c>
      <c r="K229" s="140">
        <f t="shared" si="51"/>
        <v>0.3</v>
      </c>
      <c r="L229" s="140">
        <f t="shared" si="51"/>
        <v>0.3</v>
      </c>
      <c r="M229" s="140">
        <f t="shared" si="51"/>
        <v>0.3</v>
      </c>
      <c r="N229" s="140">
        <f t="shared" si="51"/>
        <v>0.3</v>
      </c>
      <c r="O229" s="140">
        <f t="shared" si="51"/>
        <v>0.3</v>
      </c>
      <c r="P229" s="140">
        <f t="shared" si="51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50"/>
        <v>0</v>
      </c>
      <c r="C230" s="128">
        <v>0.4</v>
      </c>
      <c r="D230" s="128">
        <f t="shared" si="51"/>
        <v>0.4</v>
      </c>
      <c r="E230" s="128">
        <f t="shared" si="51"/>
        <v>0.4</v>
      </c>
      <c r="F230" s="128">
        <f t="shared" si="51"/>
        <v>0.4</v>
      </c>
      <c r="G230" s="128">
        <f t="shared" si="51"/>
        <v>0.4</v>
      </c>
      <c r="H230" s="128">
        <f t="shared" si="51"/>
        <v>0.4</v>
      </c>
      <c r="I230" s="128">
        <f t="shared" si="51"/>
        <v>0.4</v>
      </c>
      <c r="J230" s="128">
        <f t="shared" si="51"/>
        <v>0.4</v>
      </c>
      <c r="K230" s="128">
        <f t="shared" si="51"/>
        <v>0.4</v>
      </c>
      <c r="L230" s="128">
        <f t="shared" si="51"/>
        <v>0.4</v>
      </c>
      <c r="M230" s="128">
        <f t="shared" si="51"/>
        <v>0.4</v>
      </c>
      <c r="N230" s="128">
        <f t="shared" si="51"/>
        <v>0.4</v>
      </c>
      <c r="O230" s="128">
        <f t="shared" si="51"/>
        <v>0.4</v>
      </c>
      <c r="P230" s="128">
        <f t="shared" si="51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50"/>
        <v>0</v>
      </c>
      <c r="C231" s="128">
        <v>1.5</v>
      </c>
      <c r="D231" s="128">
        <f t="shared" si="51"/>
        <v>1.5</v>
      </c>
      <c r="E231" s="128">
        <f t="shared" si="51"/>
        <v>1.5</v>
      </c>
      <c r="F231" s="128">
        <f t="shared" si="51"/>
        <v>1.5</v>
      </c>
      <c r="G231" s="128">
        <f t="shared" si="51"/>
        <v>1.5</v>
      </c>
      <c r="H231" s="128">
        <f t="shared" si="51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51"/>
        <v>123.21900000000009</v>
      </c>
      <c r="K231" s="128">
        <f t="shared" ca="1" si="51"/>
        <v>123.21900000000009</v>
      </c>
      <c r="L231" s="128">
        <f t="shared" ca="1" si="51"/>
        <v>123.21900000000009</v>
      </c>
      <c r="M231" s="128">
        <f t="shared" ca="1" si="51"/>
        <v>119.19900000000008</v>
      </c>
      <c r="N231" s="128">
        <f t="shared" ca="1" si="51"/>
        <v>119.19900000000008</v>
      </c>
      <c r="O231" s="128">
        <f t="shared" ca="1" si="51"/>
        <v>119.19900000000008</v>
      </c>
      <c r="P231" s="128">
        <f t="shared" ca="1" si="51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50"/>
        <v>0</v>
      </c>
      <c r="C232" s="128">
        <v>0.3</v>
      </c>
      <c r="D232" s="128">
        <f t="shared" si="51"/>
        <v>0.3</v>
      </c>
      <c r="E232" s="128">
        <f t="shared" si="51"/>
        <v>0.3</v>
      </c>
      <c r="F232" s="128">
        <f t="shared" si="51"/>
        <v>0.3</v>
      </c>
      <c r="G232" s="128">
        <f t="shared" si="51"/>
        <v>0.3</v>
      </c>
      <c r="H232" s="128">
        <f t="shared" si="51"/>
        <v>0.3</v>
      </c>
      <c r="I232" s="128">
        <f t="shared" si="51"/>
        <v>0.3</v>
      </c>
      <c r="J232" s="128">
        <f t="shared" si="51"/>
        <v>0.3</v>
      </c>
      <c r="K232" s="128">
        <f t="shared" si="51"/>
        <v>0.3</v>
      </c>
      <c r="L232" s="128">
        <f t="shared" si="51"/>
        <v>0.3</v>
      </c>
      <c r="M232" s="128">
        <f t="shared" si="51"/>
        <v>0.3</v>
      </c>
      <c r="N232" s="128">
        <f t="shared" si="51"/>
        <v>0.3</v>
      </c>
      <c r="O232" s="128">
        <f t="shared" si="51"/>
        <v>0.3</v>
      </c>
      <c r="P232" s="128">
        <f t="shared" si="51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50"/>
        <v>0</v>
      </c>
      <c r="C233" s="128">
        <v>0.4</v>
      </c>
      <c r="D233" s="128">
        <f t="shared" si="51"/>
        <v>0.4</v>
      </c>
      <c r="E233" s="128">
        <f t="shared" si="51"/>
        <v>0.4</v>
      </c>
      <c r="F233" s="128">
        <f t="shared" si="51"/>
        <v>0.4</v>
      </c>
      <c r="G233" s="128">
        <f t="shared" si="51"/>
        <v>0.4</v>
      </c>
      <c r="H233" s="128">
        <f t="shared" si="51"/>
        <v>0.4</v>
      </c>
      <c r="I233" s="128">
        <f t="shared" si="51"/>
        <v>0.4</v>
      </c>
      <c r="J233" s="128">
        <f t="shared" si="51"/>
        <v>0.4</v>
      </c>
      <c r="K233" s="128">
        <f t="shared" si="51"/>
        <v>0.4</v>
      </c>
      <c r="L233" s="128">
        <f t="shared" si="51"/>
        <v>0.4</v>
      </c>
      <c r="M233" s="128">
        <f t="shared" si="51"/>
        <v>0.4</v>
      </c>
      <c r="N233" s="128">
        <f t="shared" si="51"/>
        <v>0.4</v>
      </c>
      <c r="O233" s="128">
        <f t="shared" si="51"/>
        <v>0.4</v>
      </c>
      <c r="P233" s="128">
        <f t="shared" si="51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50"/>
        <v>0</v>
      </c>
      <c r="C234" s="132">
        <v>0.64</v>
      </c>
      <c r="D234" s="132">
        <f t="shared" si="51"/>
        <v>0.64</v>
      </c>
      <c r="E234" s="132">
        <f t="shared" si="51"/>
        <v>0.64</v>
      </c>
      <c r="F234" s="132">
        <f t="shared" si="51"/>
        <v>0.64</v>
      </c>
      <c r="G234" s="132">
        <f t="shared" si="51"/>
        <v>0.64</v>
      </c>
      <c r="H234" s="132">
        <f t="shared" si="51"/>
        <v>0.64</v>
      </c>
      <c r="I234" s="132">
        <f t="shared" si="51"/>
        <v>0.64</v>
      </c>
      <c r="J234" s="132">
        <f t="shared" si="51"/>
        <v>0.64</v>
      </c>
      <c r="K234" s="132">
        <f t="shared" si="51"/>
        <v>0.64</v>
      </c>
      <c r="L234" s="132">
        <f t="shared" si="51"/>
        <v>0.64</v>
      </c>
      <c r="M234" s="132">
        <f t="shared" si="51"/>
        <v>0.64</v>
      </c>
      <c r="N234" s="132">
        <f t="shared" si="51"/>
        <v>0.64</v>
      </c>
      <c r="O234" s="132">
        <f t="shared" si="51"/>
        <v>0.64</v>
      </c>
      <c r="P234" s="132">
        <f t="shared" si="51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52">SUM(B229:B234)</f>
        <v>0</v>
      </c>
      <c r="C235" s="136">
        <f t="shared" si="52"/>
        <v>3.54</v>
      </c>
      <c r="D235" s="136">
        <f t="shared" si="52"/>
        <v>3.54</v>
      </c>
      <c r="E235" s="136">
        <f t="shared" si="52"/>
        <v>3.54</v>
      </c>
      <c r="F235" s="136">
        <f t="shared" si="52"/>
        <v>3.54</v>
      </c>
      <c r="G235" s="136">
        <f t="shared" si="52"/>
        <v>3.54</v>
      </c>
      <c r="H235" s="136">
        <f t="shared" si="52"/>
        <v>3.54</v>
      </c>
      <c r="I235" s="136">
        <f t="shared" ca="1" si="52"/>
        <v>121.23900000000009</v>
      </c>
      <c r="J235" s="136">
        <f t="shared" ca="1" si="52"/>
        <v>121.23900000000009</v>
      </c>
      <c r="K235" s="136">
        <f t="shared" ca="1" si="52"/>
        <v>121.23900000000009</v>
      </c>
      <c r="L235" s="136">
        <f t="shared" ca="1" si="52"/>
        <v>125.2590000000001</v>
      </c>
      <c r="M235" s="136">
        <f t="shared" ca="1" si="52"/>
        <v>121.23900000000009</v>
      </c>
      <c r="N235" s="136">
        <f t="shared" ca="1" si="52"/>
        <v>121.23900000000009</v>
      </c>
      <c r="O235" s="136">
        <f t="shared" ca="1" si="52"/>
        <v>121.23900000000009</v>
      </c>
      <c r="P235" s="136">
        <f t="shared" ca="1" si="52"/>
        <v>121.23900000000009</v>
      </c>
      <c r="Q235" s="136">
        <f t="shared" si="52"/>
        <v>0</v>
      </c>
      <c r="R235" s="136">
        <f t="shared" si="52"/>
        <v>0</v>
      </c>
      <c r="S235" s="136">
        <f t="shared" si="52"/>
        <v>0</v>
      </c>
      <c r="T235" s="136">
        <f t="shared" si="52"/>
        <v>0</v>
      </c>
      <c r="U235" s="136">
        <f t="shared" si="52"/>
        <v>0</v>
      </c>
      <c r="V235" s="136">
        <f t="shared" si="52"/>
        <v>0</v>
      </c>
      <c r="W235" s="136">
        <f t="shared" si="52"/>
        <v>0</v>
      </c>
      <c r="X235" s="136">
        <f t="shared" si="52"/>
        <v>0</v>
      </c>
      <c r="Y235" s="136">
        <f t="shared" si="52"/>
        <v>0</v>
      </c>
      <c r="Z235" s="136">
        <f t="shared" si="52"/>
        <v>0</v>
      </c>
      <c r="AA235" s="136">
        <f t="shared" si="52"/>
        <v>0</v>
      </c>
      <c r="AB235" s="136">
        <f t="shared" si="52"/>
        <v>0</v>
      </c>
      <c r="AC235" s="136">
        <f t="shared" si="52"/>
        <v>0</v>
      </c>
      <c r="AD235" s="136">
        <f t="shared" si="52"/>
        <v>0</v>
      </c>
      <c r="AE235" s="136">
        <f t="shared" si="52"/>
        <v>0</v>
      </c>
      <c r="AF235" s="136">
        <f t="shared" si="52"/>
        <v>0</v>
      </c>
      <c r="AG235" s="145">
        <f t="shared" si="5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1994.0400000000002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17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2080/04/17)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2080/04/17)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53">B91</f>
        <v>1812.94</v>
      </c>
      <c r="U249" s="170">
        <f t="shared" si="53"/>
        <v>1830.94</v>
      </c>
      <c r="V249" s="170">
        <f t="shared" si="53"/>
        <v>1807.74</v>
      </c>
      <c r="W249" s="170">
        <f t="shared" si="53"/>
        <v>1755.0400000000002</v>
      </c>
      <c r="X249" s="170">
        <f t="shared" si="53"/>
        <v>1806.5400000000002</v>
      </c>
      <c r="Y249" s="170">
        <f t="shared" si="53"/>
        <v>1820.64</v>
      </c>
      <c r="Z249" s="170">
        <f t="shared" si="53"/>
        <v>1822.9399999999998</v>
      </c>
      <c r="AA249" s="170">
        <f t="shared" si="53"/>
        <v>1812.64</v>
      </c>
      <c r="AB249" s="170">
        <f t="shared" si="53"/>
        <v>1840.64</v>
      </c>
      <c r="AC249" s="170">
        <f t="shared" si="53"/>
        <v>1857.64</v>
      </c>
      <c r="AD249" s="170">
        <f t="shared" si="53"/>
        <v>1872.74</v>
      </c>
      <c r="AE249" s="170">
        <f t="shared" si="53"/>
        <v>1875.6400000000003</v>
      </c>
      <c r="AF249" s="170">
        <f t="shared" si="53"/>
        <v>1994.0400000000002</v>
      </c>
      <c r="AG249" s="170">
        <f t="shared" si="53"/>
        <v>1975.3400000000001</v>
      </c>
      <c r="AH249" s="170">
        <f t="shared" si="53"/>
        <v>2006.54</v>
      </c>
      <c r="AI249" s="170">
        <f t="shared" si="53"/>
        <v>1969.8400000000001</v>
      </c>
      <c r="AJ249" s="170">
        <f t="shared" si="53"/>
        <v>1972.94</v>
      </c>
      <c r="AK249" s="170">
        <f t="shared" si="53"/>
        <v>1999.0400000000002</v>
      </c>
      <c r="AL249" s="170">
        <f t="shared" si="53"/>
        <v>1958.8400000000004</v>
      </c>
      <c r="AM249" s="170">
        <f t="shared" si="53"/>
        <v>1972.5400000000002</v>
      </c>
      <c r="AN249" s="170">
        <f t="shared" si="53"/>
        <v>1987.84</v>
      </c>
      <c r="AO249" s="170">
        <f t="shared" si="53"/>
        <v>1960.7400000000002</v>
      </c>
      <c r="AP249" s="170">
        <f t="shared" si="53"/>
        <v>1984.44</v>
      </c>
      <c r="AQ249" s="170">
        <f t="shared" si="53"/>
        <v>1977.4400000000003</v>
      </c>
      <c r="AR249" s="170">
        <f t="shared" si="53"/>
        <v>1990.2400000000002</v>
      </c>
      <c r="AS249" s="170">
        <f t="shared" si="53"/>
        <v>2106.9399999999996</v>
      </c>
      <c r="AT249" s="170">
        <f t="shared" si="53"/>
        <v>2102.7399999999998</v>
      </c>
      <c r="AU249" s="170">
        <f t="shared" si="53"/>
        <v>2097.7399999999998</v>
      </c>
      <c r="AV249" s="170">
        <f t="shared" si="53"/>
        <v>2114.7399999999998</v>
      </c>
      <c r="AW249" s="170">
        <f t="shared" si="53"/>
        <v>2059.44</v>
      </c>
      <c r="AX249" s="170">
        <f t="shared" si="53"/>
        <v>2051.44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54">C234</f>
        <v>0.64</v>
      </c>
      <c r="C270" s="173">
        <f t="shared" si="54"/>
        <v>0.64</v>
      </c>
      <c r="D270" s="173">
        <f t="shared" si="54"/>
        <v>0.64</v>
      </c>
      <c r="E270" s="173">
        <f t="shared" si="54"/>
        <v>0.64</v>
      </c>
      <c r="F270" s="173">
        <f t="shared" si="54"/>
        <v>0.64</v>
      </c>
      <c r="G270" s="173">
        <f t="shared" si="54"/>
        <v>0.64</v>
      </c>
      <c r="H270" s="173">
        <f t="shared" si="54"/>
        <v>0.64</v>
      </c>
      <c r="I270" s="173">
        <f t="shared" si="54"/>
        <v>0.64</v>
      </c>
      <c r="J270" s="173">
        <f t="shared" si="54"/>
        <v>0.64</v>
      </c>
      <c r="K270" s="173">
        <f t="shared" si="54"/>
        <v>0.64</v>
      </c>
      <c r="L270" s="173">
        <f t="shared" si="54"/>
        <v>0.64</v>
      </c>
      <c r="M270" s="173">
        <f t="shared" si="54"/>
        <v>0.64</v>
      </c>
      <c r="N270" s="173">
        <f t="shared" si="54"/>
        <v>0.64</v>
      </c>
      <c r="O270" s="173">
        <f t="shared" si="54"/>
        <v>0.64</v>
      </c>
      <c r="P270" s="173">
        <f t="shared" si="54"/>
        <v>0</v>
      </c>
      <c r="Q270" s="173">
        <f t="shared" si="54"/>
        <v>0</v>
      </c>
      <c r="R270" s="173">
        <f t="shared" si="54"/>
        <v>0</v>
      </c>
      <c r="S270" s="173">
        <f t="shared" si="54"/>
        <v>0</v>
      </c>
      <c r="T270" s="173">
        <f t="shared" si="54"/>
        <v>0</v>
      </c>
      <c r="U270" s="173">
        <f t="shared" si="54"/>
        <v>0</v>
      </c>
      <c r="V270" s="173">
        <f t="shared" si="54"/>
        <v>0</v>
      </c>
      <c r="W270" s="173">
        <f t="shared" si="54"/>
        <v>0</v>
      </c>
      <c r="X270" s="173">
        <f t="shared" si="54"/>
        <v>0</v>
      </c>
      <c r="Y270" s="173">
        <f t="shared" si="54"/>
        <v>0</v>
      </c>
      <c r="Z270" s="173">
        <f t="shared" si="54"/>
        <v>0</v>
      </c>
      <c r="AA270" s="173">
        <f t="shared" si="54"/>
        <v>0</v>
      </c>
      <c r="AB270" s="173">
        <f t="shared" si="54"/>
        <v>0</v>
      </c>
      <c r="AC270" s="173">
        <f t="shared" si="54"/>
        <v>0</v>
      </c>
      <c r="AD270" s="173">
        <f t="shared" si="54"/>
        <v>0</v>
      </c>
      <c r="AE270" s="173">
        <f t="shared" si="54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55">IF(B238&lt;100,"",B238-520)</f>
        <v/>
      </c>
      <c r="C271" s="174" t="str">
        <f t="shared" si="55"/>
        <v/>
      </c>
      <c r="D271" s="174" t="str">
        <f t="shared" si="55"/>
        <v/>
      </c>
      <c r="E271" s="174" t="str">
        <f t="shared" si="55"/>
        <v/>
      </c>
      <c r="F271" s="174" t="str">
        <f t="shared" si="55"/>
        <v/>
      </c>
      <c r="G271" s="174" t="str">
        <f t="shared" si="55"/>
        <v/>
      </c>
      <c r="H271" s="174" t="str">
        <f t="shared" si="55"/>
        <v/>
      </c>
      <c r="I271" s="174" t="str">
        <f t="shared" si="55"/>
        <v/>
      </c>
      <c r="J271" s="174" t="str">
        <f t="shared" si="55"/>
        <v/>
      </c>
      <c r="K271" s="174" t="str">
        <f t="shared" si="55"/>
        <v/>
      </c>
      <c r="L271" s="174" t="str">
        <f t="shared" si="55"/>
        <v/>
      </c>
      <c r="M271" s="174" t="str">
        <f t="shared" si="55"/>
        <v/>
      </c>
      <c r="N271" s="174" t="str">
        <f t="shared" si="55"/>
        <v/>
      </c>
      <c r="O271" s="174" t="str">
        <f t="shared" si="55"/>
        <v/>
      </c>
      <c r="P271" s="174" t="str">
        <f t="shared" si="55"/>
        <v/>
      </c>
      <c r="Q271" s="174" t="str">
        <f t="shared" si="55"/>
        <v/>
      </c>
      <c r="R271" s="174" t="str">
        <f t="shared" si="55"/>
        <v/>
      </c>
      <c r="S271" s="174" t="str">
        <f t="shared" si="55"/>
        <v/>
      </c>
      <c r="T271" s="174" t="str">
        <f t="shared" si="55"/>
        <v/>
      </c>
      <c r="U271" s="174" t="str">
        <f t="shared" si="55"/>
        <v/>
      </c>
      <c r="V271" s="174" t="str">
        <f t="shared" si="55"/>
        <v/>
      </c>
      <c r="W271" s="174" t="str">
        <f t="shared" si="55"/>
        <v/>
      </c>
      <c r="X271" s="174" t="str">
        <f t="shared" si="55"/>
        <v/>
      </c>
      <c r="Y271" s="174" t="str">
        <f t="shared" si="55"/>
        <v/>
      </c>
      <c r="Z271" s="174" t="str">
        <f t="shared" si="55"/>
        <v/>
      </c>
      <c r="AA271" s="174" t="str">
        <f t="shared" si="55"/>
        <v/>
      </c>
      <c r="AB271" s="174" t="str">
        <f t="shared" si="55"/>
        <v/>
      </c>
      <c r="AC271" s="174" t="str">
        <f t="shared" si="55"/>
        <v/>
      </c>
      <c r="AD271" s="174" t="str">
        <f t="shared" si="55"/>
        <v/>
      </c>
      <c r="AE271" s="174" t="str">
        <f t="shared" si="55"/>
        <v/>
      </c>
      <c r="AF271" s="174" t="str">
        <f t="shared" si="55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56">IF(B239&lt;100,"",B239-620)</f>
        <v/>
      </c>
      <c r="C272" s="174" t="str">
        <f t="shared" si="56"/>
        <v/>
      </c>
      <c r="D272" s="174" t="str">
        <f t="shared" si="56"/>
        <v/>
      </c>
      <c r="E272" s="174" t="str">
        <f t="shared" si="56"/>
        <v/>
      </c>
      <c r="F272" s="174" t="str">
        <f t="shared" si="56"/>
        <v/>
      </c>
      <c r="G272" s="174" t="str">
        <f t="shared" si="56"/>
        <v/>
      </c>
      <c r="H272" s="174" t="str">
        <f t="shared" si="56"/>
        <v/>
      </c>
      <c r="I272" s="174" t="str">
        <f t="shared" si="56"/>
        <v/>
      </c>
      <c r="J272" s="174" t="str">
        <f t="shared" si="56"/>
        <v/>
      </c>
      <c r="K272" s="174" t="str">
        <f t="shared" si="56"/>
        <v/>
      </c>
      <c r="L272" s="174" t="str">
        <f t="shared" si="56"/>
        <v/>
      </c>
      <c r="M272" s="174" t="str">
        <f t="shared" si="56"/>
        <v/>
      </c>
      <c r="N272" s="174" t="str">
        <f t="shared" si="56"/>
        <v/>
      </c>
      <c r="O272" s="174" t="str">
        <f t="shared" si="56"/>
        <v/>
      </c>
      <c r="P272" s="174" t="str">
        <f t="shared" si="56"/>
        <v/>
      </c>
      <c r="Q272" s="174" t="str">
        <f t="shared" si="56"/>
        <v/>
      </c>
      <c r="R272" s="174" t="str">
        <f t="shared" si="56"/>
        <v/>
      </c>
      <c r="S272" s="174" t="str">
        <f t="shared" si="56"/>
        <v/>
      </c>
      <c r="T272" s="174" t="str">
        <f t="shared" si="56"/>
        <v/>
      </c>
      <c r="U272" s="174" t="str">
        <f t="shared" si="56"/>
        <v/>
      </c>
      <c r="V272" s="174" t="str">
        <f t="shared" si="56"/>
        <v/>
      </c>
      <c r="W272" s="174" t="str">
        <f t="shared" si="56"/>
        <v/>
      </c>
      <c r="X272" s="174" t="str">
        <f t="shared" si="56"/>
        <v/>
      </c>
      <c r="Y272" s="174" t="str">
        <f t="shared" si="56"/>
        <v/>
      </c>
      <c r="Z272" s="174" t="str">
        <f t="shared" si="56"/>
        <v/>
      </c>
      <c r="AA272" s="174" t="str">
        <f t="shared" si="56"/>
        <v/>
      </c>
      <c r="AB272" s="174" t="str">
        <f t="shared" si="56"/>
        <v/>
      </c>
      <c r="AC272" s="174" t="str">
        <f t="shared" si="56"/>
        <v/>
      </c>
      <c r="AD272" s="174" t="str">
        <f t="shared" si="56"/>
        <v/>
      </c>
      <c r="AE272" s="174" t="str">
        <f t="shared" si="56"/>
        <v/>
      </c>
      <c r="AF272" s="174" t="str">
        <f t="shared" si="56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57">IF(B240&lt;100,"",B240-330)</f>
        <v/>
      </c>
      <c r="C273" s="174" t="str">
        <f t="shared" si="57"/>
        <v/>
      </c>
      <c r="D273" s="174" t="str">
        <f t="shared" si="57"/>
        <v/>
      </c>
      <c r="E273" s="174" t="str">
        <f t="shared" si="57"/>
        <v/>
      </c>
      <c r="F273" s="174" t="str">
        <f t="shared" si="57"/>
        <v/>
      </c>
      <c r="G273" s="174" t="str">
        <f t="shared" si="57"/>
        <v/>
      </c>
      <c r="H273" s="174" t="str">
        <f t="shared" si="57"/>
        <v/>
      </c>
      <c r="I273" s="174" t="str">
        <f t="shared" si="57"/>
        <v/>
      </c>
      <c r="J273" s="174" t="str">
        <f t="shared" si="57"/>
        <v/>
      </c>
      <c r="K273" s="174" t="str">
        <f t="shared" si="57"/>
        <v/>
      </c>
      <c r="L273" s="174" t="str">
        <f t="shared" si="57"/>
        <v/>
      </c>
      <c r="M273" s="174" t="str">
        <f t="shared" si="57"/>
        <v/>
      </c>
      <c r="N273" s="174" t="str">
        <f t="shared" si="57"/>
        <v/>
      </c>
      <c r="O273" s="174" t="str">
        <f t="shared" si="57"/>
        <v/>
      </c>
      <c r="P273" s="174" t="str">
        <f t="shared" si="57"/>
        <v/>
      </c>
      <c r="Q273" s="174" t="str">
        <f t="shared" si="57"/>
        <v/>
      </c>
      <c r="R273" s="174" t="str">
        <f t="shared" si="57"/>
        <v/>
      </c>
      <c r="S273" s="174" t="str">
        <f t="shared" si="57"/>
        <v/>
      </c>
      <c r="T273" s="174" t="str">
        <f t="shared" si="57"/>
        <v/>
      </c>
      <c r="U273" s="174" t="str">
        <f t="shared" si="57"/>
        <v/>
      </c>
      <c r="V273" s="174" t="str">
        <f t="shared" si="57"/>
        <v/>
      </c>
      <c r="W273" s="174" t="str">
        <f t="shared" si="57"/>
        <v/>
      </c>
      <c r="X273" s="174" t="str">
        <f t="shared" si="57"/>
        <v/>
      </c>
      <c r="Y273" s="174" t="str">
        <f t="shared" si="57"/>
        <v/>
      </c>
      <c r="Z273" s="174" t="str">
        <f t="shared" si="57"/>
        <v/>
      </c>
      <c r="AA273" s="174" t="str">
        <f t="shared" si="57"/>
        <v/>
      </c>
      <c r="AB273" s="174" t="str">
        <f t="shared" si="57"/>
        <v/>
      </c>
      <c r="AC273" s="174" t="str">
        <f t="shared" si="57"/>
        <v/>
      </c>
      <c r="AD273" s="174" t="str">
        <f t="shared" si="57"/>
        <v/>
      </c>
      <c r="AE273" s="174" t="str">
        <f t="shared" si="57"/>
        <v/>
      </c>
      <c r="AF273" s="174" t="str">
        <f t="shared" si="57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58">IF(B241&lt;100,"",B241-1500)</f>
        <v/>
      </c>
      <c r="C274" s="174" t="str">
        <f t="shared" si="58"/>
        <v/>
      </c>
      <c r="D274" s="174" t="str">
        <f t="shared" si="58"/>
        <v/>
      </c>
      <c r="E274" s="174" t="str">
        <f t="shared" si="58"/>
        <v/>
      </c>
      <c r="F274" s="174" t="str">
        <f t="shared" si="58"/>
        <v/>
      </c>
      <c r="G274" s="174" t="str">
        <f t="shared" si="58"/>
        <v/>
      </c>
      <c r="H274" s="174" t="str">
        <f t="shared" si="58"/>
        <v/>
      </c>
      <c r="I274" s="174" t="str">
        <f t="shared" si="58"/>
        <v/>
      </c>
      <c r="J274" s="174" t="str">
        <f t="shared" si="58"/>
        <v/>
      </c>
      <c r="K274" s="174" t="str">
        <f t="shared" si="58"/>
        <v/>
      </c>
      <c r="L274" s="174" t="str">
        <f t="shared" si="58"/>
        <v/>
      </c>
      <c r="M274" s="174" t="str">
        <f t="shared" si="58"/>
        <v/>
      </c>
      <c r="N274" s="174" t="str">
        <f t="shared" si="58"/>
        <v/>
      </c>
      <c r="O274" s="174" t="str">
        <f t="shared" si="58"/>
        <v/>
      </c>
      <c r="P274" s="174" t="str">
        <f t="shared" si="58"/>
        <v/>
      </c>
      <c r="Q274" s="174" t="str">
        <f t="shared" si="58"/>
        <v/>
      </c>
      <c r="R274" s="174" t="str">
        <f t="shared" si="58"/>
        <v/>
      </c>
      <c r="S274" s="174" t="str">
        <f t="shared" si="58"/>
        <v/>
      </c>
      <c r="T274" s="174" t="str">
        <f t="shared" si="58"/>
        <v/>
      </c>
      <c r="U274" s="174" t="str">
        <f t="shared" si="58"/>
        <v/>
      </c>
      <c r="V274" s="174" t="str">
        <f t="shared" si="58"/>
        <v/>
      </c>
      <c r="W274" s="174" t="str">
        <f t="shared" si="58"/>
        <v/>
      </c>
      <c r="X274" s="174" t="str">
        <f t="shared" si="58"/>
        <v/>
      </c>
      <c r="Y274" s="174" t="str">
        <f t="shared" si="58"/>
        <v/>
      </c>
      <c r="Z274" s="174" t="str">
        <f t="shared" si="58"/>
        <v/>
      </c>
      <c r="AA274" s="174" t="str">
        <f t="shared" si="58"/>
        <v/>
      </c>
      <c r="AB274" s="174" t="str">
        <f t="shared" si="58"/>
        <v/>
      </c>
      <c r="AC274" s="174" t="str">
        <f t="shared" si="58"/>
        <v/>
      </c>
      <c r="AD274" s="174" t="str">
        <f t="shared" si="58"/>
        <v/>
      </c>
      <c r="AE274" s="174" t="str">
        <f t="shared" si="58"/>
        <v/>
      </c>
      <c r="AF274" s="174" t="str">
        <f t="shared" si="58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1155" priority="64">
      <formula>$AH11=0</formula>
    </cfRule>
  </conditionalFormatting>
  <conditionalFormatting sqref="B8 M8 S8 AB8">
    <cfRule type="expression" dxfId="1154" priority="117">
      <formula>C$9&lt;8/24</formula>
    </cfRule>
    <cfRule type="expression" dxfId="1153" priority="116">
      <formula>AND(C$9&gt;=8/24,C$9&lt;14/24)</formula>
    </cfRule>
    <cfRule type="expression" dxfId="1152" priority="115">
      <formula>AND(C$9&gt;=14/24,C$9&lt;20/24)</formula>
    </cfRule>
  </conditionalFormatting>
  <conditionalFormatting sqref="B54:C54">
    <cfRule type="expression" dxfId="1151" priority="38">
      <formula>B$9&gt;=20/24</formula>
    </cfRule>
    <cfRule type="expression" dxfId="1150" priority="39">
      <formula>AND(B$9&gt;=14/24,B$9&lt;20/24)</formula>
    </cfRule>
    <cfRule type="expression" dxfId="1149" priority="40">
      <formula>AND(B$9&gt;=8/24,B$9&lt;14/24)</formula>
    </cfRule>
    <cfRule type="expression" dxfId="1148" priority="41">
      <formula>B$9&lt;8/24</formula>
    </cfRule>
  </conditionalFormatting>
  <conditionalFormatting sqref="B54:C66">
    <cfRule type="expression" dxfId="1147" priority="33">
      <formula>B54&gt;$AG54</formula>
    </cfRule>
  </conditionalFormatting>
  <conditionalFormatting sqref="B9:AF45">
    <cfRule type="expression" dxfId="1146" priority="23">
      <formula>B$9&gt;=20/24</formula>
    </cfRule>
    <cfRule type="expression" dxfId="1145" priority="24">
      <formula>AND(B$9&gt;=14/24,B$9&lt;20/24)</formula>
    </cfRule>
    <cfRule type="expression" dxfId="1144" priority="25">
      <formula>AND(B$9&gt;=8/24,B$9&lt;14/24)</formula>
    </cfRule>
    <cfRule type="expression" dxfId="1143" priority="26">
      <formula>B$9&lt;8/24</formula>
    </cfRule>
  </conditionalFormatting>
  <conditionalFormatting sqref="B11:AF46">
    <cfRule type="expression" dxfId="1142" priority="22">
      <formula>B11&gt;$AG11</formula>
    </cfRule>
  </conditionalFormatting>
  <conditionalFormatting sqref="B46:AF46">
    <cfRule type="expression" dxfId="1141" priority="18">
      <formula>B$9&gt;=20/24</formula>
    </cfRule>
    <cfRule type="expression" dxfId="1140" priority="19">
      <formula>AND(B$9&gt;=14/24,B$9&lt;20/24)</formula>
    </cfRule>
    <cfRule type="expression" dxfId="1139" priority="20">
      <formula>AND(B$9&gt;=8/24,B$9&lt;14/24)</formula>
    </cfRule>
    <cfRule type="expression" dxfId="1138" priority="21">
      <formula>B$9&lt;8/24</formula>
    </cfRule>
  </conditionalFormatting>
  <conditionalFormatting sqref="B47:AF47">
    <cfRule type="expression" dxfId="1137" priority="32">
      <formula>B47&gt;$AG47</formula>
    </cfRule>
  </conditionalFormatting>
  <conditionalFormatting sqref="B47:AF49">
    <cfRule type="expression" dxfId="1136" priority="29">
      <formula>AND(B$9&gt;=14/24,B$9&lt;20/24)</formula>
    </cfRule>
    <cfRule type="expression" dxfId="1135" priority="30">
      <formula>AND(B$9&gt;=8/24,B$9&lt;14/24)</formula>
    </cfRule>
    <cfRule type="expression" dxfId="1134" priority="31">
      <formula>B$9&lt;8/24</formula>
    </cfRule>
    <cfRule type="expression" dxfId="1133" priority="28">
      <formula>B$9&gt;=20/24</formula>
    </cfRule>
  </conditionalFormatting>
  <conditionalFormatting sqref="B48:AF53">
    <cfRule type="expression" dxfId="1132" priority="27">
      <formula>B48&gt;$AG48</formula>
    </cfRule>
  </conditionalFormatting>
  <conditionalFormatting sqref="B51:AF53">
    <cfRule type="expression" dxfId="1131" priority="50">
      <formula>B$9&lt;8/24</formula>
    </cfRule>
    <cfRule type="expression" dxfId="1130" priority="49">
      <formula>AND(B$9&gt;=8/24,B$9&lt;14/24)</formula>
    </cfRule>
    <cfRule type="expression" dxfId="1129" priority="48">
      <formula>AND(B$9&gt;=14/24,B$9&lt;20/24)</formula>
    </cfRule>
    <cfRule type="expression" dxfId="1128" priority="47">
      <formula>B$9&gt;=20/24</formula>
    </cfRule>
  </conditionalFormatting>
  <conditionalFormatting sqref="B55:AF66">
    <cfRule type="expression" dxfId="1127" priority="34">
      <formula>B$9&gt;=20/24</formula>
    </cfRule>
    <cfRule type="expression" dxfId="1126" priority="35">
      <formula>AND(B$9&gt;=14/24,B$9&lt;20/24)</formula>
    </cfRule>
    <cfRule type="expression" dxfId="1125" priority="36">
      <formula>AND(B$9&gt;=8/24,B$9&lt;14/24)</formula>
    </cfRule>
    <cfRule type="expression" dxfId="1124" priority="37">
      <formula>B$9&lt;8/24</formula>
    </cfRule>
  </conditionalFormatting>
  <conditionalFormatting sqref="B69:AF71">
    <cfRule type="expression" dxfId="1123" priority="55">
      <formula>B69&gt;$AG69</formula>
    </cfRule>
    <cfRule type="expression" dxfId="1122" priority="56">
      <formula>B$9&gt;=20/24</formula>
    </cfRule>
    <cfRule type="expression" dxfId="1121" priority="57">
      <formula>AND(B$9&gt;=14/24,B$9&lt;20/24)</formula>
    </cfRule>
    <cfRule type="expression" dxfId="1120" priority="58">
      <formula>AND(B$9&gt;=8/24,B$9&lt;14/24)</formula>
    </cfRule>
    <cfRule type="expression" dxfId="1119" priority="59">
      <formula>B$9&lt;8/24</formula>
    </cfRule>
  </conditionalFormatting>
  <conditionalFormatting sqref="B73:AF91">
    <cfRule type="expression" dxfId="1118" priority="2">
      <formula>AND(B$9&gt;=14/24,B$9&lt;20/24)</formula>
    </cfRule>
    <cfRule type="expression" dxfId="1117" priority="3">
      <formula>AND(B$9&gt;=8/24,B$9&lt;14/24)</formula>
    </cfRule>
    <cfRule type="expression" dxfId="1116" priority="4">
      <formula>B$9&lt;8/24</formula>
    </cfRule>
    <cfRule type="expression" dxfId="1115" priority="1">
      <formula>B$9&gt;=20/24</formula>
    </cfRule>
  </conditionalFormatting>
  <conditionalFormatting sqref="B111:AF120">
    <cfRule type="expression" dxfId="1114" priority="17">
      <formula>B$9&lt;8/24</formula>
    </cfRule>
    <cfRule type="expression" dxfId="1113" priority="14">
      <formula>B$9&gt;=20/24</formula>
    </cfRule>
    <cfRule type="expression" dxfId="1112" priority="15">
      <formula>AND(B$9&gt;=14/24,B$9&lt;20/24)</formula>
    </cfRule>
    <cfRule type="expression" dxfId="1111" priority="16">
      <formula>AND(B$9&gt;=8/24,B$9&lt;14/24)</formula>
    </cfRule>
  </conditionalFormatting>
  <conditionalFormatting sqref="B227:AF227 D229:AF230 B229:B235 D231:H231 J231:AF231 D232:AF235 U248:AF248">
    <cfRule type="expression" dxfId="1110" priority="111">
      <formula>B$9&lt;8/24</formula>
    </cfRule>
    <cfRule type="expression" dxfId="1109" priority="109">
      <formula>AND(B$9&gt;=14/24,B$9&lt;20/24)</formula>
    </cfRule>
    <cfRule type="expression" dxfId="1108" priority="108">
      <formula>B$9&gt;=20/24</formula>
    </cfRule>
    <cfRule type="expression" dxfId="1107" priority="110">
      <formula>AND(B$9&gt;=8/24,B$9&lt;14/24)</formula>
    </cfRule>
  </conditionalFormatting>
  <conditionalFormatting sqref="B67:AG68 B72:AG72">
    <cfRule type="expression" dxfId="1106" priority="42">
      <formula>B67&gt;$AG67</formula>
    </cfRule>
  </conditionalFormatting>
  <conditionalFormatting sqref="B72:AG72 B93:AF109">
    <cfRule type="expression" dxfId="1105" priority="45">
      <formula>AND(B$9&gt;=8/24,B$9&lt;14/24)</formula>
    </cfRule>
    <cfRule type="expression" dxfId="1104" priority="44">
      <formula>AND(B$9&gt;=14/24,B$9&lt;20/24)</formula>
    </cfRule>
    <cfRule type="expression" dxfId="1103" priority="46">
      <formula>B$9&lt;8/24</formula>
    </cfRule>
    <cfRule type="expression" dxfId="1102" priority="43">
      <formula>B$9&gt;=20/24</formula>
    </cfRule>
  </conditionalFormatting>
  <conditionalFormatting sqref="D55:AF66">
    <cfRule type="expression" dxfId="1101" priority="5">
      <formula>D55&gt;$AG55</formula>
    </cfRule>
  </conditionalFormatting>
  <conditionalFormatting sqref="D54:AG54">
    <cfRule type="expression" dxfId="1100" priority="76">
      <formula>D54&gt;$AG54</formula>
    </cfRule>
    <cfRule type="expression" dxfId="1099" priority="80">
      <formula>D$9&lt;8/24</formula>
    </cfRule>
    <cfRule type="expression" dxfId="1098" priority="79">
      <formula>AND(D$9&gt;=8/24,D$9&lt;14/24)</formula>
    </cfRule>
    <cfRule type="expression" dxfId="1097" priority="78">
      <formula>AND(D$9&gt;=14/24,D$9&lt;20/24)</formula>
    </cfRule>
    <cfRule type="expression" dxfId="1096" priority="77">
      <formula>D$9&gt;=20/24</formula>
    </cfRule>
  </conditionalFormatting>
  <conditionalFormatting sqref="G55:L57">
    <cfRule type="expression" dxfId="1095" priority="89">
      <formula>G$9&gt;=20/24</formula>
    </cfRule>
    <cfRule type="expression" dxfId="1094" priority="90">
      <formula>AND(G$9&gt;=14/24,G$9&lt;20/24)</formula>
    </cfRule>
    <cfRule type="expression" dxfId="1093" priority="91">
      <formula>AND(G$9&gt;=8/24,G$9&lt;14/24)</formula>
    </cfRule>
    <cfRule type="expression" dxfId="1092" priority="92">
      <formula>G$9&lt;8/24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091" priority="114">
      <formula>C$9&gt;=20/24</formula>
    </cfRule>
  </conditionalFormatting>
  <conditionalFormatting sqref="S8">
    <cfRule type="expression" dxfId="1090" priority="101">
      <formula>U$9&gt;=20/24</formula>
    </cfRule>
    <cfRule type="expression" dxfId="1089" priority="102">
      <formula>AND(U$9&gt;=14/24,U$9&lt;20/24)</formula>
    </cfRule>
    <cfRule type="expression" dxfId="1088" priority="103">
      <formula>AND(U$9&gt;=8/24,U$9&lt;14/24)</formula>
    </cfRule>
    <cfRule type="expression" dxfId="1087" priority="104">
      <formula>U$9&lt;8/24</formula>
    </cfRule>
  </conditionalFormatting>
  <conditionalFormatting sqref="T248">
    <cfRule type="expression" dxfId="1086" priority="126">
      <formula>AX$9&gt;=20/24</formula>
    </cfRule>
    <cfRule type="expression" dxfId="1085" priority="127">
      <formula>AND(AX$9&gt;=14/24,AX$9&lt;20/24)</formula>
    </cfRule>
    <cfRule type="expression" dxfId="1084" priority="128">
      <formula>AND(AX$9&gt;=8/24,AX$9&lt;14/24)</formula>
    </cfRule>
    <cfRule type="expression" dxfId="1083" priority="129">
      <formula>AX$9&lt;8/24</formula>
    </cfRule>
  </conditionalFormatting>
  <conditionalFormatting sqref="T55:AF60">
    <cfRule type="expression" dxfId="1082" priority="13">
      <formula>T$9&lt;8/24</formula>
    </cfRule>
    <cfRule type="expression" dxfId="1081" priority="11">
      <formula>AND(T$9&gt;=14/24,T$9&lt;20/24)</formula>
    </cfRule>
    <cfRule type="expression" dxfId="1080" priority="10">
      <formula>T$9&gt;=20/24</formula>
    </cfRule>
    <cfRule type="expression" dxfId="1079" priority="12">
      <formula>AND(T$9&gt;=8/24,T$9&lt;14/24)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078" priority="97">
      <formula>AD$9&gt;=20/24</formula>
    </cfRule>
    <cfRule type="expression" dxfId="1077" priority="98">
      <formula>AND(AD$9&gt;=14/24,AD$9&lt;20/24)</formula>
    </cfRule>
    <cfRule type="expression" dxfId="1076" priority="99">
      <formula>AND(AD$9&gt;=8/24,AD$9&lt;14/24)</formula>
    </cfRule>
    <cfRule type="expression" dxfId="1075" priority="100">
      <formula>AD$9&lt;8/24</formula>
    </cfRule>
  </conditionalFormatting>
  <conditionalFormatting sqref="AE61:AF66">
    <cfRule type="expression" dxfId="1074" priority="6">
      <formula>AE$9&gt;=20/24</formula>
    </cfRule>
    <cfRule type="expression" dxfId="1073" priority="9">
      <formula>AE$9&lt;8/24</formula>
    </cfRule>
    <cfRule type="expression" dxfId="1072" priority="8">
      <formula>AND(AE$9&gt;=8/24,AE$9&lt;14/24)</formula>
    </cfRule>
    <cfRule type="expression" dxfId="1071" priority="7">
      <formula>AND(AE$9&gt;=14/24,AE$9&lt;20/24)</formula>
    </cfRule>
  </conditionalFormatting>
  <conditionalFormatting sqref="AG50">
    <cfRule type="expression" dxfId="1070" priority="84">
      <formula>AG50&gt;$AG50</formula>
    </cfRule>
  </conditionalFormatting>
  <conditionalFormatting sqref="AG89">
    <cfRule type="expression" dxfId="1069" priority="87">
      <formula>AND(AG$9&gt;=8/24,AG$9&lt;14/24)</formula>
    </cfRule>
    <cfRule type="expression" dxfId="1068" priority="88">
      <formula>AG$9&lt;8/24</formula>
    </cfRule>
    <cfRule type="expression" dxfId="1067" priority="85">
      <formula>AG$9&gt;=20/24</formula>
    </cfRule>
    <cfRule type="expression" dxfId="1066" priority="86">
      <formula>AND(AG$9&gt;=14/24,AG$9&lt;20/24)</formula>
    </cfRule>
  </conditionalFormatting>
  <conditionalFormatting sqref="AG248">
    <cfRule type="expression" dxfId="1065" priority="118">
      <formula>B$9&gt;=20/24</formula>
    </cfRule>
    <cfRule type="expression" dxfId="1064" priority="119">
      <formula>AND(B$9&gt;=14/24,B$9&lt;20/24)</formula>
    </cfRule>
    <cfRule type="expression" dxfId="1063" priority="120">
      <formula>AND(B$9&gt;=8/24,B$9&lt;14/24)</formula>
    </cfRule>
    <cfRule type="expression" dxfId="1062" priority="121">
      <formula>B$9&lt;8/24</formula>
    </cfRule>
  </conditionalFormatting>
  <conditionalFormatting sqref="AH248:AX248">
    <cfRule type="expression" dxfId="1061" priority="122">
      <formula>AG$9&gt;=20/24</formula>
    </cfRule>
    <cfRule type="expression" dxfId="1060" priority="123">
      <formula>AND(AG$9&gt;=14/24,AG$9&lt;20/24)</formula>
    </cfRule>
    <cfRule type="expression" dxfId="1059" priority="124">
      <formula>AND(AG$9&gt;=8/24,AG$9&lt;14/24)</formula>
    </cfRule>
    <cfRule type="expression" dxfId="1058" priority="125">
      <formula>AG$9&lt;8/24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057" priority="131">
      <formula>AJ$9&gt;=20/24</formula>
    </cfRule>
    <cfRule type="expression" dxfId="1056" priority="132">
      <formula>AND(AJ$9&gt;=14/24,AJ$9&lt;20/24)</formula>
    </cfRule>
    <cfRule type="expression" dxfId="1055" priority="133">
      <formula>AND(AJ$9&gt;=8/24,AJ$9&lt;14/24)</formula>
    </cfRule>
    <cfRule type="expression" dxfId="1054" priority="134">
      <formula>AJ$9&lt;8/24</formula>
    </cfRule>
  </conditionalFormatting>
  <conditionalFormatting sqref="AL80:AN80 AL86:AN86">
    <cfRule type="expression" dxfId="1053" priority="73">
      <formula>AND(AL$9&gt;=14/24,AL$9&lt;20/24)</formula>
    </cfRule>
    <cfRule type="expression" dxfId="1052" priority="74">
      <formula>AND(AL$9&gt;=8/24,AL$9&lt;14/24)</formula>
    </cfRule>
    <cfRule type="expression" dxfId="1051" priority="75">
      <formula>AL$9&lt;8/24</formula>
    </cfRule>
    <cfRule type="expression" dxfId="1050" priority="72">
      <formula>AL$9&gt;=20/24</formula>
    </cfRule>
  </conditionalFormatting>
  <conditionalFormatting sqref="AN81:AN84">
    <cfRule type="expression" dxfId="1049" priority="69">
      <formula>AND(AN$9&gt;=14/24,AN$9&lt;20/24)</formula>
    </cfRule>
    <cfRule type="expression" dxfId="1048" priority="68">
      <formula>AN$9&gt;=20/24</formula>
    </cfRule>
    <cfRule type="expression" dxfId="1047" priority="71">
      <formula>AN$9&lt;8/24</formula>
    </cfRule>
    <cfRule type="expression" dxfId="1046" priority="70">
      <formula>AND(AN$9&gt;=8/24,AN$9&lt;14/24)</formula>
    </cfRule>
  </conditionalFormatting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DF1D-EC72-43BD-A126-BA26EF5AC997}">
  <dimension ref="A1:CJ281"/>
  <sheetViews>
    <sheetView zoomScaleNormal="100" workbookViewId="0">
      <pane xSplit="1" ySplit="10" topLeftCell="J106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H11" sqref="AH11:AI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8" style="1" customWidth="1"/>
    <col min="12" max="12" width="8.85546875" style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2080/04/18</v>
      </c>
      <c r="C4" s="203"/>
      <c r="D4" s="203"/>
      <c r="E4" s="204" t="str">
        <f ca="1">"2079/"&amp;"12/"&amp;INT(MID(CELL("filename",G6),FIND("]",CELL("filename",G6))+1,200))</f>
        <v>2079/12/18</v>
      </c>
      <c r="F4" s="204"/>
      <c r="G4" s="204"/>
      <c r="H4" s="204" t="str">
        <f ca="1">TEXT(E4,"dddd")</f>
        <v>Monday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5</v>
      </c>
      <c r="C5" s="30">
        <f t="shared" si="0"/>
        <v>5</v>
      </c>
      <c r="D5" s="30">
        <f t="shared" si="0"/>
        <v>5</v>
      </c>
      <c r="E5" s="30">
        <f t="shared" si="0"/>
        <v>5</v>
      </c>
      <c r="F5" s="30">
        <f t="shared" si="0"/>
        <v>15</v>
      </c>
      <c r="G5" s="30">
        <f t="shared" si="0"/>
        <v>7.1</v>
      </c>
      <c r="H5" s="30">
        <f t="shared" si="0"/>
        <v>17.600000000000001</v>
      </c>
      <c r="I5" s="30">
        <f t="shared" si="0"/>
        <v>5</v>
      </c>
      <c r="J5" s="30">
        <f t="shared" si="0"/>
        <v>5</v>
      </c>
      <c r="K5" s="30">
        <f t="shared" si="0"/>
        <v>5</v>
      </c>
      <c r="L5" s="30">
        <f t="shared" si="0"/>
        <v>5</v>
      </c>
      <c r="M5" s="30">
        <f t="shared" si="0"/>
        <v>5</v>
      </c>
      <c r="N5" s="30">
        <f t="shared" si="0"/>
        <v>5</v>
      </c>
      <c r="O5" s="30">
        <f t="shared" si="0"/>
        <v>11.2</v>
      </c>
      <c r="P5" s="30">
        <f t="shared" si="0"/>
        <v>13.7</v>
      </c>
      <c r="Q5" s="30">
        <f t="shared" si="0"/>
        <v>12</v>
      </c>
      <c r="R5" s="30">
        <f t="shared" si="0"/>
        <v>23.7</v>
      </c>
      <c r="S5" s="30">
        <f t="shared" si="0"/>
        <v>21.5</v>
      </c>
      <c r="T5" s="30">
        <f t="shared" si="0"/>
        <v>21.5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17</v>
      </c>
      <c r="AA5" s="30">
        <f t="shared" si="0"/>
        <v>19.899999999999999</v>
      </c>
      <c r="AB5" s="30">
        <f t="shared" si="0"/>
        <v>22</v>
      </c>
      <c r="AC5" s="30">
        <f t="shared" si="0"/>
        <v>5</v>
      </c>
      <c r="AD5" s="30">
        <f t="shared" si="0"/>
        <v>5</v>
      </c>
      <c r="AE5" s="30">
        <f t="shared" si="0"/>
        <v>5</v>
      </c>
      <c r="AF5" s="30">
        <f>B84</f>
        <v>33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2012MW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Load=1912</v>
      </c>
      <c r="B7" s="35">
        <f t="shared" ref="B7:AF7" si="1">B91</f>
        <v>2051.44</v>
      </c>
      <c r="C7" s="35">
        <f t="shared" si="1"/>
        <v>1970.14</v>
      </c>
      <c r="D7" s="35">
        <f t="shared" si="1"/>
        <v>1975.14</v>
      </c>
      <c r="E7" s="35">
        <f t="shared" si="1"/>
        <v>1982.94</v>
      </c>
      <c r="F7" s="35">
        <f t="shared" si="1"/>
        <v>1982.94</v>
      </c>
      <c r="G7" s="35">
        <f t="shared" si="1"/>
        <v>2000.94</v>
      </c>
      <c r="H7" s="35">
        <f t="shared" si="1"/>
        <v>1989.04</v>
      </c>
      <c r="I7" s="35">
        <f t="shared" si="1"/>
        <v>2000.34</v>
      </c>
      <c r="J7" s="35">
        <f t="shared" si="1"/>
        <v>2007.24</v>
      </c>
      <c r="K7" s="35">
        <f t="shared" si="1"/>
        <v>2012.24</v>
      </c>
      <c r="L7" s="35">
        <f t="shared" si="1"/>
        <v>2007.24</v>
      </c>
      <c r="M7" s="35">
        <f t="shared" si="1"/>
        <v>2007.54</v>
      </c>
      <c r="N7" s="35">
        <f>N91</f>
        <v>1976.04</v>
      </c>
      <c r="O7" s="35">
        <f t="shared" si="1"/>
        <v>1977.44</v>
      </c>
      <c r="P7" s="35">
        <f t="shared" si="1"/>
        <v>1991.0400000000002</v>
      </c>
      <c r="Q7" s="35">
        <f t="shared" si="1"/>
        <v>1982.2400000000002</v>
      </c>
      <c r="R7" s="35">
        <f t="shared" si="1"/>
        <v>1980.9400000000003</v>
      </c>
      <c r="S7" s="35">
        <f t="shared" si="1"/>
        <v>2000.7400000000002</v>
      </c>
      <c r="T7" s="35">
        <f t="shared" si="1"/>
        <v>1995.8400000000001</v>
      </c>
      <c r="U7" s="35">
        <f t="shared" si="1"/>
        <v>2030.2400000000002</v>
      </c>
      <c r="V7" s="35">
        <f t="shared" si="1"/>
        <v>1984.9400000000003</v>
      </c>
      <c r="W7" s="35">
        <f t="shared" si="1"/>
        <v>1918.14</v>
      </c>
      <c r="X7" s="35">
        <f t="shared" si="1"/>
        <v>1922.94</v>
      </c>
      <c r="Y7" s="35">
        <f t="shared" si="1"/>
        <v>1911.54</v>
      </c>
      <c r="Z7" s="35">
        <f t="shared" si="1"/>
        <v>2010.74</v>
      </c>
      <c r="AA7" s="35">
        <f t="shared" si="1"/>
        <v>2066.1400000000003</v>
      </c>
      <c r="AB7" s="35">
        <f t="shared" si="1"/>
        <v>2116.34</v>
      </c>
      <c r="AC7" s="35">
        <f t="shared" si="1"/>
        <v>2058.14</v>
      </c>
      <c r="AD7" s="35">
        <f t="shared" si="1"/>
        <v>2061.04</v>
      </c>
      <c r="AE7" s="35">
        <f t="shared" si="1"/>
        <v>2059.84</v>
      </c>
      <c r="AF7" s="35">
        <f t="shared" si="1"/>
        <v>1948.64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90.1</v>
      </c>
      <c r="C11" s="45">
        <v>90.1</v>
      </c>
      <c r="D11" s="45">
        <v>90.1</v>
      </c>
      <c r="E11" s="45">
        <v>90.1</v>
      </c>
      <c r="F11" s="45">
        <v>90.1</v>
      </c>
      <c r="G11" s="45">
        <v>90.1</v>
      </c>
      <c r="H11" s="45">
        <v>90.1</v>
      </c>
      <c r="I11" s="45">
        <v>90.1</v>
      </c>
      <c r="J11" s="45">
        <v>90.1</v>
      </c>
      <c r="K11" s="45">
        <v>90.1</v>
      </c>
      <c r="L11" s="45">
        <v>90.1</v>
      </c>
      <c r="M11" s="45">
        <v>90.1</v>
      </c>
      <c r="N11" s="45">
        <v>82.6</v>
      </c>
      <c r="O11" s="45">
        <v>82.6</v>
      </c>
      <c r="P11" s="45">
        <v>90</v>
      </c>
      <c r="Q11" s="45">
        <v>90</v>
      </c>
      <c r="R11" s="45">
        <v>86.7</v>
      </c>
      <c r="S11" s="45">
        <v>86.7</v>
      </c>
      <c r="T11" s="45">
        <v>86.7</v>
      </c>
      <c r="U11" s="45">
        <v>86.5</v>
      </c>
      <c r="V11" s="45">
        <v>86.5</v>
      </c>
      <c r="W11" s="45">
        <v>86.2</v>
      </c>
      <c r="X11" s="45">
        <v>86.2</v>
      </c>
      <c r="Y11" s="45">
        <v>86.2</v>
      </c>
      <c r="Z11" s="45">
        <v>86.2</v>
      </c>
      <c r="AA11" s="45">
        <v>86.2</v>
      </c>
      <c r="AB11" s="45">
        <v>86.2</v>
      </c>
      <c r="AC11" s="45">
        <v>86.2</v>
      </c>
      <c r="AD11" s="45">
        <v>86.2</v>
      </c>
      <c r="AE11" s="45">
        <v>86.2</v>
      </c>
      <c r="AF11" s="45">
        <v>86.2</v>
      </c>
      <c r="AG11" s="46">
        <v>86</v>
      </c>
      <c r="AH11" s="47">
        <f t="shared" ref="AH11:AH76" si="2">MAX(B11:AF11)</f>
        <v>90.1</v>
      </c>
      <c r="AI11" s="48">
        <f t="shared" ref="AI11:AI76" si="3">MIN(B11:AF11)</f>
        <v>82.6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13</v>
      </c>
      <c r="C12" s="45">
        <v>13</v>
      </c>
      <c r="D12" s="45">
        <v>13</v>
      </c>
      <c r="E12" s="45">
        <v>20</v>
      </c>
      <c r="F12" s="45">
        <v>20</v>
      </c>
      <c r="G12" s="45">
        <v>20</v>
      </c>
      <c r="H12" s="45">
        <v>20</v>
      </c>
      <c r="I12" s="45">
        <v>20</v>
      </c>
      <c r="J12" s="45">
        <v>20</v>
      </c>
      <c r="K12" s="45">
        <v>25</v>
      </c>
      <c r="L12" s="45">
        <v>20</v>
      </c>
      <c r="M12" s="45">
        <v>20</v>
      </c>
      <c r="N12" s="45">
        <v>9</v>
      </c>
      <c r="O12" s="45">
        <v>9</v>
      </c>
      <c r="P12" s="45">
        <v>9</v>
      </c>
      <c r="Q12" s="45">
        <v>9</v>
      </c>
      <c r="R12" s="45">
        <v>10.8</v>
      </c>
      <c r="S12" s="45">
        <v>0</v>
      </c>
      <c r="T12" s="45">
        <v>0</v>
      </c>
      <c r="U12" s="45">
        <v>18</v>
      </c>
      <c r="V12" s="45">
        <v>12</v>
      </c>
      <c r="W12" s="45">
        <v>12</v>
      </c>
      <c r="X12" s="45">
        <v>12</v>
      </c>
      <c r="Y12" s="45">
        <v>12</v>
      </c>
      <c r="Z12" s="45">
        <v>27</v>
      </c>
      <c r="AA12" s="45">
        <v>27</v>
      </c>
      <c r="AB12" s="45">
        <v>27</v>
      </c>
      <c r="AC12" s="45">
        <v>27</v>
      </c>
      <c r="AD12" s="45">
        <v>27</v>
      </c>
      <c r="AE12" s="45">
        <v>27</v>
      </c>
      <c r="AF12" s="45">
        <v>21.6</v>
      </c>
      <c r="AG12" s="49">
        <v>54</v>
      </c>
      <c r="AH12" s="47">
        <f t="shared" si="2"/>
        <v>27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54.8</v>
      </c>
      <c r="C13" s="45">
        <v>54.8</v>
      </c>
      <c r="D13" s="45">
        <v>54.8</v>
      </c>
      <c r="E13" s="45">
        <v>54.8</v>
      </c>
      <c r="F13" s="45">
        <v>54.8</v>
      </c>
      <c r="G13" s="45">
        <v>54.8</v>
      </c>
      <c r="H13" s="45">
        <v>54.8</v>
      </c>
      <c r="I13" s="45">
        <v>54.8</v>
      </c>
      <c r="J13" s="45">
        <v>54.8</v>
      </c>
      <c r="K13" s="45">
        <v>54.8</v>
      </c>
      <c r="L13" s="45">
        <v>54.8</v>
      </c>
      <c r="M13" s="45">
        <v>54.8</v>
      </c>
      <c r="N13" s="45">
        <v>54.8</v>
      </c>
      <c r="O13" s="45">
        <v>54.8</v>
      </c>
      <c r="P13" s="45">
        <v>54.8</v>
      </c>
      <c r="Q13" s="45">
        <v>54.8</v>
      </c>
      <c r="R13" s="45">
        <v>54.8</v>
      </c>
      <c r="S13" s="45">
        <v>54.7</v>
      </c>
      <c r="T13" s="45">
        <v>54.7</v>
      </c>
      <c r="U13" s="45">
        <v>54.7</v>
      </c>
      <c r="V13" s="45">
        <v>54.7</v>
      </c>
      <c r="W13" s="45">
        <v>54.5</v>
      </c>
      <c r="X13" s="45">
        <v>54.5</v>
      </c>
      <c r="Y13" s="45">
        <v>54.5</v>
      </c>
      <c r="Z13" s="45">
        <v>54.5</v>
      </c>
      <c r="AA13" s="45">
        <v>54.5</v>
      </c>
      <c r="AB13" s="45">
        <v>54.5</v>
      </c>
      <c r="AC13" s="45">
        <v>54.8</v>
      </c>
      <c r="AD13" s="45">
        <v>54.8</v>
      </c>
      <c r="AE13" s="45">
        <v>54.8</v>
      </c>
      <c r="AF13" s="45">
        <v>54.8</v>
      </c>
      <c r="AG13" s="46">
        <v>52.4</v>
      </c>
      <c r="AH13" s="47">
        <f t="shared" si="2"/>
        <v>54.8</v>
      </c>
      <c r="AI13" s="48">
        <f t="shared" si="3"/>
        <v>54.5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50.4</v>
      </c>
      <c r="C14" s="58">
        <v>50.4</v>
      </c>
      <c r="D14" s="58">
        <v>50.4</v>
      </c>
      <c r="E14" s="58">
        <v>50.4</v>
      </c>
      <c r="F14" s="58">
        <v>50.4</v>
      </c>
      <c r="G14" s="58">
        <v>50.4</v>
      </c>
      <c r="H14" s="58">
        <v>50.4</v>
      </c>
      <c r="I14" s="58">
        <v>50.4</v>
      </c>
      <c r="J14" s="58">
        <v>50.4</v>
      </c>
      <c r="K14" s="58">
        <v>50.4</v>
      </c>
      <c r="L14" s="58">
        <v>50.4</v>
      </c>
      <c r="M14" s="58">
        <v>50.4</v>
      </c>
      <c r="N14" s="58">
        <v>50.4</v>
      </c>
      <c r="O14" s="58">
        <v>50.4</v>
      </c>
      <c r="P14" s="58">
        <v>50.4</v>
      </c>
      <c r="Q14" s="58">
        <v>50.4</v>
      </c>
      <c r="R14" s="58">
        <v>50.4</v>
      </c>
      <c r="S14" s="58">
        <v>50.4</v>
      </c>
      <c r="T14" s="58">
        <v>50.4</v>
      </c>
      <c r="U14" s="58">
        <v>50.4</v>
      </c>
      <c r="V14" s="58">
        <v>50.4</v>
      </c>
      <c r="W14" s="58">
        <v>50.5</v>
      </c>
      <c r="X14" s="58">
        <v>50.5</v>
      </c>
      <c r="Y14" s="58">
        <v>50.5</v>
      </c>
      <c r="Z14" s="58">
        <v>50.5</v>
      </c>
      <c r="AA14" s="58">
        <v>50.5</v>
      </c>
      <c r="AB14" s="58">
        <v>50.5</v>
      </c>
      <c r="AC14" s="58">
        <v>50.3</v>
      </c>
      <c r="AD14" s="58">
        <v>50.3</v>
      </c>
      <c r="AE14" s="58">
        <v>50.3</v>
      </c>
      <c r="AF14" s="58">
        <v>50.3</v>
      </c>
      <c r="AG14" s="49">
        <v>50</v>
      </c>
      <c r="AH14" s="47">
        <f t="shared" si="2"/>
        <v>50.5</v>
      </c>
      <c r="AI14" s="48">
        <f t="shared" si="3"/>
        <v>50.3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46.2</v>
      </c>
      <c r="C15" s="45">
        <v>46.2</v>
      </c>
      <c r="D15" s="45">
        <v>46.2</v>
      </c>
      <c r="E15" s="45">
        <v>40</v>
      </c>
      <c r="F15" s="45">
        <v>40</v>
      </c>
      <c r="G15" s="45">
        <v>40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0</v>
      </c>
      <c r="AD15" s="45">
        <v>0</v>
      </c>
      <c r="AE15" s="45">
        <v>0</v>
      </c>
      <c r="AF15" s="45">
        <v>0</v>
      </c>
      <c r="AG15" s="49">
        <v>45</v>
      </c>
      <c r="AH15" s="47">
        <f t="shared" si="2"/>
        <v>46.2</v>
      </c>
      <c r="AI15" s="48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30</v>
      </c>
      <c r="C17" s="45">
        <v>30</v>
      </c>
      <c r="D17" s="45">
        <v>30</v>
      </c>
      <c r="E17" s="45">
        <v>30</v>
      </c>
      <c r="F17" s="45">
        <v>30</v>
      </c>
      <c r="G17" s="45">
        <v>38</v>
      </c>
      <c r="H17" s="45">
        <v>38</v>
      </c>
      <c r="I17" s="45">
        <v>30</v>
      </c>
      <c r="J17" s="45">
        <v>30</v>
      </c>
      <c r="K17" s="45">
        <v>30</v>
      </c>
      <c r="L17" s="45">
        <v>30</v>
      </c>
      <c r="M17" s="45">
        <v>30</v>
      </c>
      <c r="N17" s="45">
        <v>30</v>
      </c>
      <c r="O17" s="45">
        <v>30</v>
      </c>
      <c r="P17" s="45">
        <v>30</v>
      </c>
      <c r="Q17" s="45">
        <v>30</v>
      </c>
      <c r="R17" s="45">
        <v>30</v>
      </c>
      <c r="S17" s="45">
        <v>33</v>
      </c>
      <c r="T17" s="45">
        <v>33</v>
      </c>
      <c r="U17" s="45">
        <v>33</v>
      </c>
      <c r="V17" s="45">
        <v>29.1</v>
      </c>
      <c r="W17" s="45">
        <v>29.1</v>
      </c>
      <c r="X17" s="45">
        <v>29.1</v>
      </c>
      <c r="Y17" s="45">
        <v>29.1</v>
      </c>
      <c r="Z17" s="45">
        <v>29.1</v>
      </c>
      <c r="AA17" s="45">
        <v>29.1</v>
      </c>
      <c r="AB17" s="45">
        <v>29.1</v>
      </c>
      <c r="AC17" s="45">
        <v>29.1</v>
      </c>
      <c r="AD17" s="45">
        <v>29.1</v>
      </c>
      <c r="AE17" s="45">
        <v>29.1</v>
      </c>
      <c r="AF17" s="45">
        <v>26</v>
      </c>
      <c r="AG17" s="49">
        <v>42</v>
      </c>
      <c r="AH17" s="47">
        <f t="shared" si="2"/>
        <v>38</v>
      </c>
      <c r="AI17" s="48">
        <f t="shared" si="3"/>
        <v>26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18</v>
      </c>
      <c r="C19" s="45">
        <v>18</v>
      </c>
      <c r="D19" s="45">
        <v>18</v>
      </c>
      <c r="E19" s="45">
        <v>25</v>
      </c>
      <c r="F19" s="45">
        <v>25</v>
      </c>
      <c r="G19" s="45">
        <v>25</v>
      </c>
      <c r="H19" s="45">
        <v>25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15</v>
      </c>
      <c r="E20" s="45">
        <v>15</v>
      </c>
      <c r="F20" s="45">
        <v>15</v>
      </c>
      <c r="G20" s="45">
        <v>15</v>
      </c>
      <c r="H20" s="45">
        <v>5</v>
      </c>
      <c r="I20" s="45">
        <v>5</v>
      </c>
      <c r="J20" s="45">
        <v>15</v>
      </c>
      <c r="K20" s="45">
        <v>15</v>
      </c>
      <c r="L20" s="45">
        <v>15</v>
      </c>
      <c r="M20" s="45">
        <v>15</v>
      </c>
      <c r="N20" s="45">
        <v>5</v>
      </c>
      <c r="O20" s="45">
        <v>5</v>
      </c>
      <c r="P20" s="45">
        <v>5</v>
      </c>
      <c r="Q20" s="45">
        <v>5</v>
      </c>
      <c r="R20" s="45">
        <v>5</v>
      </c>
      <c r="S20" s="45">
        <v>5</v>
      </c>
      <c r="T20" s="45">
        <v>5</v>
      </c>
      <c r="U20" s="45">
        <v>10</v>
      </c>
      <c r="V20" s="45">
        <v>5.4</v>
      </c>
      <c r="W20" s="45">
        <v>5.4</v>
      </c>
      <c r="X20" s="45">
        <v>10.199999999999999</v>
      </c>
      <c r="Y20" s="45">
        <v>10.199999999999999</v>
      </c>
      <c r="Z20" s="45">
        <v>15.6</v>
      </c>
      <c r="AA20" s="45">
        <v>30</v>
      </c>
      <c r="AB20" s="45">
        <v>30</v>
      </c>
      <c r="AC20" s="45">
        <v>30</v>
      </c>
      <c r="AD20" s="45">
        <v>30</v>
      </c>
      <c r="AE20" s="45">
        <v>30</v>
      </c>
      <c r="AF20" s="45">
        <v>12</v>
      </c>
      <c r="AG20" s="51">
        <v>30</v>
      </c>
      <c r="AH20" s="47">
        <f t="shared" si="2"/>
        <v>30</v>
      </c>
      <c r="AI20" s="48">
        <f t="shared" si="3"/>
        <v>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</v>
      </c>
      <c r="C21" s="45">
        <v>20</v>
      </c>
      <c r="D21" s="45">
        <v>20</v>
      </c>
      <c r="E21" s="45">
        <v>20</v>
      </c>
      <c r="F21" s="45">
        <v>20</v>
      </c>
      <c r="G21" s="45">
        <v>20</v>
      </c>
      <c r="H21" s="45">
        <v>20</v>
      </c>
      <c r="I21" s="45">
        <v>20</v>
      </c>
      <c r="J21" s="45">
        <v>20</v>
      </c>
      <c r="K21" s="45">
        <v>20</v>
      </c>
      <c r="L21" s="45">
        <v>20</v>
      </c>
      <c r="M21" s="45">
        <v>20</v>
      </c>
      <c r="N21" s="45">
        <v>20</v>
      </c>
      <c r="O21" s="45">
        <v>20</v>
      </c>
      <c r="P21" s="45">
        <v>20</v>
      </c>
      <c r="Q21" s="45">
        <v>20</v>
      </c>
      <c r="R21" s="45">
        <v>20</v>
      </c>
      <c r="S21" s="45">
        <v>25.8</v>
      </c>
      <c r="T21" s="45">
        <v>25.8</v>
      </c>
      <c r="U21" s="45">
        <v>25.8</v>
      </c>
      <c r="V21" s="45">
        <v>25.8</v>
      </c>
      <c r="W21" s="45">
        <v>25.8</v>
      </c>
      <c r="X21" s="45">
        <v>25.8</v>
      </c>
      <c r="Y21" s="45">
        <v>25.8</v>
      </c>
      <c r="Z21" s="45">
        <v>25.8</v>
      </c>
      <c r="AA21" s="45">
        <v>25.8</v>
      </c>
      <c r="AB21" s="45">
        <v>25.8</v>
      </c>
      <c r="AC21" s="45">
        <v>25.8</v>
      </c>
      <c r="AD21" s="45">
        <v>25.8</v>
      </c>
      <c r="AE21" s="45">
        <v>25.8</v>
      </c>
      <c r="AF21" s="45">
        <v>25.8</v>
      </c>
      <c r="AG21" s="49">
        <v>24.2</v>
      </c>
      <c r="AH21" s="47">
        <f t="shared" si="2"/>
        <v>25.8</v>
      </c>
      <c r="AI21" s="48">
        <f t="shared" si="3"/>
        <v>20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28.4</v>
      </c>
      <c r="T22" s="45">
        <v>28.4</v>
      </c>
      <c r="U22" s="45">
        <v>28.4</v>
      </c>
      <c r="V22" s="45">
        <v>28.4</v>
      </c>
      <c r="W22" s="45">
        <v>28.3</v>
      </c>
      <c r="X22" s="45">
        <v>28.3</v>
      </c>
      <c r="Y22" s="45">
        <v>28.3</v>
      </c>
      <c r="Z22" s="45">
        <v>28.3</v>
      </c>
      <c r="AA22" s="45">
        <v>28.3</v>
      </c>
      <c r="AB22" s="45">
        <v>28.3</v>
      </c>
      <c r="AC22" s="45">
        <v>28.3</v>
      </c>
      <c r="AD22" s="45">
        <v>28.3</v>
      </c>
      <c r="AE22" s="45">
        <v>28.3</v>
      </c>
      <c r="AF22" s="45">
        <v>28.3</v>
      </c>
      <c r="AG22" s="49">
        <v>28</v>
      </c>
      <c r="AH22" s="47">
        <f t="shared" si="2"/>
        <v>28.4</v>
      </c>
      <c r="AI22" s="48">
        <f t="shared" si="3"/>
        <v>20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6</v>
      </c>
      <c r="C23" s="45">
        <v>6</v>
      </c>
      <c r="D23" s="45">
        <v>6</v>
      </c>
      <c r="E23" s="45">
        <v>6</v>
      </c>
      <c r="F23" s="45">
        <v>6</v>
      </c>
      <c r="G23" s="45">
        <v>6</v>
      </c>
      <c r="H23" s="45">
        <v>6</v>
      </c>
      <c r="I23" s="45">
        <v>6</v>
      </c>
      <c r="J23" s="45">
        <v>6</v>
      </c>
      <c r="K23" s="45">
        <v>6</v>
      </c>
      <c r="L23" s="45">
        <v>6</v>
      </c>
      <c r="M23" s="45">
        <v>6</v>
      </c>
      <c r="N23" s="45">
        <v>4.5</v>
      </c>
      <c r="O23" s="45">
        <v>4.5</v>
      </c>
      <c r="P23" s="45">
        <v>4.5</v>
      </c>
      <c r="Q23" s="45">
        <v>4.5</v>
      </c>
      <c r="R23" s="45">
        <v>5.4</v>
      </c>
      <c r="S23" s="45">
        <v>5.4</v>
      </c>
      <c r="T23" s="45">
        <v>5.4</v>
      </c>
      <c r="U23" s="45">
        <v>9</v>
      </c>
      <c r="V23" s="45">
        <v>4.5</v>
      </c>
      <c r="W23" s="45">
        <v>4.5</v>
      </c>
      <c r="X23" s="45">
        <v>4.5</v>
      </c>
      <c r="Y23" s="45">
        <v>4.5</v>
      </c>
      <c r="Z23" s="45">
        <v>18</v>
      </c>
      <c r="AA23" s="45">
        <v>18</v>
      </c>
      <c r="AB23" s="45">
        <v>18</v>
      </c>
      <c r="AC23" s="45">
        <v>27</v>
      </c>
      <c r="AD23" s="45">
        <v>27</v>
      </c>
      <c r="AE23" s="45">
        <v>27</v>
      </c>
      <c r="AF23" s="45">
        <v>10.8</v>
      </c>
      <c r="AG23" s="51">
        <v>30</v>
      </c>
      <c r="AH23" s="47">
        <f t="shared" si="2"/>
        <v>27</v>
      </c>
      <c r="AI23" s="48">
        <f t="shared" si="3"/>
        <v>4.5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24.3</v>
      </c>
      <c r="C24" s="45">
        <v>24.3</v>
      </c>
      <c r="D24" s="45">
        <v>24.3</v>
      </c>
      <c r="E24" s="45">
        <v>24.3</v>
      </c>
      <c r="F24" s="45">
        <v>24.3</v>
      </c>
      <c r="G24" s="45">
        <v>24.3</v>
      </c>
      <c r="H24" s="45">
        <v>24.3</v>
      </c>
      <c r="I24" s="45">
        <v>24.3</v>
      </c>
      <c r="J24" s="45">
        <v>24.3</v>
      </c>
      <c r="K24" s="45">
        <v>24.3</v>
      </c>
      <c r="L24" s="45">
        <v>24.3</v>
      </c>
      <c r="M24" s="45">
        <v>24.3</v>
      </c>
      <c r="N24" s="45">
        <v>24.3</v>
      </c>
      <c r="O24" s="45">
        <v>24.3</v>
      </c>
      <c r="P24" s="45">
        <v>24.3</v>
      </c>
      <c r="Q24" s="45">
        <v>24.3</v>
      </c>
      <c r="R24" s="45">
        <v>24.3</v>
      </c>
      <c r="S24" s="45">
        <v>26.1</v>
      </c>
      <c r="T24" s="45">
        <v>26.1</v>
      </c>
      <c r="U24" s="45">
        <v>26.1</v>
      </c>
      <c r="V24" s="45">
        <v>26.1</v>
      </c>
      <c r="W24" s="45">
        <v>26</v>
      </c>
      <c r="X24" s="45">
        <v>26</v>
      </c>
      <c r="Y24" s="45">
        <v>26</v>
      </c>
      <c r="Z24" s="45">
        <v>26</v>
      </c>
      <c r="AA24" s="45">
        <v>26</v>
      </c>
      <c r="AB24" s="45">
        <v>26</v>
      </c>
      <c r="AC24" s="45">
        <v>26</v>
      </c>
      <c r="AD24" s="45">
        <v>26</v>
      </c>
      <c r="AE24" s="45">
        <v>26</v>
      </c>
      <c r="AF24" s="45">
        <v>26</v>
      </c>
      <c r="AG24" s="49">
        <v>25</v>
      </c>
      <c r="AH24" s="47">
        <f t="shared" si="2"/>
        <v>26.1</v>
      </c>
      <c r="AI24" s="48">
        <f t="shared" si="3"/>
        <v>24.3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6</v>
      </c>
      <c r="C27" s="45">
        <v>6</v>
      </c>
      <c r="D27" s="45">
        <v>6</v>
      </c>
      <c r="E27" s="45">
        <v>6</v>
      </c>
      <c r="F27" s="45">
        <v>6</v>
      </c>
      <c r="G27" s="45">
        <v>6</v>
      </c>
      <c r="H27" s="45">
        <v>6</v>
      </c>
      <c r="I27" s="45">
        <v>6</v>
      </c>
      <c r="J27" s="45">
        <v>12.5</v>
      </c>
      <c r="K27" s="45">
        <v>12.5</v>
      </c>
      <c r="L27" s="45">
        <v>12.5</v>
      </c>
      <c r="M27" s="45">
        <v>12.5</v>
      </c>
      <c r="N27" s="45">
        <v>4</v>
      </c>
      <c r="O27" s="45">
        <v>4</v>
      </c>
      <c r="P27" s="45">
        <v>4</v>
      </c>
      <c r="Q27" s="45">
        <v>4</v>
      </c>
      <c r="R27" s="45">
        <v>5</v>
      </c>
      <c r="S27" s="45">
        <v>5</v>
      </c>
      <c r="T27" s="45">
        <v>5</v>
      </c>
      <c r="U27" s="45">
        <v>8.5</v>
      </c>
      <c r="V27" s="45">
        <v>4.5</v>
      </c>
      <c r="W27" s="45">
        <v>4.5</v>
      </c>
      <c r="X27" s="45">
        <v>4.5</v>
      </c>
      <c r="Y27" s="45">
        <v>4.5</v>
      </c>
      <c r="Z27" s="45">
        <v>25</v>
      </c>
      <c r="AA27" s="45">
        <v>25</v>
      </c>
      <c r="AB27" s="45">
        <v>25</v>
      </c>
      <c r="AC27" s="45">
        <v>12.5</v>
      </c>
      <c r="AD27" s="45">
        <v>25</v>
      </c>
      <c r="AE27" s="45">
        <v>25</v>
      </c>
      <c r="AF27" s="45">
        <v>10</v>
      </c>
      <c r="AG27" s="49">
        <v>25</v>
      </c>
      <c r="AH27" s="47">
        <f t="shared" si="2"/>
        <v>25</v>
      </c>
      <c r="AI27" s="48">
        <f t="shared" si="3"/>
        <v>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24.8</v>
      </c>
      <c r="C28" s="45">
        <v>24.8</v>
      </c>
      <c r="D28" s="45">
        <v>24.8</v>
      </c>
      <c r="E28" s="45">
        <v>24.8</v>
      </c>
      <c r="F28" s="45">
        <v>24.8</v>
      </c>
      <c r="G28" s="45">
        <v>24.8</v>
      </c>
      <c r="H28" s="45">
        <v>24.8</v>
      </c>
      <c r="I28" s="45">
        <v>24.8</v>
      </c>
      <c r="J28" s="45">
        <v>24.8</v>
      </c>
      <c r="K28" s="45">
        <v>24.8</v>
      </c>
      <c r="L28" s="45">
        <v>24.8</v>
      </c>
      <c r="M28" s="45">
        <v>24.8</v>
      </c>
      <c r="N28" s="45">
        <v>24.8</v>
      </c>
      <c r="O28" s="45">
        <v>24.8</v>
      </c>
      <c r="P28" s="45">
        <v>24.8</v>
      </c>
      <c r="Q28" s="45">
        <v>24.8</v>
      </c>
      <c r="R28" s="45">
        <v>24.8</v>
      </c>
      <c r="S28" s="45">
        <v>24.8</v>
      </c>
      <c r="T28" s="45">
        <v>24.8</v>
      </c>
      <c r="U28" s="45">
        <v>24.8</v>
      </c>
      <c r="V28" s="45">
        <v>24.8</v>
      </c>
      <c r="W28" s="45">
        <v>24.8</v>
      </c>
      <c r="X28" s="45">
        <v>24.8</v>
      </c>
      <c r="Y28" s="45">
        <v>24.8</v>
      </c>
      <c r="Z28" s="45">
        <v>25</v>
      </c>
      <c r="AA28" s="45">
        <v>25</v>
      </c>
      <c r="AB28" s="45">
        <v>25</v>
      </c>
      <c r="AC28" s="45">
        <v>25</v>
      </c>
      <c r="AD28" s="45">
        <v>25</v>
      </c>
      <c r="AE28" s="45">
        <v>25</v>
      </c>
      <c r="AF28" s="45">
        <v>25</v>
      </c>
      <c r="AG28" s="49">
        <v>23.5</v>
      </c>
      <c r="AH28" s="47">
        <f t="shared" si="2"/>
        <v>25</v>
      </c>
      <c r="AI28" s="48">
        <f t="shared" si="3"/>
        <v>24.8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10</v>
      </c>
      <c r="AB33" s="45">
        <v>10</v>
      </c>
      <c r="AC33" s="45">
        <v>8</v>
      </c>
      <c r="AD33" s="45">
        <v>8</v>
      </c>
      <c r="AE33" s="45">
        <v>8</v>
      </c>
      <c r="AF33" s="45">
        <v>5</v>
      </c>
      <c r="AG33" s="49">
        <v>20</v>
      </c>
      <c r="AH33" s="47">
        <f t="shared" si="2"/>
        <v>10</v>
      </c>
      <c r="AI33" s="48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4</v>
      </c>
      <c r="N34" s="45">
        <v>4</v>
      </c>
      <c r="O34" s="45">
        <v>4</v>
      </c>
      <c r="P34" s="45">
        <v>4</v>
      </c>
      <c r="Q34" s="45">
        <v>4</v>
      </c>
      <c r="R34" s="45">
        <v>4</v>
      </c>
      <c r="S34" s="45">
        <v>4</v>
      </c>
      <c r="T34" s="45">
        <v>4</v>
      </c>
      <c r="U34" s="45">
        <v>4</v>
      </c>
      <c r="V34" s="45">
        <v>4</v>
      </c>
      <c r="W34" s="45">
        <v>4</v>
      </c>
      <c r="X34" s="45">
        <v>4</v>
      </c>
      <c r="Y34" s="45">
        <v>4</v>
      </c>
      <c r="Z34" s="45">
        <v>4</v>
      </c>
      <c r="AA34" s="45">
        <v>10</v>
      </c>
      <c r="AB34" s="45">
        <v>10</v>
      </c>
      <c r="AC34" s="45">
        <v>6</v>
      </c>
      <c r="AD34" s="45">
        <v>6</v>
      </c>
      <c r="AE34" s="45">
        <v>6</v>
      </c>
      <c r="AF34" s="45">
        <v>4</v>
      </c>
      <c r="AG34" s="49">
        <v>18</v>
      </c>
      <c r="AH34" s="47">
        <f t="shared" si="2"/>
        <v>10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292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6</v>
      </c>
      <c r="K39" s="45">
        <v>6</v>
      </c>
      <c r="L39" s="45">
        <v>6</v>
      </c>
      <c r="M39" s="45">
        <v>6</v>
      </c>
      <c r="N39" s="45">
        <v>2</v>
      </c>
      <c r="O39" s="45">
        <v>2</v>
      </c>
      <c r="P39" s="45">
        <v>2</v>
      </c>
      <c r="Q39" s="45">
        <v>2</v>
      </c>
      <c r="R39" s="45">
        <v>2</v>
      </c>
      <c r="S39" s="45">
        <v>2</v>
      </c>
      <c r="T39" s="45">
        <v>2</v>
      </c>
      <c r="U39" s="45">
        <v>6</v>
      </c>
      <c r="V39" s="45">
        <v>5</v>
      </c>
      <c r="W39" s="45">
        <v>5</v>
      </c>
      <c r="X39" s="45">
        <v>5</v>
      </c>
      <c r="Y39" s="45">
        <v>5</v>
      </c>
      <c r="Z39" s="45">
        <v>5</v>
      </c>
      <c r="AA39" s="45">
        <v>12</v>
      </c>
      <c r="AB39" s="45">
        <v>12</v>
      </c>
      <c r="AC39" s="45">
        <v>6</v>
      </c>
      <c r="AD39" s="45">
        <v>12</v>
      </c>
      <c r="AE39" s="45">
        <v>12</v>
      </c>
      <c r="AF39" s="45">
        <v>4.8</v>
      </c>
      <c r="AG39" s="49">
        <v>12</v>
      </c>
      <c r="AH39" s="47">
        <f t="shared" si="2"/>
        <v>12</v>
      </c>
      <c r="AI39" s="48">
        <f t="shared" si="3"/>
        <v>2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6</v>
      </c>
      <c r="N41" s="45">
        <v>6</v>
      </c>
      <c r="O41" s="45">
        <v>6</v>
      </c>
      <c r="P41" s="45">
        <v>6</v>
      </c>
      <c r="Q41" s="45">
        <v>6</v>
      </c>
      <c r="R41" s="45">
        <v>6</v>
      </c>
      <c r="S41" s="45">
        <v>6</v>
      </c>
      <c r="T41" s="45">
        <v>6</v>
      </c>
      <c r="U41" s="45">
        <v>6</v>
      </c>
      <c r="V41" s="45">
        <v>6</v>
      </c>
      <c r="W41" s="45">
        <v>6</v>
      </c>
      <c r="X41" s="45">
        <v>6</v>
      </c>
      <c r="Y41" s="45">
        <v>6</v>
      </c>
      <c r="Z41" s="45">
        <v>6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11.9</v>
      </c>
      <c r="C43" s="45">
        <v>11.9</v>
      </c>
      <c r="D43" s="45">
        <v>11.9</v>
      </c>
      <c r="E43" s="45">
        <v>11.9</v>
      </c>
      <c r="F43" s="45">
        <v>11.9</v>
      </c>
      <c r="G43" s="45">
        <v>11.9</v>
      </c>
      <c r="H43" s="45">
        <v>11.9</v>
      </c>
      <c r="I43" s="45">
        <v>11.9</v>
      </c>
      <c r="J43" s="45">
        <v>11.9</v>
      </c>
      <c r="K43" s="45">
        <v>11.9</v>
      </c>
      <c r="L43" s="45">
        <v>11.9</v>
      </c>
      <c r="M43" s="45">
        <v>11.9</v>
      </c>
      <c r="N43" s="45">
        <v>11.9</v>
      </c>
      <c r="O43" s="45">
        <v>11.9</v>
      </c>
      <c r="P43" s="45">
        <v>11.9</v>
      </c>
      <c r="Q43" s="45">
        <v>11.9</v>
      </c>
      <c r="R43" s="45">
        <v>11.9</v>
      </c>
      <c r="S43" s="45">
        <v>11.9</v>
      </c>
      <c r="T43" s="45">
        <v>11.9</v>
      </c>
      <c r="U43" s="45">
        <v>11.9</v>
      </c>
      <c r="V43" s="45">
        <v>11.9</v>
      </c>
      <c r="W43" s="45">
        <v>11.9</v>
      </c>
      <c r="X43" s="45">
        <v>11.9</v>
      </c>
      <c r="Y43" s="45">
        <v>11.9</v>
      </c>
      <c r="Z43" s="45">
        <v>11.9</v>
      </c>
      <c r="AA43" s="45">
        <v>11.9</v>
      </c>
      <c r="AB43" s="45">
        <v>11.9</v>
      </c>
      <c r="AC43" s="45">
        <v>11.9</v>
      </c>
      <c r="AD43" s="45">
        <v>11.9</v>
      </c>
      <c r="AE43" s="45">
        <v>11.9</v>
      </c>
      <c r="AF43" s="45">
        <v>11.9</v>
      </c>
      <c r="AG43" s="51">
        <v>11.88</v>
      </c>
      <c r="AH43" s="47">
        <f t="shared" si="2"/>
        <v>11.9</v>
      </c>
      <c r="AI43" s="48">
        <f t="shared" si="3"/>
        <v>11.9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10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358</v>
      </c>
      <c r="C48" s="56">
        <v>358</v>
      </c>
      <c r="D48" s="56">
        <v>358</v>
      </c>
      <c r="E48" s="56">
        <v>358</v>
      </c>
      <c r="F48" s="56">
        <v>358</v>
      </c>
      <c r="G48" s="56">
        <v>358</v>
      </c>
      <c r="H48" s="56">
        <v>358</v>
      </c>
      <c r="I48" s="56">
        <v>358</v>
      </c>
      <c r="J48" s="56">
        <v>358</v>
      </c>
      <c r="K48" s="56">
        <v>358</v>
      </c>
      <c r="L48" s="56">
        <v>358</v>
      </c>
      <c r="M48" s="56">
        <v>358</v>
      </c>
      <c r="N48" s="56">
        <v>358</v>
      </c>
      <c r="O48" s="56">
        <v>358</v>
      </c>
      <c r="P48" s="56">
        <v>358</v>
      </c>
      <c r="Q48" s="56">
        <v>358</v>
      </c>
      <c r="R48" s="56">
        <v>358</v>
      </c>
      <c r="S48" s="56">
        <v>358</v>
      </c>
      <c r="T48" s="56">
        <v>358</v>
      </c>
      <c r="U48" s="56">
        <v>358</v>
      </c>
      <c r="V48" s="56">
        <v>358</v>
      </c>
      <c r="W48" s="56">
        <v>358</v>
      </c>
      <c r="X48" s="56">
        <v>358</v>
      </c>
      <c r="Y48" s="56">
        <v>358</v>
      </c>
      <c r="Z48" s="56">
        <v>358</v>
      </c>
      <c r="AA48" s="56">
        <v>358</v>
      </c>
      <c r="AB48" s="56">
        <v>358</v>
      </c>
      <c r="AC48" s="56">
        <v>358</v>
      </c>
      <c r="AD48" s="56">
        <v>358</v>
      </c>
      <c r="AE48" s="56">
        <v>358</v>
      </c>
      <c r="AF48" s="56">
        <v>358</v>
      </c>
      <c r="AG48" s="54">
        <v>85</v>
      </c>
      <c r="AH48" s="47">
        <f t="shared" si="2"/>
        <v>358</v>
      </c>
      <c r="AI48" s="48">
        <f t="shared" si="3"/>
        <v>358</v>
      </c>
      <c r="AK48" s="50"/>
    </row>
    <row r="49" spans="1:41" ht="15.75" thickBot="1" x14ac:dyDescent="0.3">
      <c r="A49" s="57" t="s">
        <v>57</v>
      </c>
      <c r="B49" s="56">
        <v>105</v>
      </c>
      <c r="C49" s="56">
        <v>105</v>
      </c>
      <c r="D49" s="56">
        <v>105</v>
      </c>
      <c r="E49" s="56">
        <v>105</v>
      </c>
      <c r="F49" s="56">
        <v>105</v>
      </c>
      <c r="G49" s="56">
        <v>105</v>
      </c>
      <c r="H49" s="56">
        <v>105</v>
      </c>
      <c r="I49" s="56">
        <v>105</v>
      </c>
      <c r="J49" s="56">
        <v>105</v>
      </c>
      <c r="K49" s="56">
        <v>105</v>
      </c>
      <c r="L49" s="56">
        <v>105</v>
      </c>
      <c r="M49" s="58">
        <v>105.4</v>
      </c>
      <c r="N49" s="58">
        <v>107.6</v>
      </c>
      <c r="O49" s="58">
        <v>109.2</v>
      </c>
      <c r="P49" s="58">
        <v>109.2</v>
      </c>
      <c r="Q49" s="58">
        <v>106.9</v>
      </c>
      <c r="R49" s="58">
        <v>102.8</v>
      </c>
      <c r="S49" s="58">
        <v>107</v>
      </c>
      <c r="T49" s="58">
        <v>107</v>
      </c>
      <c r="U49" s="58">
        <v>107</v>
      </c>
      <c r="V49" s="58">
        <v>107</v>
      </c>
      <c r="W49" s="58">
        <v>107</v>
      </c>
      <c r="X49" s="56">
        <v>108</v>
      </c>
      <c r="Y49" s="56">
        <v>105</v>
      </c>
      <c r="Z49" s="56">
        <v>103.8</v>
      </c>
      <c r="AA49" s="56">
        <v>104</v>
      </c>
      <c r="AB49" s="56">
        <v>104</v>
      </c>
      <c r="AC49" s="56">
        <v>104</v>
      </c>
      <c r="AD49" s="56">
        <v>104</v>
      </c>
      <c r="AE49" s="56">
        <v>107.1</v>
      </c>
      <c r="AF49" s="56">
        <v>107.1</v>
      </c>
      <c r="AG49" s="54">
        <v>240</v>
      </c>
      <c r="AH49" s="47">
        <f t="shared" si="2"/>
        <v>109.2</v>
      </c>
      <c r="AI49" s="48">
        <f t="shared" si="3"/>
        <v>102.8</v>
      </c>
      <c r="AK49" s="50"/>
    </row>
    <row r="50" spans="1:41" ht="15.75" thickBot="1" x14ac:dyDescent="0.3">
      <c r="A50" s="59" t="s">
        <v>58</v>
      </c>
      <c r="B50" s="60">
        <v>1087.5</v>
      </c>
      <c r="C50" s="60">
        <f t="shared" ref="C50:AE50" si="4">SUM(C11:C48)</f>
        <v>1034.2</v>
      </c>
      <c r="D50" s="60">
        <f t="shared" si="4"/>
        <v>1039.2</v>
      </c>
      <c r="E50" s="60">
        <f t="shared" si="4"/>
        <v>1047</v>
      </c>
      <c r="F50" s="60">
        <f t="shared" si="4"/>
        <v>1047</v>
      </c>
      <c r="G50" s="60">
        <f t="shared" ref="G50:I50" si="5">SUM(G11:G48)</f>
        <v>1055</v>
      </c>
      <c r="H50" s="60">
        <f t="shared" si="5"/>
        <v>1051</v>
      </c>
      <c r="I50" s="60">
        <f t="shared" si="5"/>
        <v>1054</v>
      </c>
      <c r="J50" s="60">
        <f t="shared" si="4"/>
        <v>1073.5</v>
      </c>
      <c r="K50" s="60">
        <f t="shared" si="4"/>
        <v>1078.5</v>
      </c>
      <c r="L50" s="60">
        <f t="shared" si="4"/>
        <v>1073.5</v>
      </c>
      <c r="M50" s="60">
        <f t="shared" si="4"/>
        <v>1083.5</v>
      </c>
      <c r="N50" s="60">
        <f t="shared" si="4"/>
        <v>1041</v>
      </c>
      <c r="O50" s="60">
        <f t="shared" si="4"/>
        <v>1041</v>
      </c>
      <c r="P50" s="60">
        <f t="shared" si="4"/>
        <v>1048.4000000000001</v>
      </c>
      <c r="Q50" s="60">
        <f t="shared" si="4"/>
        <v>1048.4000000000001</v>
      </c>
      <c r="R50" s="60">
        <f t="shared" si="4"/>
        <v>1048.8000000000002</v>
      </c>
      <c r="S50" s="60">
        <f t="shared" si="4"/>
        <v>1056.9000000000001</v>
      </c>
      <c r="T50" s="60">
        <f t="shared" ref="T50:U50" si="6">SUM(T11:T48)</f>
        <v>1056.9000000000001</v>
      </c>
      <c r="U50" s="60">
        <f t="shared" si="6"/>
        <v>1090.8000000000002</v>
      </c>
      <c r="V50" s="60">
        <f t="shared" ref="V50" si="7">SUM(V11:V48)</f>
        <v>1066.8000000000002</v>
      </c>
      <c r="W50" s="60">
        <f t="shared" si="4"/>
        <v>1030.2</v>
      </c>
      <c r="X50" s="60">
        <f t="shared" si="4"/>
        <v>1035</v>
      </c>
      <c r="Y50" s="60">
        <f t="shared" si="4"/>
        <v>1035</v>
      </c>
      <c r="Z50" s="60">
        <f t="shared" si="4"/>
        <v>1089.5999999999999</v>
      </c>
      <c r="AA50" s="60">
        <f t="shared" si="4"/>
        <v>1128</v>
      </c>
      <c r="AB50" s="60">
        <f t="shared" si="4"/>
        <v>1164</v>
      </c>
      <c r="AC50" s="60">
        <f t="shared" si="4"/>
        <v>1102.5999999999999</v>
      </c>
      <c r="AD50" s="60">
        <f t="shared" si="4"/>
        <v>1121.0999999999999</v>
      </c>
      <c r="AE50" s="60">
        <f t="shared" si="4"/>
        <v>1121.0999999999999</v>
      </c>
      <c r="AF50" s="60">
        <f t="shared" ref="AF50" si="8">SUM(AF11:AF48)</f>
        <v>1051.2</v>
      </c>
      <c r="AG50" s="61">
        <f>SUM(AG13:AG48)</f>
        <v>922.14</v>
      </c>
      <c r="AH50" s="47">
        <f t="shared" si="2"/>
        <v>1164</v>
      </c>
      <c r="AI50" s="48">
        <f t="shared" si="3"/>
        <v>1030.2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60</v>
      </c>
      <c r="C52" s="64">
        <v>60</v>
      </c>
      <c r="D52" s="64">
        <v>60</v>
      </c>
      <c r="E52" s="64">
        <v>60</v>
      </c>
      <c r="F52" s="64">
        <v>60</v>
      </c>
      <c r="G52" s="64">
        <v>60</v>
      </c>
      <c r="H52" s="64">
        <v>60</v>
      </c>
      <c r="I52" s="64">
        <v>60</v>
      </c>
      <c r="J52" s="64">
        <v>60</v>
      </c>
      <c r="K52" s="64">
        <v>60</v>
      </c>
      <c r="L52" s="64">
        <v>60</v>
      </c>
      <c r="M52" s="64">
        <v>56</v>
      </c>
      <c r="N52" s="64">
        <v>56</v>
      </c>
      <c r="O52" s="64">
        <v>56</v>
      </c>
      <c r="P52" s="64">
        <v>56</v>
      </c>
      <c r="Q52" s="64">
        <v>56</v>
      </c>
      <c r="R52" s="64">
        <v>56</v>
      </c>
      <c r="S52" s="64">
        <v>56</v>
      </c>
      <c r="T52" s="64">
        <v>56</v>
      </c>
      <c r="U52" s="64">
        <v>56</v>
      </c>
      <c r="V52" s="64">
        <v>56</v>
      </c>
      <c r="W52" s="64">
        <v>56</v>
      </c>
      <c r="X52" s="64">
        <v>56</v>
      </c>
      <c r="Y52" s="64">
        <v>56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60</v>
      </c>
      <c r="AF52" s="64">
        <v>60</v>
      </c>
      <c r="AG52" s="54">
        <v>60</v>
      </c>
      <c r="AH52" s="47">
        <f t="shared" si="2"/>
        <v>60</v>
      </c>
      <c r="AI52" s="48">
        <f t="shared" si="3"/>
        <v>56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11.2</v>
      </c>
      <c r="R53" s="66">
        <v>11.2</v>
      </c>
      <c r="S53" s="66">
        <v>11.2</v>
      </c>
      <c r="T53" s="66">
        <v>11.2</v>
      </c>
      <c r="U53" s="66">
        <v>11.2</v>
      </c>
      <c r="V53" s="66">
        <v>11.2</v>
      </c>
      <c r="W53" s="66">
        <v>11.2</v>
      </c>
      <c r="X53" s="66">
        <v>11.2</v>
      </c>
      <c r="Y53" s="66">
        <v>11.2</v>
      </c>
      <c r="Z53" s="66">
        <v>11.2</v>
      </c>
      <c r="AA53" s="66">
        <v>11.2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11.2</v>
      </c>
      <c r="AK53" s="50"/>
    </row>
    <row r="54" spans="1:41" ht="15.75" thickBot="1" x14ac:dyDescent="0.3">
      <c r="A54" s="68" t="s">
        <v>62</v>
      </c>
      <c r="B54" s="60">
        <v>538.5</v>
      </c>
      <c r="C54" s="60">
        <f t="shared" ref="C54:AG54" si="9">SUM(C51:C53)</f>
        <v>538.5</v>
      </c>
      <c r="D54" s="60">
        <f t="shared" si="9"/>
        <v>538.5</v>
      </c>
      <c r="E54" s="60">
        <f t="shared" si="9"/>
        <v>538.5</v>
      </c>
      <c r="F54" s="60">
        <f t="shared" si="9"/>
        <v>538.5</v>
      </c>
      <c r="G54" s="60">
        <f t="shared" ref="G54:I54" si="10">SUM(G51:G53)</f>
        <v>538.5</v>
      </c>
      <c r="H54" s="60">
        <f t="shared" si="10"/>
        <v>538.5</v>
      </c>
      <c r="I54" s="60">
        <f t="shared" si="10"/>
        <v>538.5</v>
      </c>
      <c r="J54" s="60">
        <f t="shared" si="9"/>
        <v>538.5</v>
      </c>
      <c r="K54" s="60">
        <f t="shared" si="9"/>
        <v>538.5</v>
      </c>
      <c r="L54" s="60">
        <f t="shared" si="9"/>
        <v>538.5</v>
      </c>
      <c r="M54" s="60">
        <f t="shared" si="9"/>
        <v>534.5</v>
      </c>
      <c r="N54" s="60">
        <f t="shared" si="9"/>
        <v>534.5</v>
      </c>
      <c r="O54" s="60">
        <f t="shared" si="9"/>
        <v>534.5</v>
      </c>
      <c r="P54" s="60">
        <f t="shared" si="9"/>
        <v>534.5</v>
      </c>
      <c r="Q54" s="60">
        <f t="shared" si="9"/>
        <v>523.20000000000005</v>
      </c>
      <c r="R54" s="60">
        <f t="shared" si="9"/>
        <v>523.20000000000005</v>
      </c>
      <c r="S54" s="60">
        <f t="shared" si="9"/>
        <v>523.20000000000005</v>
      </c>
      <c r="T54" s="60">
        <f t="shared" ref="T54:U54" si="11">SUM(T51:T53)</f>
        <v>523.20000000000005</v>
      </c>
      <c r="U54" s="60">
        <f t="shared" si="11"/>
        <v>523.20000000000005</v>
      </c>
      <c r="V54" s="60">
        <f t="shared" si="9"/>
        <v>523.20000000000005</v>
      </c>
      <c r="W54" s="60">
        <f t="shared" si="9"/>
        <v>523.20000000000005</v>
      </c>
      <c r="X54" s="60">
        <f t="shared" si="9"/>
        <v>523.20000000000005</v>
      </c>
      <c r="Y54" s="60">
        <f t="shared" si="9"/>
        <v>523.20000000000005</v>
      </c>
      <c r="Z54" s="60">
        <f t="shared" si="9"/>
        <v>527.20000000000005</v>
      </c>
      <c r="AA54" s="60">
        <f t="shared" si="9"/>
        <v>527.20000000000005</v>
      </c>
      <c r="AB54" s="60">
        <f t="shared" si="9"/>
        <v>538.5</v>
      </c>
      <c r="AC54" s="60">
        <f t="shared" si="9"/>
        <v>538.5</v>
      </c>
      <c r="AD54" s="60">
        <f t="shared" si="9"/>
        <v>538.5</v>
      </c>
      <c r="AE54" s="60">
        <f t="shared" si="9"/>
        <v>538.5</v>
      </c>
      <c r="AF54" s="60">
        <f t="shared" ref="AF54" si="12">SUM(AF51:AF53)</f>
        <v>538.5</v>
      </c>
      <c r="AG54" s="61">
        <f t="shared" si="9"/>
        <v>538.1</v>
      </c>
      <c r="AH54" s="47">
        <f t="shared" si="2"/>
        <v>538.5</v>
      </c>
      <c r="AI54" s="48">
        <f t="shared" si="3"/>
        <v>523.20000000000005</v>
      </c>
      <c r="AK54" s="50"/>
    </row>
    <row r="55" spans="1:41" x14ac:dyDescent="0.25">
      <c r="A55" s="44" t="s">
        <v>63</v>
      </c>
      <c r="B55" s="45">
        <v>133.80000000000001</v>
      </c>
      <c r="C55" s="45">
        <v>133.80000000000001</v>
      </c>
      <c r="D55" s="45">
        <v>133.80000000000001</v>
      </c>
      <c r="E55" s="45">
        <v>133.80000000000001</v>
      </c>
      <c r="F55" s="45">
        <v>133.80000000000001</v>
      </c>
      <c r="G55" s="45">
        <v>133.80000000000001</v>
      </c>
      <c r="H55" s="45">
        <v>133.80000000000001</v>
      </c>
      <c r="I55" s="45">
        <v>133.80000000000001</v>
      </c>
      <c r="J55" s="45">
        <v>133.80000000000001</v>
      </c>
      <c r="K55" s="45">
        <v>133.80000000000001</v>
      </c>
      <c r="L55" s="45">
        <v>133.80000000000001</v>
      </c>
      <c r="M55" s="45">
        <v>135.1</v>
      </c>
      <c r="N55" s="45">
        <v>135.1</v>
      </c>
      <c r="O55" s="45">
        <v>135.9</v>
      </c>
      <c r="P55" s="45">
        <v>135.9</v>
      </c>
      <c r="Q55" s="45">
        <v>135.9</v>
      </c>
      <c r="R55" s="45">
        <v>135.9</v>
      </c>
      <c r="S55" s="45">
        <v>135.9</v>
      </c>
      <c r="T55" s="45">
        <v>135.4</v>
      </c>
      <c r="U55" s="45">
        <v>135.19999999999999</v>
      </c>
      <c r="V55" s="45">
        <v>135.4</v>
      </c>
      <c r="W55" s="45">
        <v>135.4</v>
      </c>
      <c r="X55" s="45">
        <v>135.4</v>
      </c>
      <c r="Y55" s="45">
        <v>135.4</v>
      </c>
      <c r="Z55" s="45">
        <v>135.4</v>
      </c>
      <c r="AA55" s="45">
        <v>135.4</v>
      </c>
      <c r="AB55" s="45">
        <v>135.80000000000001</v>
      </c>
      <c r="AC55" s="45">
        <v>135.9</v>
      </c>
      <c r="AD55" s="45">
        <v>135.9</v>
      </c>
      <c r="AE55" s="45">
        <v>136.19999999999999</v>
      </c>
      <c r="AF55" s="45">
        <v>95.1</v>
      </c>
      <c r="AG55" s="51">
        <v>144</v>
      </c>
      <c r="AH55" s="47">
        <f t="shared" si="2"/>
        <v>136.19999999999999</v>
      </c>
      <c r="AI55" s="48">
        <f t="shared" si="3"/>
        <v>95.1</v>
      </c>
      <c r="AK55" s="50"/>
    </row>
    <row r="56" spans="1:41" x14ac:dyDescent="0.25">
      <c r="A56" s="53" t="s">
        <v>64</v>
      </c>
      <c r="B56" s="64">
        <v>71.400000000000006</v>
      </c>
      <c r="C56" s="64">
        <v>71.400000000000006</v>
      </c>
      <c r="D56" s="64">
        <v>71.400000000000006</v>
      </c>
      <c r="E56" s="64">
        <v>71.400000000000006</v>
      </c>
      <c r="F56" s="64">
        <v>71.400000000000006</v>
      </c>
      <c r="G56" s="64">
        <v>71.400000000000006</v>
      </c>
      <c r="H56" s="64">
        <v>71.400000000000006</v>
      </c>
      <c r="I56" s="64">
        <v>71.400000000000006</v>
      </c>
      <c r="J56" s="64">
        <v>71.400000000000006</v>
      </c>
      <c r="K56" s="64">
        <v>71.400000000000006</v>
      </c>
      <c r="L56" s="64">
        <v>71.400000000000006</v>
      </c>
      <c r="M56" s="64">
        <v>69.2</v>
      </c>
      <c r="N56" s="64">
        <v>69.2</v>
      </c>
      <c r="O56" s="64">
        <v>69.2</v>
      </c>
      <c r="P56" s="64">
        <v>69.2</v>
      </c>
      <c r="Q56" s="64">
        <v>69.2</v>
      </c>
      <c r="R56" s="64">
        <v>69.2</v>
      </c>
      <c r="S56" s="64">
        <v>69.2</v>
      </c>
      <c r="T56" s="64">
        <v>70.599999999999994</v>
      </c>
      <c r="U56" s="64">
        <v>70.599999999999994</v>
      </c>
      <c r="V56" s="64">
        <v>70.599999999999994</v>
      </c>
      <c r="W56" s="64">
        <v>70.599999999999994</v>
      </c>
      <c r="X56" s="64">
        <v>70.599999999999994</v>
      </c>
      <c r="Y56" s="64">
        <v>70.599999999999994</v>
      </c>
      <c r="Z56" s="64">
        <v>70.599999999999994</v>
      </c>
      <c r="AA56" s="64">
        <v>70.599999999999994</v>
      </c>
      <c r="AB56" s="45">
        <v>70.400000000000006</v>
      </c>
      <c r="AC56" s="45">
        <v>71.2</v>
      </c>
      <c r="AD56" s="64">
        <v>72.3</v>
      </c>
      <c r="AE56" s="45">
        <v>70.8</v>
      </c>
      <c r="AF56" s="45">
        <v>71.8</v>
      </c>
      <c r="AG56" s="54">
        <v>70</v>
      </c>
      <c r="AH56" s="47">
        <f t="shared" si="2"/>
        <v>72.3</v>
      </c>
      <c r="AI56" s="48">
        <f t="shared" si="3"/>
        <v>69.2</v>
      </c>
      <c r="AK56" s="50"/>
    </row>
    <row r="57" spans="1:41" x14ac:dyDescent="0.25">
      <c r="A57" s="53" t="s">
        <v>65</v>
      </c>
      <c r="B57" s="64">
        <v>64.2</v>
      </c>
      <c r="C57" s="64">
        <v>64.2</v>
      </c>
      <c r="D57" s="64">
        <v>64.2</v>
      </c>
      <c r="E57" s="64">
        <v>64.2</v>
      </c>
      <c r="F57" s="64">
        <v>64.2</v>
      </c>
      <c r="G57" s="64">
        <v>64.2</v>
      </c>
      <c r="H57" s="64">
        <v>64.2</v>
      </c>
      <c r="I57" s="64">
        <v>62</v>
      </c>
      <c r="J57" s="64">
        <v>62</v>
      </c>
      <c r="K57" s="64">
        <v>62</v>
      </c>
      <c r="L57" s="64">
        <v>62</v>
      </c>
      <c r="M57" s="64">
        <v>61.6</v>
      </c>
      <c r="N57" s="64">
        <v>61.6</v>
      </c>
      <c r="O57" s="64">
        <v>61.6</v>
      </c>
      <c r="P57" s="64">
        <v>61.6</v>
      </c>
      <c r="Q57" s="64">
        <v>61.6</v>
      </c>
      <c r="R57" s="64">
        <v>61.6</v>
      </c>
      <c r="S57" s="64">
        <v>61.6</v>
      </c>
      <c r="T57" s="64">
        <v>65</v>
      </c>
      <c r="U57" s="64">
        <v>65</v>
      </c>
      <c r="V57" s="64">
        <v>65</v>
      </c>
      <c r="W57" s="64">
        <v>65</v>
      </c>
      <c r="X57" s="64">
        <v>65</v>
      </c>
      <c r="Y57" s="64">
        <v>65</v>
      </c>
      <c r="Z57" s="64">
        <v>65</v>
      </c>
      <c r="AA57" s="64">
        <v>65</v>
      </c>
      <c r="AB57" s="45">
        <v>65.099999999999994</v>
      </c>
      <c r="AC57" s="45">
        <v>65.3</v>
      </c>
      <c r="AD57" s="64">
        <v>65.3</v>
      </c>
      <c r="AE57" s="64">
        <v>65.3</v>
      </c>
      <c r="AF57" s="64">
        <v>64.099999999999994</v>
      </c>
      <c r="AG57" s="54">
        <v>69</v>
      </c>
      <c r="AH57" s="47">
        <f t="shared" si="2"/>
        <v>65.3</v>
      </c>
      <c r="AI57" s="48">
        <f t="shared" si="3"/>
        <v>61.6</v>
      </c>
      <c r="AK57" s="50"/>
    </row>
    <row r="58" spans="1:41" x14ac:dyDescent="0.25">
      <c r="A58" s="53" t="s">
        <v>66</v>
      </c>
      <c r="B58" s="64">
        <v>30.5</v>
      </c>
      <c r="C58" s="64">
        <v>30.5</v>
      </c>
      <c r="D58" s="64">
        <v>30.5</v>
      </c>
      <c r="E58" s="64">
        <v>30.5</v>
      </c>
      <c r="F58" s="64">
        <v>30.5</v>
      </c>
      <c r="G58" s="64">
        <v>30.5</v>
      </c>
      <c r="H58" s="64">
        <v>30.5</v>
      </c>
      <c r="I58" s="64">
        <v>30.5</v>
      </c>
      <c r="J58" s="64">
        <v>30.5</v>
      </c>
      <c r="K58" s="64">
        <v>30.5</v>
      </c>
      <c r="L58" s="64">
        <v>30.5</v>
      </c>
      <c r="M58" s="64">
        <v>20.100000000000001</v>
      </c>
      <c r="N58" s="64">
        <v>29.1</v>
      </c>
      <c r="O58" s="64">
        <v>29.7</v>
      </c>
      <c r="P58" s="64">
        <v>29.7</v>
      </c>
      <c r="Q58" s="64">
        <v>29.7</v>
      </c>
      <c r="R58" s="64">
        <v>29.7</v>
      </c>
      <c r="S58" s="64">
        <v>29.7</v>
      </c>
      <c r="T58" s="64">
        <v>30.2</v>
      </c>
      <c r="U58" s="64">
        <v>30.2</v>
      </c>
      <c r="V58" s="64">
        <v>30.2</v>
      </c>
      <c r="W58" s="64">
        <v>0</v>
      </c>
      <c r="X58" s="64">
        <v>0</v>
      </c>
      <c r="Y58" s="64">
        <v>0</v>
      </c>
      <c r="Z58" s="64">
        <v>31</v>
      </c>
      <c r="AA58" s="64">
        <v>31</v>
      </c>
      <c r="AB58" s="45">
        <v>30.7</v>
      </c>
      <c r="AC58" s="45">
        <v>30.7</v>
      </c>
      <c r="AD58" s="64">
        <v>31</v>
      </c>
      <c r="AE58" s="64">
        <v>31</v>
      </c>
      <c r="AF58" s="64">
        <v>31</v>
      </c>
      <c r="AG58" s="54">
        <v>60</v>
      </c>
      <c r="AH58" s="47">
        <f t="shared" si="2"/>
        <v>31</v>
      </c>
      <c r="AI58" s="48">
        <f t="shared" si="3"/>
        <v>0</v>
      </c>
      <c r="AK58" s="50"/>
    </row>
    <row r="59" spans="1:41" x14ac:dyDescent="0.25">
      <c r="A59" s="53" t="s">
        <v>67</v>
      </c>
      <c r="B59" s="64">
        <v>30</v>
      </c>
      <c r="C59" s="64">
        <v>30</v>
      </c>
      <c r="D59" s="64">
        <v>30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64">
        <v>30</v>
      </c>
      <c r="L59" s="64">
        <v>30</v>
      </c>
      <c r="M59" s="64">
        <v>30</v>
      </c>
      <c r="N59" s="64">
        <v>30</v>
      </c>
      <c r="O59" s="64">
        <v>30</v>
      </c>
      <c r="P59" s="64">
        <v>30</v>
      </c>
      <c r="Q59" s="64">
        <v>30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64">
        <v>30</v>
      </c>
      <c r="AA59" s="64">
        <v>30</v>
      </c>
      <c r="AB59" s="45">
        <v>30</v>
      </c>
      <c r="AC59" s="45">
        <v>30</v>
      </c>
      <c r="AD59" s="64">
        <v>30</v>
      </c>
      <c r="AE59" s="64">
        <v>30</v>
      </c>
      <c r="AF59" s="64">
        <v>30</v>
      </c>
      <c r="AG59" s="54">
        <v>30</v>
      </c>
      <c r="AH59" s="47">
        <f t="shared" si="2"/>
        <v>30</v>
      </c>
      <c r="AI59" s="48">
        <f t="shared" si="3"/>
        <v>30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6</v>
      </c>
      <c r="N60" s="64">
        <v>8</v>
      </c>
      <c r="O60" s="64">
        <v>8</v>
      </c>
      <c r="P60" s="64">
        <v>8</v>
      </c>
      <c r="Q60" s="64">
        <v>8</v>
      </c>
      <c r="R60" s="64">
        <v>8</v>
      </c>
      <c r="S60" s="64">
        <v>8</v>
      </c>
      <c r="T60" s="64">
        <v>0.5</v>
      </c>
      <c r="U60" s="64">
        <v>1.2</v>
      </c>
      <c r="V60" s="64">
        <v>1.2</v>
      </c>
      <c r="W60" s="64">
        <v>1.2</v>
      </c>
      <c r="X60" s="64">
        <v>1.2</v>
      </c>
      <c r="Y60" s="64">
        <v>0.2</v>
      </c>
      <c r="Z60" s="64">
        <v>0</v>
      </c>
      <c r="AA60" s="64">
        <v>0</v>
      </c>
      <c r="AB60" s="45">
        <v>0</v>
      </c>
      <c r="AC60" s="45">
        <v>0</v>
      </c>
      <c r="AD60" s="64">
        <v>0</v>
      </c>
      <c r="AE60" s="64">
        <v>0</v>
      </c>
      <c r="AF60" s="64">
        <v>0</v>
      </c>
      <c r="AG60" s="54">
        <v>25</v>
      </c>
      <c r="AH60" s="47">
        <f t="shared" si="2"/>
        <v>8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3.1</v>
      </c>
      <c r="C62" s="64">
        <v>3.1</v>
      </c>
      <c r="D62" s="64">
        <v>3.1</v>
      </c>
      <c r="E62" s="64">
        <v>3.1</v>
      </c>
      <c r="F62" s="64">
        <v>3.1</v>
      </c>
      <c r="G62" s="64">
        <v>3.1</v>
      </c>
      <c r="H62" s="64">
        <v>3.1</v>
      </c>
      <c r="I62" s="64">
        <v>3.1</v>
      </c>
      <c r="J62" s="64">
        <v>3.1</v>
      </c>
      <c r="K62" s="64">
        <v>3.1</v>
      </c>
      <c r="L62" s="64">
        <v>3.1</v>
      </c>
      <c r="M62" s="64">
        <v>3.1</v>
      </c>
      <c r="N62" s="64">
        <v>3.1</v>
      </c>
      <c r="O62" s="64">
        <v>3.1</v>
      </c>
      <c r="P62" s="64">
        <v>3.1</v>
      </c>
      <c r="Q62" s="64">
        <v>3.1</v>
      </c>
      <c r="R62" s="64">
        <v>3.1</v>
      </c>
      <c r="S62" s="64">
        <v>3.1</v>
      </c>
      <c r="T62" s="64">
        <v>3.1</v>
      </c>
      <c r="U62" s="64">
        <v>3.1</v>
      </c>
      <c r="V62" s="64">
        <v>3.1</v>
      </c>
      <c r="W62" s="64">
        <v>3.1</v>
      </c>
      <c r="X62" s="64">
        <v>3.1</v>
      </c>
      <c r="Y62" s="64">
        <v>3.1</v>
      </c>
      <c r="Z62" s="64">
        <v>3.1</v>
      </c>
      <c r="AA62" s="64">
        <v>3.1</v>
      </c>
      <c r="AB62" s="64">
        <v>3.1</v>
      </c>
      <c r="AC62" s="64">
        <v>3.1</v>
      </c>
      <c r="AD62" s="64">
        <v>3.1</v>
      </c>
      <c r="AE62" s="64">
        <v>3.1</v>
      </c>
      <c r="AF62" s="64">
        <v>3.1</v>
      </c>
      <c r="AG62" s="54">
        <v>15</v>
      </c>
      <c r="AH62" s="47">
        <f t="shared" si="2"/>
        <v>3.1</v>
      </c>
      <c r="AI62" s="48">
        <f t="shared" si="3"/>
        <v>3.1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11.3</v>
      </c>
      <c r="C63" s="64">
        <v>11.3</v>
      </c>
      <c r="D63" s="64">
        <v>11.3</v>
      </c>
      <c r="E63" s="64">
        <v>11.3</v>
      </c>
      <c r="F63" s="64">
        <v>11.3</v>
      </c>
      <c r="G63" s="64">
        <v>11.3</v>
      </c>
      <c r="H63" s="64">
        <v>11.3</v>
      </c>
      <c r="I63" s="64">
        <v>11.3</v>
      </c>
      <c r="J63" s="64">
        <v>11.3</v>
      </c>
      <c r="K63" s="64">
        <v>11.3</v>
      </c>
      <c r="L63" s="64">
        <v>11.3</v>
      </c>
      <c r="M63" s="64">
        <v>11.3</v>
      </c>
      <c r="N63" s="64">
        <v>11.3</v>
      </c>
      <c r="O63" s="64">
        <v>11.3</v>
      </c>
      <c r="P63" s="64">
        <v>11.3</v>
      </c>
      <c r="Q63" s="64">
        <v>11.3</v>
      </c>
      <c r="R63" s="64">
        <v>11.3</v>
      </c>
      <c r="S63" s="64">
        <v>11.3</v>
      </c>
      <c r="T63" s="64">
        <v>11.3</v>
      </c>
      <c r="U63" s="64">
        <v>11.3</v>
      </c>
      <c r="V63" s="64">
        <v>11.3</v>
      </c>
      <c r="W63" s="64">
        <v>11.3</v>
      </c>
      <c r="X63" s="64">
        <v>11.3</v>
      </c>
      <c r="Y63" s="64">
        <v>12.1</v>
      </c>
      <c r="Z63" s="64">
        <v>12.1</v>
      </c>
      <c r="AA63" s="64">
        <v>12.1</v>
      </c>
      <c r="AB63" s="64">
        <v>12.1</v>
      </c>
      <c r="AC63" s="64">
        <v>12.1</v>
      </c>
      <c r="AD63" s="64">
        <v>12.1</v>
      </c>
      <c r="AE63" s="64">
        <v>12.1</v>
      </c>
      <c r="AF63" s="64">
        <v>12.1</v>
      </c>
      <c r="AG63" s="54">
        <v>14.1</v>
      </c>
      <c r="AH63" s="47">
        <f t="shared" si="2"/>
        <v>12.1</v>
      </c>
      <c r="AI63" s="48">
        <f t="shared" si="3"/>
        <v>11.3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13.9</v>
      </c>
      <c r="C64" s="64">
        <v>13.9</v>
      </c>
      <c r="D64" s="64">
        <v>13.9</v>
      </c>
      <c r="E64" s="64">
        <v>13.9</v>
      </c>
      <c r="F64" s="64">
        <v>13.9</v>
      </c>
      <c r="G64" s="64">
        <v>13.9</v>
      </c>
      <c r="H64" s="64">
        <v>13.9</v>
      </c>
      <c r="I64" s="64">
        <v>13.9</v>
      </c>
      <c r="J64" s="64">
        <v>13.9</v>
      </c>
      <c r="K64" s="64">
        <v>13.9</v>
      </c>
      <c r="L64" s="64">
        <v>13.9</v>
      </c>
      <c r="M64" s="64">
        <v>13.9</v>
      </c>
      <c r="N64" s="64">
        <v>13.9</v>
      </c>
      <c r="O64" s="64">
        <v>13.9</v>
      </c>
      <c r="P64" s="64">
        <v>13.9</v>
      </c>
      <c r="Q64" s="64">
        <v>13.9</v>
      </c>
      <c r="R64" s="64">
        <v>13.9</v>
      </c>
      <c r="S64" s="64">
        <v>13.9</v>
      </c>
      <c r="T64" s="64">
        <v>13.9</v>
      </c>
      <c r="U64" s="64">
        <v>13.9</v>
      </c>
      <c r="V64" s="64">
        <v>13.9</v>
      </c>
      <c r="W64" s="64">
        <v>13.9</v>
      </c>
      <c r="X64" s="64">
        <v>13.9</v>
      </c>
      <c r="Y64" s="64">
        <v>2.7</v>
      </c>
      <c r="Z64" s="64">
        <v>12.5</v>
      </c>
      <c r="AA64" s="64">
        <v>12.5</v>
      </c>
      <c r="AB64" s="64">
        <v>12.5</v>
      </c>
      <c r="AC64" s="64">
        <v>12.5</v>
      </c>
      <c r="AD64" s="64">
        <v>12.5</v>
      </c>
      <c r="AE64" s="64">
        <v>12.5</v>
      </c>
      <c r="AF64" s="64">
        <v>12.5</v>
      </c>
      <c r="AG64" s="54">
        <v>14</v>
      </c>
      <c r="AH64" s="47">
        <f t="shared" si="2"/>
        <v>13.9</v>
      </c>
      <c r="AI64" s="48">
        <f t="shared" si="3"/>
        <v>2.7</v>
      </c>
      <c r="AK64" s="50"/>
    </row>
    <row r="65" spans="1:40" x14ac:dyDescent="0.25">
      <c r="A65" s="53" t="s">
        <v>73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v>392.44000000000005</v>
      </c>
      <c r="C68" s="60">
        <f t="shared" ref="C68:AG68" si="13">SUM(C55:C67)</f>
        <v>392.44000000000005</v>
      </c>
      <c r="D68" s="60">
        <f t="shared" si="13"/>
        <v>392.44000000000005</v>
      </c>
      <c r="E68" s="60">
        <f t="shared" si="13"/>
        <v>392.44000000000005</v>
      </c>
      <c r="F68" s="60">
        <f t="shared" si="13"/>
        <v>392.44000000000005</v>
      </c>
      <c r="G68" s="60">
        <f t="shared" ref="G68:I68" si="14">SUM(G55:G67)</f>
        <v>392.44000000000005</v>
      </c>
      <c r="H68" s="60">
        <f t="shared" si="14"/>
        <v>392.44000000000005</v>
      </c>
      <c r="I68" s="60">
        <f t="shared" si="14"/>
        <v>390.24000000000007</v>
      </c>
      <c r="J68" s="60">
        <f t="shared" si="13"/>
        <v>390.24000000000007</v>
      </c>
      <c r="K68" s="60">
        <f t="shared" si="13"/>
        <v>390.24000000000007</v>
      </c>
      <c r="L68" s="60">
        <f t="shared" si="13"/>
        <v>390.24000000000007</v>
      </c>
      <c r="M68" s="60">
        <f t="shared" si="13"/>
        <v>384.54000000000008</v>
      </c>
      <c r="N68" s="60">
        <f t="shared" si="13"/>
        <v>395.54000000000008</v>
      </c>
      <c r="O68" s="60">
        <f t="shared" si="13"/>
        <v>396.94000000000005</v>
      </c>
      <c r="P68" s="60">
        <f t="shared" si="13"/>
        <v>396.94000000000005</v>
      </c>
      <c r="Q68" s="60">
        <f t="shared" si="13"/>
        <v>396.94000000000005</v>
      </c>
      <c r="R68" s="60">
        <f t="shared" si="13"/>
        <v>396.94000000000005</v>
      </c>
      <c r="S68" s="60">
        <f t="shared" si="13"/>
        <v>396.94000000000005</v>
      </c>
      <c r="T68" s="60">
        <f t="shared" ref="T68:U68" si="15">SUM(T55:T67)</f>
        <v>394.24</v>
      </c>
      <c r="U68" s="60">
        <f t="shared" si="15"/>
        <v>394.73999999999995</v>
      </c>
      <c r="V68" s="60">
        <f t="shared" si="13"/>
        <v>394.94</v>
      </c>
      <c r="W68" s="60">
        <f t="shared" si="13"/>
        <v>364.74</v>
      </c>
      <c r="X68" s="60">
        <f t="shared" si="13"/>
        <v>364.74</v>
      </c>
      <c r="Y68" s="60">
        <f t="shared" si="13"/>
        <v>353.34000000000003</v>
      </c>
      <c r="Z68" s="60">
        <f t="shared" si="13"/>
        <v>393.94000000000005</v>
      </c>
      <c r="AA68" s="60">
        <f t="shared" si="13"/>
        <v>393.94000000000005</v>
      </c>
      <c r="AB68" s="60">
        <f t="shared" si="13"/>
        <v>393.94000000000005</v>
      </c>
      <c r="AC68" s="60">
        <f t="shared" si="13"/>
        <v>395.04000000000008</v>
      </c>
      <c r="AD68" s="60">
        <f t="shared" si="13"/>
        <v>396.44000000000005</v>
      </c>
      <c r="AE68" s="60">
        <f t="shared" si="13"/>
        <v>395.24000000000007</v>
      </c>
      <c r="AF68" s="60">
        <f t="shared" si="13"/>
        <v>353.94000000000005</v>
      </c>
      <c r="AG68" s="61">
        <f t="shared" si="13"/>
        <v>489.91</v>
      </c>
      <c r="AH68" s="47">
        <f t="shared" si="2"/>
        <v>396.94000000000005</v>
      </c>
      <c r="AI68" s="48">
        <f t="shared" si="3"/>
        <v>353.34000000000003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6">M69+M70+M71</f>
        <v>0</v>
      </c>
      <c r="N72" s="60">
        <f t="shared" si="16"/>
        <v>0</v>
      </c>
      <c r="O72" s="60">
        <f t="shared" si="16"/>
        <v>0</v>
      </c>
      <c r="P72" s="60">
        <f t="shared" si="16"/>
        <v>0</v>
      </c>
      <c r="Q72" s="60">
        <f t="shared" si="16"/>
        <v>0</v>
      </c>
      <c r="R72" s="60">
        <f t="shared" si="16"/>
        <v>0</v>
      </c>
      <c r="S72" s="60">
        <f t="shared" si="16"/>
        <v>0</v>
      </c>
      <c r="T72" s="60">
        <f t="shared" ref="T72:U72" si="17">T69+T70+T71</f>
        <v>0</v>
      </c>
      <c r="U72" s="60">
        <f t="shared" si="17"/>
        <v>0</v>
      </c>
      <c r="V72" s="60">
        <f t="shared" si="16"/>
        <v>0</v>
      </c>
      <c r="W72" s="60">
        <f t="shared" si="16"/>
        <v>0</v>
      </c>
      <c r="X72" s="60">
        <f t="shared" si="16"/>
        <v>0</v>
      </c>
      <c r="Y72" s="60">
        <f t="shared" si="16"/>
        <v>0</v>
      </c>
      <c r="Z72" s="60">
        <f t="shared" si="16"/>
        <v>0</v>
      </c>
      <c r="AA72" s="60">
        <f t="shared" si="16"/>
        <v>0</v>
      </c>
      <c r="AB72" s="60">
        <f t="shared" si="16"/>
        <v>0</v>
      </c>
      <c r="AC72" s="60">
        <f t="shared" si="16"/>
        <v>0</v>
      </c>
      <c r="AD72" s="60">
        <f t="shared" si="16"/>
        <v>0</v>
      </c>
      <c r="AE72" s="60">
        <f t="shared" si="16"/>
        <v>0</v>
      </c>
      <c r="AF72" s="60">
        <f t="shared" si="16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18</v>
      </c>
      <c r="C73" s="45">
        <v>-15</v>
      </c>
      <c r="D73" s="45">
        <v>-18</v>
      </c>
      <c r="E73" s="45">
        <v>-14</v>
      </c>
      <c r="F73" s="45">
        <v>-18</v>
      </c>
      <c r="G73" s="45">
        <v>10</v>
      </c>
      <c r="H73" s="45">
        <v>2.1</v>
      </c>
      <c r="I73" s="45">
        <v>12.6</v>
      </c>
      <c r="J73" s="45">
        <v>-15.6</v>
      </c>
      <c r="K73" s="45">
        <v>-23</v>
      </c>
      <c r="L73" s="45">
        <v>-29</v>
      </c>
      <c r="M73" s="45">
        <v>-10.9</v>
      </c>
      <c r="N73" s="45">
        <v>-8</v>
      </c>
      <c r="O73" s="45">
        <v>0</v>
      </c>
      <c r="P73" s="45">
        <v>6.2</v>
      </c>
      <c r="Q73" s="45">
        <v>8.6999999999999993</v>
      </c>
      <c r="R73" s="45">
        <v>7</v>
      </c>
      <c r="S73" s="45">
        <v>18.7</v>
      </c>
      <c r="T73" s="45">
        <v>16.5</v>
      </c>
      <c r="U73" s="45">
        <v>16.5</v>
      </c>
      <c r="V73" s="45">
        <v>-11</v>
      </c>
      <c r="W73" s="45">
        <v>-16</v>
      </c>
      <c r="X73" s="45">
        <v>-2.8</v>
      </c>
      <c r="Y73" s="45">
        <v>-1.8</v>
      </c>
      <c r="Z73" s="45">
        <v>0</v>
      </c>
      <c r="AA73" s="45">
        <v>17</v>
      </c>
      <c r="AB73" s="45">
        <v>14.9</v>
      </c>
      <c r="AC73" s="45">
        <v>17</v>
      </c>
      <c r="AD73" s="45">
        <v>-11.1</v>
      </c>
      <c r="AE73" s="45">
        <v>-6.4</v>
      </c>
      <c r="AF73" s="45">
        <v>-6.1</v>
      </c>
      <c r="AG73" s="51"/>
      <c r="AH73" s="47">
        <f t="shared" si="2"/>
        <v>18.7</v>
      </c>
      <c r="AI73" s="48">
        <f t="shared" si="3"/>
        <v>-29</v>
      </c>
      <c r="AK73" s="50"/>
    </row>
    <row r="74" spans="1:40" x14ac:dyDescent="0.25">
      <c r="A74" s="53" t="s">
        <v>82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-286</v>
      </c>
      <c r="C75" s="64">
        <v>-300</v>
      </c>
      <c r="D75" s="64">
        <v>-290</v>
      </c>
      <c r="E75" s="64">
        <v>-321</v>
      </c>
      <c r="F75" s="64">
        <v>-360</v>
      </c>
      <c r="G75" s="64">
        <v>-290</v>
      </c>
      <c r="H75" s="64">
        <v>-385</v>
      </c>
      <c r="I75" s="64">
        <v>-412</v>
      </c>
      <c r="J75" s="64">
        <v>-352</v>
      </c>
      <c r="K75" s="64">
        <v>-310</v>
      </c>
      <c r="L75" s="64">
        <v>-301</v>
      </c>
      <c r="M75" s="64">
        <v>-335.4</v>
      </c>
      <c r="N75" s="64">
        <v>-301</v>
      </c>
      <c r="O75" s="64">
        <v>-251.8</v>
      </c>
      <c r="P75" s="64">
        <v>-313</v>
      </c>
      <c r="Q75" s="64">
        <v>-294</v>
      </c>
      <c r="R75" s="64">
        <v>-282</v>
      </c>
      <c r="S75" s="64">
        <v>-286</v>
      </c>
      <c r="T75" s="64">
        <v>-260.2</v>
      </c>
      <c r="U75" s="64">
        <v>-260.2</v>
      </c>
      <c r="V75" s="64">
        <v>-375</v>
      </c>
      <c r="W75" s="64">
        <v>-360</v>
      </c>
      <c r="X75" s="64">
        <v>-384</v>
      </c>
      <c r="Y75" s="64">
        <v>-361</v>
      </c>
      <c r="Z75" s="64">
        <v>-271</v>
      </c>
      <c r="AA75" s="64">
        <v>-285</v>
      </c>
      <c r="AB75" s="64">
        <v>-248</v>
      </c>
      <c r="AC75" s="64">
        <v>-254.6</v>
      </c>
      <c r="AD75" s="64">
        <v>-260.10000000000002</v>
      </c>
      <c r="AE75" s="64">
        <v>-330.1</v>
      </c>
      <c r="AF75" s="64">
        <v>-250</v>
      </c>
      <c r="AG75" s="74"/>
      <c r="AH75" s="47">
        <f t="shared" si="2"/>
        <v>-248</v>
      </c>
      <c r="AI75" s="48">
        <f t="shared" si="3"/>
        <v>-412</v>
      </c>
      <c r="AK75" s="50"/>
    </row>
    <row r="76" spans="1:40" x14ac:dyDescent="0.25">
      <c r="A76" s="53" t="s">
        <v>84</v>
      </c>
      <c r="B76" s="64"/>
      <c r="C76" s="64"/>
      <c r="D76" s="64"/>
      <c r="E76" s="64"/>
      <c r="F76" s="64"/>
      <c r="G76" s="64"/>
      <c r="H76" s="64"/>
      <c r="I76" s="64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64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45"/>
      <c r="D77" s="64"/>
      <c r="E77" s="64"/>
      <c r="F77" s="64"/>
      <c r="G77" s="64"/>
      <c r="H77" s="64"/>
      <c r="I77" s="64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4"/>
      <c r="AH77" s="47">
        <f t="shared" ref="AH77:AH120" si="18">MAX(B77:AF77)</f>
        <v>0</v>
      </c>
      <c r="AI77" s="48">
        <f t="shared" ref="AI77:AI120" si="19">MIN(B77:AF77)</f>
        <v>0</v>
      </c>
      <c r="AK77" s="50"/>
    </row>
    <row r="78" spans="1:40" x14ac:dyDescent="0.25">
      <c r="A78" s="53" t="s">
        <v>86</v>
      </c>
      <c r="B78" s="45">
        <v>5</v>
      </c>
      <c r="C78" s="45">
        <v>5</v>
      </c>
      <c r="D78" s="64">
        <v>5</v>
      </c>
      <c r="E78" s="64">
        <v>5</v>
      </c>
      <c r="F78" s="64">
        <v>5</v>
      </c>
      <c r="G78" s="64">
        <v>5</v>
      </c>
      <c r="H78" s="64">
        <v>5</v>
      </c>
      <c r="I78" s="64">
        <v>5</v>
      </c>
      <c r="J78" s="64">
        <v>5</v>
      </c>
      <c r="K78" s="64">
        <v>5</v>
      </c>
      <c r="L78" s="64">
        <v>5</v>
      </c>
      <c r="M78" s="76">
        <v>5</v>
      </c>
      <c r="N78" s="76">
        <v>5</v>
      </c>
      <c r="O78" s="76">
        <v>5</v>
      </c>
      <c r="P78" s="76">
        <v>5</v>
      </c>
      <c r="Q78" s="76">
        <v>5</v>
      </c>
      <c r="R78" s="76">
        <v>5</v>
      </c>
      <c r="S78" s="76">
        <v>5</v>
      </c>
      <c r="T78" s="76">
        <v>5</v>
      </c>
      <c r="U78" s="76">
        <v>5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5</v>
      </c>
      <c r="AC78" s="76">
        <v>5</v>
      </c>
      <c r="AD78" s="76">
        <v>5</v>
      </c>
      <c r="AE78" s="76">
        <v>5</v>
      </c>
      <c r="AF78" s="76">
        <v>5</v>
      </c>
      <c r="AG78" s="74"/>
      <c r="AH78" s="47">
        <f t="shared" si="18"/>
        <v>5</v>
      </c>
      <c r="AI78" s="48">
        <f t="shared" si="19"/>
        <v>0</v>
      </c>
      <c r="AK78" s="50"/>
    </row>
    <row r="79" spans="1:40" ht="15.75" thickBot="1" x14ac:dyDescent="0.3">
      <c r="A79" s="53" t="s">
        <v>87</v>
      </c>
      <c r="B79" s="45"/>
      <c r="C79" s="76"/>
      <c r="D79" s="64"/>
      <c r="E79" s="64"/>
      <c r="F79" s="64"/>
      <c r="G79" s="64"/>
      <c r="H79" s="64"/>
      <c r="I79" s="64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4"/>
      <c r="AH79" s="47">
        <f t="shared" si="18"/>
        <v>0</v>
      </c>
      <c r="AI79" s="48">
        <f t="shared" si="19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/>
      <c r="C80" s="76"/>
      <c r="D80" s="64"/>
      <c r="E80" s="64"/>
      <c r="F80" s="64"/>
      <c r="G80" s="64"/>
      <c r="H80" s="64"/>
      <c r="I80" s="64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4"/>
      <c r="AH80" s="47">
        <f t="shared" si="18"/>
        <v>0</v>
      </c>
      <c r="AI80" s="48">
        <f t="shared" si="19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/>
      <c r="C81" s="76"/>
      <c r="D81" s="64"/>
      <c r="E81" s="64"/>
      <c r="F81" s="64"/>
      <c r="G81" s="64"/>
      <c r="H81" s="64"/>
      <c r="I81" s="64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4"/>
      <c r="AH81" s="47">
        <f t="shared" si="18"/>
        <v>0</v>
      </c>
      <c r="AI81" s="48">
        <f t="shared" si="19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/>
      <c r="C82" s="76"/>
      <c r="D82" s="64"/>
      <c r="E82" s="64"/>
      <c r="F82" s="64"/>
      <c r="G82" s="64"/>
      <c r="H82" s="64"/>
      <c r="I82" s="64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84"/>
      <c r="AH82" s="47">
        <f t="shared" si="18"/>
        <v>0</v>
      </c>
      <c r="AI82" s="48">
        <f t="shared" si="19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/>
      <c r="C83" s="76"/>
      <c r="D83" s="64"/>
      <c r="E83" s="64"/>
      <c r="F83" s="64"/>
      <c r="G83" s="64"/>
      <c r="H83" s="64"/>
      <c r="I83" s="64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4"/>
      <c r="AH83" s="47">
        <f t="shared" si="18"/>
        <v>0</v>
      </c>
      <c r="AI83" s="48">
        <f t="shared" si="19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v>33</v>
      </c>
      <c r="C84" s="60">
        <f t="shared" ref="C84:AF84" si="20">SUMIF(C73:C83,"&gt;0")</f>
        <v>5</v>
      </c>
      <c r="D84" s="60">
        <f t="shared" si="20"/>
        <v>5</v>
      </c>
      <c r="E84" s="60">
        <f t="shared" si="20"/>
        <v>5</v>
      </c>
      <c r="F84" s="60">
        <f t="shared" si="20"/>
        <v>5</v>
      </c>
      <c r="G84" s="60">
        <f t="shared" ref="G84:I84" si="21">SUMIF(G73:G83,"&gt;0")</f>
        <v>15</v>
      </c>
      <c r="H84" s="60">
        <f t="shared" si="21"/>
        <v>7.1</v>
      </c>
      <c r="I84" s="60">
        <f t="shared" si="21"/>
        <v>17.600000000000001</v>
      </c>
      <c r="J84" s="60">
        <f t="shared" si="20"/>
        <v>5</v>
      </c>
      <c r="K84" s="60">
        <f t="shared" si="20"/>
        <v>5</v>
      </c>
      <c r="L84" s="60">
        <f t="shared" si="20"/>
        <v>5</v>
      </c>
      <c r="M84" s="60">
        <f t="shared" si="20"/>
        <v>5</v>
      </c>
      <c r="N84" s="60">
        <f t="shared" si="20"/>
        <v>5</v>
      </c>
      <c r="O84" s="60">
        <f t="shared" si="20"/>
        <v>5</v>
      </c>
      <c r="P84" s="60">
        <f t="shared" si="20"/>
        <v>11.2</v>
      </c>
      <c r="Q84" s="60">
        <f t="shared" si="20"/>
        <v>13.7</v>
      </c>
      <c r="R84" s="60">
        <f t="shared" si="20"/>
        <v>12</v>
      </c>
      <c r="S84" s="60">
        <f t="shared" si="20"/>
        <v>23.7</v>
      </c>
      <c r="T84" s="60">
        <f t="shared" ref="T84:U84" si="22">SUMIF(T73:T83,"&gt;0")</f>
        <v>21.5</v>
      </c>
      <c r="U84" s="60">
        <f t="shared" si="22"/>
        <v>21.5</v>
      </c>
      <c r="V84" s="60">
        <f t="shared" si="20"/>
        <v>0</v>
      </c>
      <c r="W84" s="60">
        <f t="shared" si="20"/>
        <v>0</v>
      </c>
      <c r="X84" s="60">
        <f t="shared" si="20"/>
        <v>0</v>
      </c>
      <c r="Y84" s="60">
        <f t="shared" si="20"/>
        <v>0</v>
      </c>
      <c r="Z84" s="60">
        <f t="shared" si="20"/>
        <v>0</v>
      </c>
      <c r="AA84" s="60">
        <f t="shared" si="20"/>
        <v>17</v>
      </c>
      <c r="AB84" s="60">
        <f t="shared" si="20"/>
        <v>19.899999999999999</v>
      </c>
      <c r="AC84" s="60">
        <f t="shared" si="20"/>
        <v>22</v>
      </c>
      <c r="AD84" s="60">
        <f t="shared" si="20"/>
        <v>5</v>
      </c>
      <c r="AE84" s="60">
        <f t="shared" si="20"/>
        <v>5</v>
      </c>
      <c r="AF84" s="60">
        <f t="shared" si="20"/>
        <v>5</v>
      </c>
      <c r="AG84" s="87">
        <f>SUM(AG73:AG83)</f>
        <v>0</v>
      </c>
      <c r="AH84" s="47">
        <f t="shared" si="18"/>
        <v>33</v>
      </c>
      <c r="AI84" s="48">
        <f t="shared" si="19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8"/>
        <v>0</v>
      </c>
      <c r="AI85" s="48">
        <f t="shared" si="19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8"/>
        <v>0</v>
      </c>
      <c r="AI86" s="48">
        <f t="shared" si="19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8"/>
        <v>0</v>
      </c>
      <c r="AI87" s="48">
        <f t="shared" si="19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8"/>
        <v>0</v>
      </c>
      <c r="AI88" s="48">
        <f t="shared" si="19"/>
        <v>0</v>
      </c>
    </row>
    <row r="89" spans="1:40" ht="15.75" thickBot="1" x14ac:dyDescent="0.3">
      <c r="A89" s="73" t="s">
        <v>100</v>
      </c>
      <c r="B89" s="94">
        <v>2051.44</v>
      </c>
      <c r="C89" s="94">
        <f t="shared" ref="C89:AG89" si="23">C50+C54+C72+C68+C84+C88</f>
        <v>1970.14</v>
      </c>
      <c r="D89" s="94">
        <f t="shared" si="23"/>
        <v>1975.14</v>
      </c>
      <c r="E89" s="94">
        <f t="shared" si="23"/>
        <v>1982.94</v>
      </c>
      <c r="F89" s="94">
        <f t="shared" si="23"/>
        <v>1982.94</v>
      </c>
      <c r="G89" s="94">
        <f t="shared" ref="G89:I89" si="24">G50+G54+G72+G68+G84+G88</f>
        <v>2000.94</v>
      </c>
      <c r="H89" s="94">
        <f t="shared" si="24"/>
        <v>1989.04</v>
      </c>
      <c r="I89" s="94">
        <f t="shared" si="24"/>
        <v>2000.34</v>
      </c>
      <c r="J89" s="94">
        <f t="shared" si="23"/>
        <v>2007.24</v>
      </c>
      <c r="K89" s="94">
        <f t="shared" si="23"/>
        <v>2012.24</v>
      </c>
      <c r="L89" s="94">
        <f t="shared" si="23"/>
        <v>2007.24</v>
      </c>
      <c r="M89" s="94">
        <f t="shared" si="23"/>
        <v>2007.54</v>
      </c>
      <c r="N89" s="94">
        <f t="shared" si="23"/>
        <v>1976.04</v>
      </c>
      <c r="O89" s="94">
        <f t="shared" si="23"/>
        <v>1977.44</v>
      </c>
      <c r="P89" s="94">
        <f t="shared" si="23"/>
        <v>1991.0400000000002</v>
      </c>
      <c r="Q89" s="94">
        <f t="shared" si="23"/>
        <v>1982.2400000000002</v>
      </c>
      <c r="R89" s="94">
        <f t="shared" si="23"/>
        <v>1980.9400000000003</v>
      </c>
      <c r="S89" s="94">
        <f t="shared" si="23"/>
        <v>2000.7400000000002</v>
      </c>
      <c r="T89" s="94">
        <f t="shared" ref="T89:U89" si="25">T50+T54+T72+T68+T84+T88</f>
        <v>1995.8400000000001</v>
      </c>
      <c r="U89" s="94">
        <f t="shared" si="25"/>
        <v>2030.2400000000002</v>
      </c>
      <c r="V89" s="94">
        <f t="shared" si="23"/>
        <v>1984.9400000000003</v>
      </c>
      <c r="W89" s="94">
        <f t="shared" si="23"/>
        <v>1918.14</v>
      </c>
      <c r="X89" s="94">
        <f t="shared" si="23"/>
        <v>1922.94</v>
      </c>
      <c r="Y89" s="94">
        <f t="shared" si="23"/>
        <v>1911.54</v>
      </c>
      <c r="Z89" s="94">
        <f t="shared" si="23"/>
        <v>2010.74</v>
      </c>
      <c r="AA89" s="94">
        <f t="shared" si="23"/>
        <v>2066.1400000000003</v>
      </c>
      <c r="AB89" s="94">
        <f t="shared" si="23"/>
        <v>2116.34</v>
      </c>
      <c r="AC89" s="94">
        <f t="shared" si="23"/>
        <v>2058.14</v>
      </c>
      <c r="AD89" s="94">
        <f t="shared" si="23"/>
        <v>2061.04</v>
      </c>
      <c r="AE89" s="94">
        <f t="shared" si="23"/>
        <v>2059.84</v>
      </c>
      <c r="AF89" s="94">
        <f t="shared" si="23"/>
        <v>1948.64</v>
      </c>
      <c r="AG89" s="61">
        <f t="shared" si="23"/>
        <v>2111.5500000000002</v>
      </c>
      <c r="AH89" s="47">
        <f t="shared" si="18"/>
        <v>2116.34</v>
      </c>
      <c r="AI89" s="48">
        <f t="shared" si="19"/>
        <v>1911.54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8"/>
        <v>0</v>
      </c>
      <c r="AI90" s="48">
        <f t="shared" si="19"/>
        <v>0</v>
      </c>
    </row>
    <row r="91" spans="1:40" ht="15.75" thickBot="1" x14ac:dyDescent="0.3">
      <c r="A91" s="73" t="s">
        <v>102</v>
      </c>
      <c r="B91" s="94">
        <v>2051.44</v>
      </c>
      <c r="C91" s="94">
        <f t="shared" ref="C91:AF91" si="26">C89+C90</f>
        <v>1970.14</v>
      </c>
      <c r="D91" s="94">
        <f t="shared" si="26"/>
        <v>1975.14</v>
      </c>
      <c r="E91" s="94">
        <f t="shared" si="26"/>
        <v>1982.94</v>
      </c>
      <c r="F91" s="94">
        <f t="shared" si="26"/>
        <v>1982.94</v>
      </c>
      <c r="G91" s="94">
        <f t="shared" ref="G91:I91" si="27">G89+G90</f>
        <v>2000.94</v>
      </c>
      <c r="H91" s="94">
        <f t="shared" si="27"/>
        <v>1989.04</v>
      </c>
      <c r="I91" s="94">
        <f t="shared" si="27"/>
        <v>2000.34</v>
      </c>
      <c r="J91" s="94">
        <f t="shared" si="26"/>
        <v>2007.24</v>
      </c>
      <c r="K91" s="94">
        <f t="shared" si="26"/>
        <v>2012.24</v>
      </c>
      <c r="L91" s="94">
        <f t="shared" si="26"/>
        <v>2007.24</v>
      </c>
      <c r="M91" s="94">
        <f t="shared" si="26"/>
        <v>2007.54</v>
      </c>
      <c r="N91" s="94">
        <f t="shared" si="26"/>
        <v>1976.04</v>
      </c>
      <c r="O91" s="94">
        <f t="shared" si="26"/>
        <v>1977.44</v>
      </c>
      <c r="P91" s="94">
        <f t="shared" si="26"/>
        <v>1991.0400000000002</v>
      </c>
      <c r="Q91" s="94">
        <f t="shared" si="26"/>
        <v>1982.2400000000002</v>
      </c>
      <c r="R91" s="94">
        <f t="shared" si="26"/>
        <v>1980.9400000000003</v>
      </c>
      <c r="S91" s="94">
        <f t="shared" si="26"/>
        <v>2000.7400000000002</v>
      </c>
      <c r="T91" s="94">
        <f t="shared" ref="T91:U91" si="28">T89+T90</f>
        <v>1995.8400000000001</v>
      </c>
      <c r="U91" s="94">
        <f t="shared" si="28"/>
        <v>2030.2400000000002</v>
      </c>
      <c r="V91" s="94">
        <f t="shared" si="26"/>
        <v>1984.9400000000003</v>
      </c>
      <c r="W91" s="94">
        <f t="shared" si="26"/>
        <v>1918.14</v>
      </c>
      <c r="X91" s="94">
        <f t="shared" si="26"/>
        <v>1922.94</v>
      </c>
      <c r="Y91" s="94">
        <f t="shared" si="26"/>
        <v>1911.54</v>
      </c>
      <c r="Z91" s="94">
        <f t="shared" si="26"/>
        <v>2010.74</v>
      </c>
      <c r="AA91" s="94">
        <f t="shared" si="26"/>
        <v>2066.1400000000003</v>
      </c>
      <c r="AB91" s="94">
        <f t="shared" si="26"/>
        <v>2116.34</v>
      </c>
      <c r="AC91" s="94">
        <f t="shared" si="26"/>
        <v>2058.14</v>
      </c>
      <c r="AD91" s="94">
        <f t="shared" si="26"/>
        <v>2061.04</v>
      </c>
      <c r="AE91" s="94">
        <f t="shared" si="26"/>
        <v>2059.84</v>
      </c>
      <c r="AF91" s="94">
        <f t="shared" si="26"/>
        <v>1948.64</v>
      </c>
      <c r="AG91" s="87">
        <f>AG88+AG84+AG72+AG68+AG50+AG90</f>
        <v>1573.45</v>
      </c>
      <c r="AH91" s="47">
        <f t="shared" si="18"/>
        <v>2116.34</v>
      </c>
      <c r="AI91" s="48">
        <f t="shared" si="19"/>
        <v>1911.54</v>
      </c>
    </row>
    <row r="92" spans="1:40" ht="15.75" thickBot="1" x14ac:dyDescent="0.3">
      <c r="A92" s="73" t="s">
        <v>103</v>
      </c>
      <c r="B92" s="94">
        <v>2051.44</v>
      </c>
      <c r="C92" s="94">
        <f t="shared" ref="C92:AF92" si="29">C91-C99</f>
        <v>1970.14</v>
      </c>
      <c r="D92" s="94">
        <f t="shared" si="29"/>
        <v>1975.14</v>
      </c>
      <c r="E92" s="94">
        <f t="shared" si="29"/>
        <v>1982.94</v>
      </c>
      <c r="F92" s="94">
        <f t="shared" si="29"/>
        <v>1982.94</v>
      </c>
      <c r="G92" s="94">
        <f t="shared" ref="G92:I92" si="30">G91-G99</f>
        <v>2000.94</v>
      </c>
      <c r="H92" s="94">
        <f t="shared" si="30"/>
        <v>1989.04</v>
      </c>
      <c r="I92" s="94">
        <f t="shared" si="30"/>
        <v>2000.34</v>
      </c>
      <c r="J92" s="94">
        <f t="shared" si="29"/>
        <v>2007.24</v>
      </c>
      <c r="K92" s="94">
        <f t="shared" si="29"/>
        <v>2012.24</v>
      </c>
      <c r="L92" s="94">
        <f t="shared" si="29"/>
        <v>2007.24</v>
      </c>
      <c r="M92" s="94">
        <f t="shared" si="29"/>
        <v>2007.54</v>
      </c>
      <c r="N92" s="94">
        <f t="shared" si="29"/>
        <v>1976.04</v>
      </c>
      <c r="O92" s="94">
        <f t="shared" si="29"/>
        <v>1977.44</v>
      </c>
      <c r="P92" s="94">
        <f t="shared" si="29"/>
        <v>1991.0400000000002</v>
      </c>
      <c r="Q92" s="94">
        <f t="shared" si="29"/>
        <v>1982.2400000000002</v>
      </c>
      <c r="R92" s="94">
        <f t="shared" si="29"/>
        <v>1980.9400000000003</v>
      </c>
      <c r="S92" s="94">
        <f t="shared" si="29"/>
        <v>2000.7400000000002</v>
      </c>
      <c r="T92" s="94">
        <f t="shared" ref="T92:U92" si="31">T91-T99</f>
        <v>1995.8400000000001</v>
      </c>
      <c r="U92" s="94">
        <f t="shared" si="31"/>
        <v>2030.2400000000002</v>
      </c>
      <c r="V92" s="94">
        <f t="shared" si="29"/>
        <v>1984.9400000000003</v>
      </c>
      <c r="W92" s="94">
        <f t="shared" si="29"/>
        <v>1918.14</v>
      </c>
      <c r="X92" s="94">
        <f t="shared" si="29"/>
        <v>1922.94</v>
      </c>
      <c r="Y92" s="94">
        <f t="shared" si="29"/>
        <v>1911.54</v>
      </c>
      <c r="Z92" s="94">
        <f t="shared" si="29"/>
        <v>2010.74</v>
      </c>
      <c r="AA92" s="94">
        <f t="shared" si="29"/>
        <v>2066.1400000000003</v>
      </c>
      <c r="AB92" s="94">
        <f t="shared" si="29"/>
        <v>2116.34</v>
      </c>
      <c r="AC92" s="94">
        <f t="shared" si="29"/>
        <v>2058.14</v>
      </c>
      <c r="AD92" s="94">
        <f t="shared" si="29"/>
        <v>2061.04</v>
      </c>
      <c r="AE92" s="94">
        <f t="shared" si="29"/>
        <v>2059.84</v>
      </c>
      <c r="AF92" s="94">
        <f t="shared" si="29"/>
        <v>1948.64</v>
      </c>
      <c r="AG92" s="87"/>
      <c r="AH92" s="47">
        <f t="shared" si="18"/>
        <v>2116.34</v>
      </c>
      <c r="AI92" s="48">
        <f t="shared" si="19"/>
        <v>1911.54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8"/>
        <v>0</v>
      </c>
      <c r="AI93" s="48">
        <f t="shared" si="19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8"/>
        <v>0</v>
      </c>
      <c r="AI94" s="48">
        <f t="shared" si="19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8"/>
        <v>0</v>
      </c>
      <c r="AI95" s="48">
        <f t="shared" si="19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8"/>
        <v>0</v>
      </c>
      <c r="AI96" s="48">
        <f t="shared" si="19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8"/>
        <v>0</v>
      </c>
      <c r="AI97" s="48">
        <f t="shared" si="19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8"/>
        <v>0</v>
      </c>
      <c r="AI98" s="48">
        <f t="shared" si="19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18"/>
        <v>0</v>
      </c>
      <c r="AI99" s="48">
        <f t="shared" si="19"/>
        <v>0</v>
      </c>
      <c r="AK99" s="50"/>
    </row>
    <row r="100" spans="1:37" ht="15.75" thickBot="1" x14ac:dyDescent="0.3">
      <c r="A100" s="73" t="s">
        <v>108</v>
      </c>
      <c r="B100" s="60">
        <v>33</v>
      </c>
      <c r="C100" s="60">
        <f t="shared" ref="C100:AF100" si="32">C84-C99</f>
        <v>5</v>
      </c>
      <c r="D100" s="60">
        <f t="shared" si="32"/>
        <v>5</v>
      </c>
      <c r="E100" s="60">
        <f t="shared" si="32"/>
        <v>5</v>
      </c>
      <c r="F100" s="60">
        <f t="shared" si="32"/>
        <v>5</v>
      </c>
      <c r="G100" s="60">
        <f t="shared" ref="G100:I100" si="33">G84-G99</f>
        <v>15</v>
      </c>
      <c r="H100" s="60">
        <f t="shared" si="33"/>
        <v>7.1</v>
      </c>
      <c r="I100" s="60">
        <f t="shared" si="33"/>
        <v>17.600000000000001</v>
      </c>
      <c r="J100" s="60">
        <f t="shared" si="32"/>
        <v>5</v>
      </c>
      <c r="K100" s="60">
        <f t="shared" si="32"/>
        <v>5</v>
      </c>
      <c r="L100" s="60">
        <f t="shared" si="32"/>
        <v>5</v>
      </c>
      <c r="M100" s="60">
        <f t="shared" si="32"/>
        <v>5</v>
      </c>
      <c r="N100" s="60">
        <f t="shared" si="32"/>
        <v>5</v>
      </c>
      <c r="O100" s="60">
        <f t="shared" si="32"/>
        <v>5</v>
      </c>
      <c r="P100" s="60">
        <f t="shared" si="32"/>
        <v>11.2</v>
      </c>
      <c r="Q100" s="60">
        <f t="shared" si="32"/>
        <v>13.7</v>
      </c>
      <c r="R100" s="60">
        <f t="shared" si="32"/>
        <v>12</v>
      </c>
      <c r="S100" s="60">
        <f t="shared" si="32"/>
        <v>23.7</v>
      </c>
      <c r="T100" s="60">
        <f t="shared" ref="T100:U100" si="34">T84-T99</f>
        <v>21.5</v>
      </c>
      <c r="U100" s="60">
        <f t="shared" si="34"/>
        <v>21.5</v>
      </c>
      <c r="V100" s="60">
        <f t="shared" si="32"/>
        <v>0</v>
      </c>
      <c r="W100" s="60">
        <f t="shared" si="32"/>
        <v>0</v>
      </c>
      <c r="X100" s="60">
        <f t="shared" si="32"/>
        <v>0</v>
      </c>
      <c r="Y100" s="60">
        <f t="shared" si="32"/>
        <v>0</v>
      </c>
      <c r="Z100" s="60">
        <f t="shared" si="32"/>
        <v>0</v>
      </c>
      <c r="AA100" s="60">
        <f t="shared" si="32"/>
        <v>17</v>
      </c>
      <c r="AB100" s="60">
        <f t="shared" si="32"/>
        <v>19.899999999999999</v>
      </c>
      <c r="AC100" s="60">
        <f t="shared" si="32"/>
        <v>22</v>
      </c>
      <c r="AD100" s="60">
        <f t="shared" si="32"/>
        <v>5</v>
      </c>
      <c r="AE100" s="60">
        <f t="shared" si="32"/>
        <v>5</v>
      </c>
      <c r="AF100" s="60">
        <f t="shared" si="32"/>
        <v>5</v>
      </c>
      <c r="AG100" s="87"/>
      <c r="AH100" s="47">
        <f t="shared" si="18"/>
        <v>33</v>
      </c>
      <c r="AI100" s="48">
        <f t="shared" si="19"/>
        <v>0</v>
      </c>
    </row>
    <row r="101" spans="1:37" x14ac:dyDescent="0.25">
      <c r="A101" s="99" t="s">
        <v>109</v>
      </c>
      <c r="B101" s="100">
        <v>49.98</v>
      </c>
      <c r="C101" s="100">
        <v>49.954000000000001</v>
      </c>
      <c r="D101" s="100">
        <v>50</v>
      </c>
      <c r="E101" s="100">
        <v>50.02</v>
      </c>
      <c r="F101" s="100">
        <v>49.99</v>
      </c>
      <c r="G101" s="100">
        <v>50.01</v>
      </c>
      <c r="H101" s="100">
        <v>49.9</v>
      </c>
      <c r="I101" s="100">
        <v>49.98</v>
      </c>
      <c r="J101" s="100">
        <v>49.99</v>
      </c>
      <c r="K101" s="100">
        <v>50.01</v>
      </c>
      <c r="L101" s="100">
        <v>49.98</v>
      </c>
      <c r="M101" s="100">
        <v>50.052999999999997</v>
      </c>
      <c r="N101" s="100">
        <v>49.94</v>
      </c>
      <c r="O101" s="100">
        <v>50.095999999999997</v>
      </c>
      <c r="P101" s="100">
        <v>49.981999999999999</v>
      </c>
      <c r="Q101" s="100">
        <v>49.973999999999997</v>
      </c>
      <c r="R101" s="100">
        <v>50.021000000000001</v>
      </c>
      <c r="S101" s="100">
        <v>49.886000000000003</v>
      </c>
      <c r="T101" s="100">
        <v>50.021000000000001</v>
      </c>
      <c r="U101" s="100">
        <v>49.96</v>
      </c>
      <c r="V101" s="100">
        <v>50.024000000000001</v>
      </c>
      <c r="W101" s="100">
        <v>50.012</v>
      </c>
      <c r="X101" s="100">
        <v>49.966999999999999</v>
      </c>
      <c r="Y101" s="100">
        <v>50.024999999999999</v>
      </c>
      <c r="Z101" s="100">
        <v>49.887</v>
      </c>
      <c r="AA101" s="100">
        <v>49.966999999999999</v>
      </c>
      <c r="AB101" s="100">
        <v>50.011000000000003</v>
      </c>
      <c r="AC101" s="100">
        <v>49.923000000000002</v>
      </c>
      <c r="AD101" s="100">
        <v>49.933999999999997</v>
      </c>
      <c r="AE101" s="100">
        <v>50.043999999999997</v>
      </c>
      <c r="AF101" s="100">
        <v>50.023000000000003</v>
      </c>
      <c r="AG101" s="101"/>
      <c r="AH101" s="47">
        <f t="shared" si="18"/>
        <v>50.095999999999997</v>
      </c>
      <c r="AI101" s="48">
        <f t="shared" si="19"/>
        <v>49.886000000000003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8"/>
        <v>0</v>
      </c>
      <c r="AI102" s="48">
        <f t="shared" si="19"/>
        <v>0</v>
      </c>
    </row>
    <row r="103" spans="1:37" x14ac:dyDescent="0.25">
      <c r="A103" s="102" t="s">
        <v>111</v>
      </c>
      <c r="B103" s="64">
        <v>128</v>
      </c>
      <c r="C103" s="64">
        <v>128</v>
      </c>
      <c r="D103" s="64">
        <v>128</v>
      </c>
      <c r="E103" s="64">
        <v>131.19999999999999</v>
      </c>
      <c r="F103" s="64">
        <v>131.19999999999999</v>
      </c>
      <c r="G103" s="64">
        <v>131.19999999999999</v>
      </c>
      <c r="H103" s="64">
        <v>131.19999999999999</v>
      </c>
      <c r="I103" s="64">
        <v>128.4</v>
      </c>
      <c r="J103" s="64">
        <v>127.4</v>
      </c>
      <c r="K103" s="64">
        <v>126.8</v>
      </c>
      <c r="L103" s="64">
        <v>126.4</v>
      </c>
      <c r="M103" s="64">
        <v>125.4</v>
      </c>
      <c r="N103" s="64">
        <v>125.4</v>
      </c>
      <c r="O103" s="64">
        <v>125.4</v>
      </c>
      <c r="P103" s="64">
        <v>125.4</v>
      </c>
      <c r="Q103" s="64">
        <v>125.4</v>
      </c>
      <c r="R103" s="64">
        <v>125.4</v>
      </c>
      <c r="S103" s="64">
        <v>125.4</v>
      </c>
      <c r="T103" s="64">
        <v>125.6</v>
      </c>
      <c r="U103" s="64">
        <v>126.9</v>
      </c>
      <c r="V103" s="64">
        <v>127.5</v>
      </c>
      <c r="W103" s="64">
        <v>127.4</v>
      </c>
      <c r="X103" s="64">
        <v>128.1</v>
      </c>
      <c r="Y103" s="64">
        <v>129</v>
      </c>
      <c r="Z103" s="64">
        <v>126.5</v>
      </c>
      <c r="AA103" s="64">
        <v>126.4</v>
      </c>
      <c r="AB103" s="64">
        <v>127.8</v>
      </c>
      <c r="AC103" s="64">
        <v>126.7</v>
      </c>
      <c r="AD103" s="64">
        <v>125.7</v>
      </c>
      <c r="AE103" s="64">
        <v>125.7</v>
      </c>
      <c r="AF103" s="64">
        <v>127.2</v>
      </c>
      <c r="AG103" s="103"/>
      <c r="AH103" s="47">
        <f t="shared" si="18"/>
        <v>131.19999999999999</v>
      </c>
      <c r="AI103" s="48">
        <f t="shared" si="19"/>
        <v>125.4</v>
      </c>
    </row>
    <row r="104" spans="1:37" x14ac:dyDescent="0.25">
      <c r="A104" s="102" t="s">
        <v>112</v>
      </c>
      <c r="B104" s="64">
        <v>128</v>
      </c>
      <c r="C104" s="64">
        <v>126</v>
      </c>
      <c r="D104" s="64">
        <v>126</v>
      </c>
      <c r="E104" s="64">
        <v>131.1</v>
      </c>
      <c r="F104" s="64">
        <v>131.1</v>
      </c>
      <c r="G104" s="64">
        <v>131.1</v>
      </c>
      <c r="H104" s="64">
        <v>131.1</v>
      </c>
      <c r="I104" s="64">
        <v>131.1</v>
      </c>
      <c r="J104" s="64">
        <v>129</v>
      </c>
      <c r="K104" s="64">
        <v>128.19999999999999</v>
      </c>
      <c r="L104" s="64">
        <v>126.4</v>
      </c>
      <c r="M104" s="64">
        <v>126.8</v>
      </c>
      <c r="N104" s="64">
        <v>126.8</v>
      </c>
      <c r="O104" s="64">
        <v>126.8</v>
      </c>
      <c r="P104" s="64">
        <v>126.8</v>
      </c>
      <c r="Q104" s="64">
        <v>126.3</v>
      </c>
      <c r="R104" s="64">
        <v>126.3</v>
      </c>
      <c r="S104" s="64">
        <v>128.30000000000001</v>
      </c>
      <c r="T104" s="64">
        <v>125.9</v>
      </c>
      <c r="U104" s="64">
        <v>128.80000000000001</v>
      </c>
      <c r="V104" s="64">
        <v>128.80000000000001</v>
      </c>
      <c r="W104" s="64">
        <v>129.9</v>
      </c>
      <c r="X104" s="64">
        <v>130</v>
      </c>
      <c r="Y104" s="64">
        <v>128.6</v>
      </c>
      <c r="Z104" s="64">
        <v>126.6</v>
      </c>
      <c r="AA104" s="64">
        <v>126.4</v>
      </c>
      <c r="AB104" s="64">
        <v>126.5</v>
      </c>
      <c r="AC104" s="64">
        <v>124.9</v>
      </c>
      <c r="AD104" s="64">
        <v>125.3</v>
      </c>
      <c r="AE104" s="64">
        <v>125.3</v>
      </c>
      <c r="AF104" s="64">
        <v>127.8</v>
      </c>
      <c r="AG104" s="103"/>
      <c r="AH104" s="47">
        <f t="shared" si="18"/>
        <v>131.1</v>
      </c>
      <c r="AI104" s="48">
        <f t="shared" si="19"/>
        <v>124.9</v>
      </c>
    </row>
    <row r="105" spans="1:37" x14ac:dyDescent="0.25">
      <c r="A105" s="104" t="s">
        <v>291</v>
      </c>
      <c r="B105" s="64">
        <v>130</v>
      </c>
      <c r="C105" s="64">
        <v>128</v>
      </c>
      <c r="D105" s="64">
        <v>128</v>
      </c>
      <c r="E105" s="64">
        <v>132.9</v>
      </c>
      <c r="F105" s="64">
        <v>132.9</v>
      </c>
      <c r="G105" s="64">
        <v>132.9</v>
      </c>
      <c r="H105" s="64">
        <v>132.9</v>
      </c>
      <c r="I105" s="64">
        <v>132.9</v>
      </c>
      <c r="J105" s="64">
        <v>130</v>
      </c>
      <c r="K105" s="64">
        <v>129</v>
      </c>
      <c r="L105" s="64">
        <v>126.3</v>
      </c>
      <c r="M105" s="64">
        <v>126.3</v>
      </c>
      <c r="N105" s="64">
        <v>126.3</v>
      </c>
      <c r="O105" s="64">
        <v>126.3</v>
      </c>
      <c r="P105" s="64">
        <v>126.3</v>
      </c>
      <c r="Q105" s="64">
        <v>127.1</v>
      </c>
      <c r="R105" s="64">
        <v>127.1</v>
      </c>
      <c r="S105" s="64">
        <v>129</v>
      </c>
      <c r="T105" s="64">
        <v>127.5</v>
      </c>
      <c r="U105" s="64">
        <v>130</v>
      </c>
      <c r="V105" s="64">
        <v>131.1</v>
      </c>
      <c r="W105" s="64">
        <v>132.6</v>
      </c>
      <c r="X105" s="64">
        <v>131.1</v>
      </c>
      <c r="Y105" s="64">
        <v>130</v>
      </c>
      <c r="Z105" s="64">
        <v>127.8</v>
      </c>
      <c r="AA105" s="64">
        <v>128.69999999999999</v>
      </c>
      <c r="AB105" s="64">
        <v>128.5</v>
      </c>
      <c r="AC105" s="64">
        <v>125.6</v>
      </c>
      <c r="AD105" s="64">
        <v>127</v>
      </c>
      <c r="AE105" s="64">
        <v>127</v>
      </c>
      <c r="AF105" s="64">
        <v>131</v>
      </c>
      <c r="AG105" s="103"/>
      <c r="AH105" s="47">
        <f t="shared" si="18"/>
        <v>132.9</v>
      </c>
      <c r="AI105" s="48">
        <f t="shared" si="19"/>
        <v>125.6</v>
      </c>
    </row>
    <row r="106" spans="1:37" x14ac:dyDescent="0.25">
      <c r="A106" s="104" t="s">
        <v>114</v>
      </c>
      <c r="B106" s="105">
        <v>132</v>
      </c>
      <c r="C106" s="105">
        <v>132</v>
      </c>
      <c r="D106" s="105">
        <v>132</v>
      </c>
      <c r="E106" s="105">
        <v>130.6</v>
      </c>
      <c r="F106" s="105">
        <v>130.6</v>
      </c>
      <c r="G106" s="105">
        <v>130.6</v>
      </c>
      <c r="H106" s="105">
        <v>130.6</v>
      </c>
      <c r="I106" s="105">
        <v>130.6</v>
      </c>
      <c r="J106" s="105">
        <v>132</v>
      </c>
      <c r="K106" s="105">
        <v>131.4</v>
      </c>
      <c r="L106" s="105">
        <v>135.19999999999999</v>
      </c>
      <c r="M106" s="105">
        <v>130.69999999999999</v>
      </c>
      <c r="N106" s="105">
        <v>130.69999999999999</v>
      </c>
      <c r="O106" s="105">
        <v>130.69999999999999</v>
      </c>
      <c r="P106" s="105">
        <v>130.69999999999999</v>
      </c>
      <c r="Q106" s="105">
        <v>131.4</v>
      </c>
      <c r="R106" s="105">
        <v>131.4</v>
      </c>
      <c r="S106" s="105">
        <v>133.80000000000001</v>
      </c>
      <c r="T106" s="105">
        <v>127.5</v>
      </c>
      <c r="U106" s="105">
        <v>131.4</v>
      </c>
      <c r="V106" s="105">
        <v>133.9</v>
      </c>
      <c r="W106" s="105">
        <v>134.5</v>
      </c>
      <c r="X106" s="105">
        <v>134.5</v>
      </c>
      <c r="Y106" s="105">
        <v>134.9</v>
      </c>
      <c r="Z106" s="105">
        <v>131.6</v>
      </c>
      <c r="AA106" s="105">
        <v>131.5</v>
      </c>
      <c r="AB106" s="105">
        <v>134</v>
      </c>
      <c r="AC106" s="105">
        <v>132.4</v>
      </c>
      <c r="AD106" s="105">
        <v>128.9</v>
      </c>
      <c r="AE106" s="105">
        <v>128.9</v>
      </c>
      <c r="AF106" s="105">
        <v>129.6</v>
      </c>
      <c r="AG106" s="106"/>
      <c r="AH106" s="47">
        <f t="shared" si="18"/>
        <v>135.19999999999999</v>
      </c>
      <c r="AI106" s="48">
        <f t="shared" si="19"/>
        <v>127.5</v>
      </c>
    </row>
    <row r="107" spans="1:37" x14ac:dyDescent="0.25">
      <c r="A107" s="102" t="s">
        <v>115</v>
      </c>
      <c r="B107" s="64">
        <v>127</v>
      </c>
      <c r="C107" s="64">
        <v>128</v>
      </c>
      <c r="D107" s="64">
        <v>128</v>
      </c>
      <c r="E107" s="64">
        <v>129</v>
      </c>
      <c r="F107" s="64">
        <v>129</v>
      </c>
      <c r="G107" s="64">
        <v>129</v>
      </c>
      <c r="H107" s="64">
        <v>129</v>
      </c>
      <c r="I107" s="64">
        <v>129</v>
      </c>
      <c r="J107" s="64">
        <v>133.5</v>
      </c>
      <c r="K107" s="64">
        <v>133.19999999999999</v>
      </c>
      <c r="L107" s="64">
        <v>135.19999999999999</v>
      </c>
      <c r="M107" s="64">
        <v>125.1</v>
      </c>
      <c r="N107" s="64">
        <v>125.1</v>
      </c>
      <c r="O107" s="64">
        <v>125.1</v>
      </c>
      <c r="P107" s="64">
        <v>125.1</v>
      </c>
      <c r="Q107" s="64">
        <v>126.2</v>
      </c>
      <c r="R107" s="64">
        <v>126.2</v>
      </c>
      <c r="S107" s="64">
        <v>128.4</v>
      </c>
      <c r="T107" s="64">
        <v>128.80000000000001</v>
      </c>
      <c r="U107" s="64">
        <v>132.30000000000001</v>
      </c>
      <c r="V107" s="64">
        <v>127.3</v>
      </c>
      <c r="W107" s="64">
        <v>130.1</v>
      </c>
      <c r="X107" s="64">
        <v>129</v>
      </c>
      <c r="Y107" s="64">
        <v>133.1</v>
      </c>
      <c r="Z107" s="64">
        <v>130.1</v>
      </c>
      <c r="AA107" s="64">
        <v>123.4</v>
      </c>
      <c r="AB107" s="64">
        <v>130.6</v>
      </c>
      <c r="AC107" s="64">
        <v>127.9</v>
      </c>
      <c r="AD107" s="64">
        <v>131.1</v>
      </c>
      <c r="AE107" s="64">
        <v>131.1</v>
      </c>
      <c r="AF107" s="64">
        <v>127.2</v>
      </c>
      <c r="AG107" s="103"/>
      <c r="AH107" s="47">
        <f t="shared" si="18"/>
        <v>135.19999999999999</v>
      </c>
      <c r="AI107" s="48">
        <f t="shared" si="19"/>
        <v>123.4</v>
      </c>
    </row>
    <row r="108" spans="1:37" ht="15.75" thickBot="1" x14ac:dyDescent="0.3">
      <c r="A108" s="102" t="s">
        <v>116</v>
      </c>
      <c r="B108" s="91">
        <v>64</v>
      </c>
      <c r="C108" s="91">
        <v>64.7</v>
      </c>
      <c r="D108" s="91">
        <v>64.7</v>
      </c>
      <c r="E108" s="91">
        <v>66.2</v>
      </c>
      <c r="F108" s="91">
        <v>66.2</v>
      </c>
      <c r="G108" s="91">
        <v>66.2</v>
      </c>
      <c r="H108" s="91">
        <v>66.2</v>
      </c>
      <c r="I108" s="91">
        <v>66.2</v>
      </c>
      <c r="J108" s="91">
        <v>64.5</v>
      </c>
      <c r="K108" s="91">
        <v>63.5</v>
      </c>
      <c r="L108" s="91">
        <v>63.7</v>
      </c>
      <c r="M108" s="91">
        <v>62.7</v>
      </c>
      <c r="N108" s="91">
        <v>62.7</v>
      </c>
      <c r="O108" s="91">
        <v>62.7</v>
      </c>
      <c r="P108" s="91">
        <v>62.7</v>
      </c>
      <c r="Q108" s="91">
        <v>62.4</v>
      </c>
      <c r="R108" s="91">
        <v>62.4</v>
      </c>
      <c r="S108" s="91">
        <v>62.4</v>
      </c>
      <c r="T108" s="91">
        <v>62.8</v>
      </c>
      <c r="U108" s="91">
        <v>63.3</v>
      </c>
      <c r="V108" s="91">
        <v>63.9</v>
      </c>
      <c r="W108" s="91">
        <v>63.9</v>
      </c>
      <c r="X108" s="91">
        <v>64.400000000000006</v>
      </c>
      <c r="Y108" s="91">
        <v>64.599999999999994</v>
      </c>
      <c r="Z108" s="91">
        <v>63.6</v>
      </c>
      <c r="AA108" s="91">
        <v>63.5</v>
      </c>
      <c r="AB108" s="91">
        <v>64.400000000000006</v>
      </c>
      <c r="AC108" s="91">
        <v>63.7</v>
      </c>
      <c r="AD108" s="91">
        <v>63.6</v>
      </c>
      <c r="AE108" s="91">
        <v>63.6</v>
      </c>
      <c r="AF108" s="91">
        <v>64.2</v>
      </c>
      <c r="AG108" s="107"/>
      <c r="AH108" s="47">
        <f t="shared" si="18"/>
        <v>66.2</v>
      </c>
      <c r="AI108" s="48">
        <f t="shared" si="19"/>
        <v>62.4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18"/>
        <v>0</v>
      </c>
      <c r="AI109" s="48">
        <f t="shared" si="19"/>
        <v>0</v>
      </c>
    </row>
    <row r="110" spans="1:37" ht="15.75" thickBot="1" x14ac:dyDescent="0.3">
      <c r="A110" s="109" t="s">
        <v>118</v>
      </c>
      <c r="B110" s="110">
        <v>63.300000000000011</v>
      </c>
      <c r="C110" s="110">
        <f t="shared" ref="C110:O110" si="35">SUM(C20,C26,C29:C30,C58,C60:C61,C63,C65,C111:C115,C138,C144,C150,C159,C161,C173,C180,C183:C184,C191,C193,C195,C199:C201,C203:C205,C210,C216:C217,C219:C221,C229,C234)</f>
        <v>24.240000000000013</v>
      </c>
      <c r="D110" s="110">
        <f t="shared" si="35"/>
        <v>36.240000000000009</v>
      </c>
      <c r="E110" s="110">
        <f t="shared" si="35"/>
        <v>73.040000000000006</v>
      </c>
      <c r="F110" s="110">
        <f t="shared" ref="F110:I110" si="36">SUM(F20,F26,F29:F30,F58,F60:F61,F63,F65,F111:F115,F138,F144,F150,F159,F161,F173,F180,F183:F184,F191,F193,F195,F199:F201,F203:F205,F210,F216:F217,F219:F221,F229,F234)</f>
        <v>73.040000000000006</v>
      </c>
      <c r="G110" s="110">
        <f t="shared" si="36"/>
        <v>73.040000000000006</v>
      </c>
      <c r="H110" s="110">
        <f t="shared" si="36"/>
        <v>63.04</v>
      </c>
      <c r="I110" s="110">
        <f t="shared" si="36"/>
        <v>63.04</v>
      </c>
      <c r="J110" s="110">
        <f t="shared" si="35"/>
        <v>169.14</v>
      </c>
      <c r="K110" s="110">
        <f t="shared" si="35"/>
        <v>169.14</v>
      </c>
      <c r="L110" s="110">
        <f t="shared" si="35"/>
        <v>183.04000000000002</v>
      </c>
      <c r="M110" s="110">
        <f t="shared" si="35"/>
        <v>181.73999999999998</v>
      </c>
      <c r="N110" s="110">
        <f t="shared" si="35"/>
        <v>172.54</v>
      </c>
      <c r="O110" s="110">
        <f t="shared" si="35"/>
        <v>173.14000000000001</v>
      </c>
      <c r="P110" s="110">
        <v>42</v>
      </c>
      <c r="Q110" s="110">
        <f t="shared" ref="Q110:AF110" si="37">SUM(Q20,Q26,Q29:Q30,Q58,Q60:Q61,Q63,Q65,Q111:Q115,Q138,Q144,Q150,Q159,Q161,Q173,Q180,Q183:Q184,Q191,Q193,Q195,Q199:Q201,Q203:Q205,Q210,Q216:Q217,Q219:Q221,Q229,Q234)</f>
        <v>192.5</v>
      </c>
      <c r="R110" s="110">
        <f t="shared" si="37"/>
        <v>182.20000000000002</v>
      </c>
      <c r="S110" s="110">
        <f t="shared" si="37"/>
        <v>189.39999999999998</v>
      </c>
      <c r="T110" s="110">
        <f t="shared" ref="T110:U110" si="38">SUM(T20,T26,T29:T30,T58,T60:T61,T63,T65,T111:T115,T138,T144,T150,T159,T161,T173,T180,T183:T184,T191,T193,T195,T199:T201,T203:T205,T210,T216:T217,T219:T221,T229,T234)</f>
        <v>174.39999999999998</v>
      </c>
      <c r="U110" s="110">
        <f t="shared" si="38"/>
        <v>202.19999999999996</v>
      </c>
      <c r="V110" s="110">
        <f t="shared" si="37"/>
        <v>245.60000000000002</v>
      </c>
      <c r="W110" s="110">
        <f t="shared" si="37"/>
        <v>226.39999999999998</v>
      </c>
      <c r="X110" s="110">
        <f t="shared" si="37"/>
        <v>198.2</v>
      </c>
      <c r="Y110" s="110">
        <f t="shared" si="37"/>
        <v>188.7</v>
      </c>
      <c r="Z110" s="110">
        <f t="shared" si="37"/>
        <v>266.5</v>
      </c>
      <c r="AA110" s="110">
        <f t="shared" si="37"/>
        <v>282.39999999999998</v>
      </c>
      <c r="AB110" s="110">
        <f t="shared" si="37"/>
        <v>281.5</v>
      </c>
      <c r="AC110" s="110">
        <f t="shared" si="37"/>
        <v>270.60000000000002</v>
      </c>
      <c r="AD110" s="110">
        <f t="shared" si="37"/>
        <v>245.8</v>
      </c>
      <c r="AE110" s="110">
        <f t="shared" si="37"/>
        <v>182.79999999999995</v>
      </c>
      <c r="AF110" s="110">
        <f t="shared" si="37"/>
        <v>103.80000000000001</v>
      </c>
      <c r="AG110" s="111"/>
      <c r="AH110" s="47">
        <f t="shared" si="18"/>
        <v>282.39999999999998</v>
      </c>
      <c r="AI110" s="48">
        <f t="shared" si="19"/>
        <v>24.240000000000013</v>
      </c>
    </row>
    <row r="111" spans="1:37" x14ac:dyDescent="0.25">
      <c r="A111" s="99" t="s">
        <v>119</v>
      </c>
      <c r="B111" s="112">
        <v>69</v>
      </c>
      <c r="C111" s="112">
        <v>46</v>
      </c>
      <c r="D111" s="112">
        <v>46</v>
      </c>
      <c r="E111" s="112">
        <v>34</v>
      </c>
      <c r="F111" s="112">
        <v>34</v>
      </c>
      <c r="G111" s="112">
        <v>34</v>
      </c>
      <c r="H111" s="112">
        <v>34</v>
      </c>
      <c r="I111" s="112">
        <v>34</v>
      </c>
      <c r="J111" s="112">
        <v>32</v>
      </c>
      <c r="K111" s="112">
        <v>32</v>
      </c>
      <c r="L111" s="112">
        <v>37.9</v>
      </c>
      <c r="M111" s="112">
        <v>34.700000000000003</v>
      </c>
      <c r="N111" s="112">
        <v>32</v>
      </c>
      <c r="O111" s="112">
        <v>32</v>
      </c>
      <c r="P111" s="112">
        <v>37.6</v>
      </c>
      <c r="Q111" s="112">
        <v>29.7</v>
      </c>
      <c r="R111" s="112">
        <v>31.4</v>
      </c>
      <c r="S111" s="112">
        <v>28.2</v>
      </c>
      <c r="T111" s="112">
        <v>25.5</v>
      </c>
      <c r="U111" s="112">
        <v>31.4</v>
      </c>
      <c r="V111" s="112">
        <v>44.9</v>
      </c>
      <c r="W111" s="112">
        <v>45.8</v>
      </c>
      <c r="X111" s="112">
        <v>38.6</v>
      </c>
      <c r="Y111" s="112">
        <v>38.1</v>
      </c>
      <c r="Z111" s="112">
        <v>48.1</v>
      </c>
      <c r="AA111" s="112">
        <v>49</v>
      </c>
      <c r="AB111" s="112">
        <v>43.4</v>
      </c>
      <c r="AC111" s="112">
        <v>43.9</v>
      </c>
      <c r="AD111" s="112">
        <v>59.8</v>
      </c>
      <c r="AE111" s="112">
        <v>58.8</v>
      </c>
      <c r="AF111" s="112">
        <v>32</v>
      </c>
      <c r="AG111" s="113">
        <v>75</v>
      </c>
      <c r="AH111" s="47">
        <f t="shared" si="18"/>
        <v>69</v>
      </c>
      <c r="AI111" s="48">
        <f t="shared" si="19"/>
        <v>25.5</v>
      </c>
    </row>
    <row r="112" spans="1:37" x14ac:dyDescent="0.25">
      <c r="A112" s="102" t="s">
        <v>120</v>
      </c>
      <c r="B112" s="114">
        <v>43</v>
      </c>
      <c r="C112" s="114">
        <v>27</v>
      </c>
      <c r="D112" s="114">
        <v>27</v>
      </c>
      <c r="E112" s="114">
        <v>30.2</v>
      </c>
      <c r="F112" s="114">
        <v>30.2</v>
      </c>
      <c r="G112" s="114">
        <v>30.2</v>
      </c>
      <c r="H112" s="114">
        <v>30.2</v>
      </c>
      <c r="I112" s="114">
        <v>30.2</v>
      </c>
      <c r="J112" s="114">
        <v>46.2</v>
      </c>
      <c r="K112" s="114">
        <v>46.2</v>
      </c>
      <c r="L112" s="114">
        <v>53.9</v>
      </c>
      <c r="M112" s="114">
        <v>49.6</v>
      </c>
      <c r="N112" s="114">
        <v>42.3</v>
      </c>
      <c r="O112" s="114">
        <v>42.3</v>
      </c>
      <c r="P112" s="114">
        <v>53.7</v>
      </c>
      <c r="Q112" s="114">
        <v>41.1</v>
      </c>
      <c r="R112" s="114">
        <v>44.2</v>
      </c>
      <c r="S112" s="114">
        <v>38</v>
      </c>
      <c r="T112" s="114">
        <v>35.9</v>
      </c>
      <c r="U112" s="114">
        <v>45.3</v>
      </c>
      <c r="V112" s="114">
        <v>61.9</v>
      </c>
      <c r="W112" s="114">
        <v>63.3</v>
      </c>
      <c r="X112" s="114">
        <v>53.6</v>
      </c>
      <c r="Y112" s="114">
        <v>53.1</v>
      </c>
      <c r="Z112" s="114">
        <v>70</v>
      </c>
      <c r="AA112" s="114">
        <v>72.400000000000006</v>
      </c>
      <c r="AB112" s="114">
        <v>63.1</v>
      </c>
      <c r="AC112" s="114">
        <v>63.9</v>
      </c>
      <c r="AD112" s="114">
        <v>88.6</v>
      </c>
      <c r="AE112" s="114">
        <v>90</v>
      </c>
      <c r="AF112" s="114">
        <v>53.7</v>
      </c>
      <c r="AG112" s="113">
        <v>240</v>
      </c>
      <c r="AH112" s="47">
        <f t="shared" si="18"/>
        <v>90</v>
      </c>
      <c r="AI112" s="48">
        <f t="shared" si="19"/>
        <v>27</v>
      </c>
    </row>
    <row r="113" spans="1:37" x14ac:dyDescent="0.25">
      <c r="A113" s="102" t="s">
        <v>121</v>
      </c>
      <c r="B113" s="114">
        <v>-170</v>
      </c>
      <c r="C113" s="114">
        <v>-160</v>
      </c>
      <c r="D113" s="114">
        <v>-155</v>
      </c>
      <c r="E113" s="114">
        <f>-55-62</f>
        <v>-117</v>
      </c>
      <c r="F113" s="114">
        <f>-55-62</f>
        <v>-117</v>
      </c>
      <c r="G113" s="114">
        <f t="shared" ref="G113:I113" si="39">-55-62</f>
        <v>-117</v>
      </c>
      <c r="H113" s="114">
        <f t="shared" si="39"/>
        <v>-117</v>
      </c>
      <c r="I113" s="114">
        <f t="shared" si="39"/>
        <v>-117</v>
      </c>
      <c r="J113" s="114">
        <f>-26.5-28.8</f>
        <v>-55.3</v>
      </c>
      <c r="K113" s="114">
        <f t="shared" ref="K113" si="40">-26.5-28.8</f>
        <v>-55.3</v>
      </c>
      <c r="L113" s="114">
        <f>-33.2-29.6</f>
        <v>-62.800000000000004</v>
      </c>
      <c r="M113" s="114">
        <v>-58</v>
      </c>
      <c r="N113" s="114">
        <v>-49</v>
      </c>
      <c r="O113" s="114">
        <v>-49</v>
      </c>
      <c r="P113" s="114">
        <v>-70.599999999999994</v>
      </c>
      <c r="Q113" s="114">
        <v>-53</v>
      </c>
      <c r="R113" s="114">
        <v>-67.099999999999994</v>
      </c>
      <c r="S113" s="114">
        <v>-53</v>
      </c>
      <c r="T113" s="114">
        <v>-58.9</v>
      </c>
      <c r="U113" s="114">
        <v>-55.9</v>
      </c>
      <c r="V113" s="114">
        <v>-37.799999999999997</v>
      </c>
      <c r="W113" s="114">
        <v>-29.5</v>
      </c>
      <c r="X113" s="114">
        <v>-45</v>
      </c>
      <c r="Y113" s="114">
        <v>-53</v>
      </c>
      <c r="Z113" s="114">
        <v>-46</v>
      </c>
      <c r="AA113" s="114">
        <v>-57</v>
      </c>
      <c r="AB113" s="114">
        <f>-29.3-31.6</f>
        <v>-60.900000000000006</v>
      </c>
      <c r="AC113" s="114">
        <f>-35.2-38.7</f>
        <v>-73.900000000000006</v>
      </c>
      <c r="AD113" s="114">
        <f>-63.1-69.6</f>
        <v>-132.69999999999999</v>
      </c>
      <c r="AE113" s="114">
        <v>-186</v>
      </c>
      <c r="AF113" s="114">
        <v>-157</v>
      </c>
      <c r="AG113" s="113">
        <v>240</v>
      </c>
      <c r="AH113" s="47">
        <f t="shared" si="18"/>
        <v>-29.5</v>
      </c>
      <c r="AI113" s="48">
        <f t="shared" si="19"/>
        <v>-186</v>
      </c>
    </row>
    <row r="114" spans="1:37" x14ac:dyDescent="0.25">
      <c r="A114" s="102" t="s">
        <v>122</v>
      </c>
      <c r="B114" s="114">
        <v>-9</v>
      </c>
      <c r="C114" s="114">
        <v>-15</v>
      </c>
      <c r="D114" s="114">
        <v>-12</v>
      </c>
      <c r="E114" s="114">
        <v>-5.3</v>
      </c>
      <c r="F114" s="114">
        <v>-5.3</v>
      </c>
      <c r="G114" s="114">
        <v>-5.3</v>
      </c>
      <c r="H114" s="114">
        <v>-5.3</v>
      </c>
      <c r="I114" s="114">
        <v>-5.3</v>
      </c>
      <c r="J114" s="114">
        <v>9.6999999999999993</v>
      </c>
      <c r="K114" s="114">
        <v>9.6999999999999993</v>
      </c>
      <c r="L114" s="114">
        <v>9.4</v>
      </c>
      <c r="M114" s="114">
        <v>8.1</v>
      </c>
      <c r="N114" s="114">
        <v>9.3000000000000007</v>
      </c>
      <c r="O114" s="114">
        <v>9.3000000000000007</v>
      </c>
      <c r="P114" s="114">
        <v>7.6</v>
      </c>
      <c r="Q114" s="114">
        <v>11.3</v>
      </c>
      <c r="R114" s="114">
        <v>7.6</v>
      </c>
      <c r="S114" s="114">
        <v>9.6999999999999993</v>
      </c>
      <c r="T114" s="114">
        <v>13.1</v>
      </c>
      <c r="U114" s="114">
        <v>17.2</v>
      </c>
      <c r="V114" s="114">
        <v>18</v>
      </c>
      <c r="W114" s="114">
        <v>18.2</v>
      </c>
      <c r="X114" s="114">
        <v>17.5</v>
      </c>
      <c r="Y114" s="114">
        <v>17.2</v>
      </c>
      <c r="Z114" s="114">
        <v>21</v>
      </c>
      <c r="AA114" s="114">
        <v>18</v>
      </c>
      <c r="AB114" s="114">
        <v>14.9</v>
      </c>
      <c r="AC114" s="114">
        <v>13</v>
      </c>
      <c r="AD114" s="114">
        <v>6</v>
      </c>
      <c r="AE114" s="114">
        <v>-3.9</v>
      </c>
      <c r="AF114" s="114">
        <v>-9.4</v>
      </c>
      <c r="AG114" s="113">
        <v>60</v>
      </c>
      <c r="AH114" s="47">
        <f t="shared" si="18"/>
        <v>21</v>
      </c>
      <c r="AI114" s="48">
        <f t="shared" si="19"/>
        <v>-15</v>
      </c>
    </row>
    <row r="115" spans="1:37" x14ac:dyDescent="0.25">
      <c r="A115" s="115" t="s">
        <v>123</v>
      </c>
      <c r="B115" s="116">
        <v>2</v>
      </c>
      <c r="C115" s="116">
        <v>2</v>
      </c>
      <c r="D115" s="116">
        <v>1</v>
      </c>
      <c r="E115" s="116">
        <v>1.9</v>
      </c>
      <c r="F115" s="116">
        <v>1.9</v>
      </c>
      <c r="G115" s="116">
        <v>1.9</v>
      </c>
      <c r="H115" s="116">
        <v>1.9</v>
      </c>
      <c r="I115" s="116">
        <v>1.9</v>
      </c>
      <c r="J115" s="116">
        <v>7.3</v>
      </c>
      <c r="K115" s="116">
        <v>7.3</v>
      </c>
      <c r="L115" s="116">
        <v>15.4</v>
      </c>
      <c r="M115" s="116">
        <v>22.5</v>
      </c>
      <c r="N115" s="116">
        <v>12.1</v>
      </c>
      <c r="O115" s="116">
        <v>12.1</v>
      </c>
      <c r="P115" s="116">
        <v>38</v>
      </c>
      <c r="Q115" s="116">
        <v>37.9</v>
      </c>
      <c r="R115" s="116">
        <v>40.6</v>
      </c>
      <c r="S115" s="116">
        <v>41</v>
      </c>
      <c r="T115" s="116">
        <v>40.299999999999997</v>
      </c>
      <c r="U115" s="116">
        <v>40</v>
      </c>
      <c r="V115" s="116">
        <v>39</v>
      </c>
      <c r="W115" s="116">
        <v>39.200000000000003</v>
      </c>
      <c r="X115" s="116">
        <v>39.299999999999997</v>
      </c>
      <c r="Y115" s="116">
        <v>39.299999999999997</v>
      </c>
      <c r="Z115" s="116">
        <v>43.2</v>
      </c>
      <c r="AA115" s="116">
        <v>55.4</v>
      </c>
      <c r="AB115" s="116">
        <v>76.7</v>
      </c>
      <c r="AC115" s="116">
        <v>79.400000000000006</v>
      </c>
      <c r="AD115" s="116">
        <v>79.5</v>
      </c>
      <c r="AE115" s="116">
        <v>79.3</v>
      </c>
      <c r="AF115" s="116">
        <v>57.9</v>
      </c>
      <c r="AG115" s="117">
        <v>120</v>
      </c>
      <c r="AH115" s="47">
        <f t="shared" si="18"/>
        <v>79.5</v>
      </c>
      <c r="AI115" s="48">
        <f t="shared" si="19"/>
        <v>1</v>
      </c>
    </row>
    <row r="116" spans="1:37" x14ac:dyDescent="0.25">
      <c r="A116" s="115" t="s">
        <v>124</v>
      </c>
      <c r="B116" s="116"/>
      <c r="C116" s="116">
        <v>54</v>
      </c>
      <c r="D116" s="116">
        <v>66</v>
      </c>
      <c r="E116" s="116">
        <v>19.3</v>
      </c>
      <c r="F116" s="116">
        <v>19.3</v>
      </c>
      <c r="G116" s="116">
        <v>19.3</v>
      </c>
      <c r="H116" s="116">
        <v>19.3</v>
      </c>
      <c r="I116" s="116">
        <v>19.3</v>
      </c>
      <c r="J116" s="116">
        <v>95</v>
      </c>
      <c r="K116" s="116">
        <v>95</v>
      </c>
      <c r="L116" s="116">
        <v>74</v>
      </c>
      <c r="M116" s="116">
        <v>78.8</v>
      </c>
      <c r="N116" s="116">
        <v>86</v>
      </c>
      <c r="O116" s="116">
        <v>86</v>
      </c>
      <c r="P116" s="116">
        <v>76.599999999999994</v>
      </c>
      <c r="Q116" s="116">
        <v>87</v>
      </c>
      <c r="R116" s="116">
        <v>77</v>
      </c>
      <c r="S116" s="116">
        <v>92</v>
      </c>
      <c r="T116" s="116">
        <v>37.200000000000003</v>
      </c>
      <c r="U116" s="116">
        <v>77.8</v>
      </c>
      <c r="V116" s="116">
        <v>62.5</v>
      </c>
      <c r="W116" s="116">
        <v>75.3</v>
      </c>
      <c r="X116" s="116">
        <v>47</v>
      </c>
      <c r="Y116" s="116">
        <v>56</v>
      </c>
      <c r="Z116" s="116">
        <v>67</v>
      </c>
      <c r="AA116" s="116">
        <v>64</v>
      </c>
      <c r="AB116" s="116">
        <v>73.2</v>
      </c>
      <c r="AC116" s="116">
        <v>70.8</v>
      </c>
      <c r="AD116" s="116">
        <v>59.6</v>
      </c>
      <c r="AE116" s="116">
        <v>39.299999999999997</v>
      </c>
      <c r="AF116" s="116">
        <v>65.400000000000006</v>
      </c>
      <c r="AG116" s="117"/>
      <c r="AH116" s="47">
        <f t="shared" si="18"/>
        <v>95</v>
      </c>
      <c r="AI116" s="48">
        <f t="shared" si="19"/>
        <v>19.3</v>
      </c>
    </row>
    <row r="117" spans="1:37" x14ac:dyDescent="0.25">
      <c r="A117" s="115" t="s">
        <v>125</v>
      </c>
      <c r="B117" s="116">
        <v>23</v>
      </c>
      <c r="C117" s="116">
        <v>65</v>
      </c>
      <c r="D117" s="116">
        <v>56</v>
      </c>
      <c r="E117" s="116">
        <v>9.6999999999999993</v>
      </c>
      <c r="F117" s="116">
        <v>9.6999999999999993</v>
      </c>
      <c r="G117" s="116">
        <v>9.6999999999999993</v>
      </c>
      <c r="H117" s="116">
        <v>9.6999999999999993</v>
      </c>
      <c r="I117" s="116">
        <v>9.6999999999999993</v>
      </c>
      <c r="J117" s="116">
        <v>24</v>
      </c>
      <c r="K117" s="116">
        <v>24</v>
      </c>
      <c r="L117" s="116">
        <v>6.3</v>
      </c>
      <c r="M117" s="116">
        <v>0.6</v>
      </c>
      <c r="N117" s="116">
        <v>-8.6999999999999993</v>
      </c>
      <c r="O117" s="116">
        <v>-8.6999999999999993</v>
      </c>
      <c r="P117" s="116">
        <v>-9.1999999999999993</v>
      </c>
      <c r="Q117" s="116">
        <v>1.6</v>
      </c>
      <c r="R117" s="116">
        <v>10</v>
      </c>
      <c r="S117" s="116">
        <v>7</v>
      </c>
      <c r="T117" s="116">
        <v>23.4</v>
      </c>
      <c r="U117" s="116">
        <v>20.3</v>
      </c>
      <c r="V117" s="116">
        <v>-12.9</v>
      </c>
      <c r="W117" s="116">
        <v>-8</v>
      </c>
      <c r="X117" s="116">
        <v>1.4</v>
      </c>
      <c r="Y117" s="116">
        <v>3.8</v>
      </c>
      <c r="Z117" s="116">
        <v>6.4</v>
      </c>
      <c r="AA117" s="116">
        <v>1</v>
      </c>
      <c r="AB117" s="116">
        <v>0.3</v>
      </c>
      <c r="AC117" s="116">
        <v>-3.4</v>
      </c>
      <c r="AD117" s="116">
        <v>28.1</v>
      </c>
      <c r="AE117" s="116">
        <v>24</v>
      </c>
      <c r="AF117" s="116">
        <v>38.4</v>
      </c>
      <c r="AG117" s="118"/>
      <c r="AH117" s="47">
        <f t="shared" si="18"/>
        <v>65</v>
      </c>
      <c r="AI117" s="48">
        <f t="shared" si="19"/>
        <v>-12.9</v>
      </c>
    </row>
    <row r="118" spans="1:37" x14ac:dyDescent="0.25">
      <c r="A118" s="119" t="s">
        <v>126</v>
      </c>
      <c r="B118" s="105">
        <v>27</v>
      </c>
      <c r="C118" s="105">
        <v>34</v>
      </c>
      <c r="D118" s="105">
        <v>34</v>
      </c>
      <c r="E118" s="105">
        <v>39.299999999999997</v>
      </c>
      <c r="F118" s="105">
        <v>39.299999999999997</v>
      </c>
      <c r="G118" s="105">
        <v>39.299999999999997</v>
      </c>
      <c r="H118" s="105">
        <v>39.299999999999997</v>
      </c>
      <c r="I118" s="105">
        <v>39.299999999999997</v>
      </c>
      <c r="J118" s="105">
        <v>25.6</v>
      </c>
      <c r="K118" s="105">
        <v>25.6</v>
      </c>
      <c r="L118" s="105">
        <v>22.2</v>
      </c>
      <c r="M118" s="105">
        <v>23.6</v>
      </c>
      <c r="N118" s="105">
        <v>25.4</v>
      </c>
      <c r="O118" s="105">
        <v>25.4</v>
      </c>
      <c r="P118" s="105">
        <v>26.5</v>
      </c>
      <c r="Q118" s="105">
        <v>18.399999999999999</v>
      </c>
      <c r="R118" s="105">
        <v>16.600000000000001</v>
      </c>
      <c r="S118" s="105">
        <v>23</v>
      </c>
      <c r="T118" s="105">
        <v>19.8</v>
      </c>
      <c r="U118" s="105">
        <v>14.2</v>
      </c>
      <c r="V118" s="105">
        <v>35</v>
      </c>
      <c r="W118" s="105">
        <v>38.4</v>
      </c>
      <c r="X118" s="105">
        <v>31.5</v>
      </c>
      <c r="Y118" s="105">
        <v>31</v>
      </c>
      <c r="Z118" s="105">
        <v>25.4</v>
      </c>
      <c r="AA118" s="105">
        <v>28</v>
      </c>
      <c r="AB118" s="105">
        <v>25.8</v>
      </c>
      <c r="AC118" s="105">
        <v>28.4</v>
      </c>
      <c r="AD118" s="105">
        <v>26.4</v>
      </c>
      <c r="AE118" s="105">
        <v>34.299999999999997</v>
      </c>
      <c r="AF118" s="105">
        <v>32.200000000000003</v>
      </c>
      <c r="AG118" s="118"/>
      <c r="AH118" s="47">
        <f t="shared" si="18"/>
        <v>39.299999999999997</v>
      </c>
      <c r="AI118" s="48">
        <f t="shared" si="19"/>
        <v>14.2</v>
      </c>
    </row>
    <row r="119" spans="1:37" x14ac:dyDescent="0.25">
      <c r="A119" s="120" t="s">
        <v>127</v>
      </c>
      <c r="B119" s="105">
        <v>83</v>
      </c>
      <c r="C119" s="105">
        <v>85</v>
      </c>
      <c r="D119" s="105">
        <v>77</v>
      </c>
      <c r="E119" s="105">
        <v>58</v>
      </c>
      <c r="F119" s="105">
        <v>58</v>
      </c>
      <c r="G119" s="105">
        <v>58</v>
      </c>
      <c r="H119" s="105">
        <v>58</v>
      </c>
      <c r="I119" s="105">
        <v>58</v>
      </c>
      <c r="J119" s="105">
        <v>57.9</v>
      </c>
      <c r="K119" s="105">
        <v>57.9</v>
      </c>
      <c r="L119" s="105">
        <v>80</v>
      </c>
      <c r="M119" s="105">
        <v>78.8</v>
      </c>
      <c r="N119" s="105">
        <v>66.3</v>
      </c>
      <c r="O119" s="105">
        <v>66.3</v>
      </c>
      <c r="P119" s="105">
        <v>97.1</v>
      </c>
      <c r="Q119" s="105">
        <v>71.5</v>
      </c>
      <c r="R119" s="105">
        <v>72.7</v>
      </c>
      <c r="S119" s="105">
        <v>49</v>
      </c>
      <c r="T119" s="105">
        <v>51.4</v>
      </c>
      <c r="U119" s="105">
        <v>75.7</v>
      </c>
      <c r="V119" s="105">
        <v>77.2</v>
      </c>
      <c r="W119" s="105">
        <v>62.8</v>
      </c>
      <c r="X119" s="105">
        <v>73.599999999999994</v>
      </c>
      <c r="Y119" s="105">
        <v>92</v>
      </c>
      <c r="Z119" s="105">
        <v>42</v>
      </c>
      <c r="AA119" s="105">
        <v>53</v>
      </c>
      <c r="AB119" s="105">
        <v>52.6</v>
      </c>
      <c r="AC119" s="105">
        <v>61</v>
      </c>
      <c r="AD119" s="105">
        <v>62.4</v>
      </c>
      <c r="AE119" s="105">
        <v>100</v>
      </c>
      <c r="AF119" s="105">
        <v>79.8</v>
      </c>
      <c r="AG119" s="118"/>
      <c r="AH119" s="47">
        <f t="shared" si="18"/>
        <v>100</v>
      </c>
      <c r="AI119" s="48">
        <f t="shared" si="19"/>
        <v>42</v>
      </c>
    </row>
    <row r="120" spans="1:37" ht="15.75" thickBot="1" x14ac:dyDescent="0.3">
      <c r="A120" s="119" t="s">
        <v>128</v>
      </c>
      <c r="B120" s="105">
        <v>43</v>
      </c>
      <c r="C120" s="105">
        <v>41</v>
      </c>
      <c r="D120" s="105">
        <v>40</v>
      </c>
      <c r="E120" s="105">
        <v>37</v>
      </c>
      <c r="F120" s="105">
        <v>37</v>
      </c>
      <c r="G120" s="105">
        <v>37</v>
      </c>
      <c r="H120" s="105">
        <v>37</v>
      </c>
      <c r="I120" s="105">
        <v>37</v>
      </c>
      <c r="J120" s="105">
        <v>29.8</v>
      </c>
      <c r="K120" s="105">
        <v>29.8</v>
      </c>
      <c r="L120" s="105">
        <v>27.9</v>
      </c>
      <c r="M120" s="105">
        <v>35</v>
      </c>
      <c r="N120" s="105">
        <v>30</v>
      </c>
      <c r="O120" s="105">
        <v>30</v>
      </c>
      <c r="P120" s="105">
        <v>29.1</v>
      </c>
      <c r="Q120" s="105">
        <v>32.9</v>
      </c>
      <c r="R120" s="105">
        <v>18</v>
      </c>
      <c r="S120" s="105">
        <v>26</v>
      </c>
      <c r="T120" s="105">
        <v>37.4</v>
      </c>
      <c r="U120" s="105">
        <v>36.1</v>
      </c>
      <c r="V120" s="105">
        <v>9.4</v>
      </c>
      <c r="W120" s="105">
        <v>11.7</v>
      </c>
      <c r="X120" s="105">
        <v>15</v>
      </c>
      <c r="Y120" s="105">
        <v>17</v>
      </c>
      <c r="Z120" s="105">
        <v>42</v>
      </c>
      <c r="AA120" s="105">
        <v>43</v>
      </c>
      <c r="AB120" s="105">
        <v>98.9</v>
      </c>
      <c r="AC120" s="105">
        <v>44.1</v>
      </c>
      <c r="AD120" s="105">
        <v>47.6</v>
      </c>
      <c r="AE120" s="105">
        <v>36</v>
      </c>
      <c r="AF120" s="105">
        <v>44</v>
      </c>
      <c r="AG120" s="118"/>
      <c r="AH120" s="47">
        <f t="shared" si="18"/>
        <v>98.9</v>
      </c>
      <c r="AI120" s="48">
        <f t="shared" si="19"/>
        <v>9.4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41">SUM(B122:B226)</f>
        <v>0</v>
      </c>
      <c r="C227" s="136">
        <f t="shared" si="41"/>
        <v>0</v>
      </c>
      <c r="D227" s="136">
        <f t="shared" si="41"/>
        <v>0</v>
      </c>
      <c r="E227" s="136">
        <f t="shared" si="41"/>
        <v>0</v>
      </c>
      <c r="F227" s="136">
        <f t="shared" si="41"/>
        <v>0</v>
      </c>
      <c r="G227" s="136">
        <f t="shared" si="41"/>
        <v>0</v>
      </c>
      <c r="H227" s="136">
        <f t="shared" si="41"/>
        <v>0</v>
      </c>
      <c r="I227" s="136">
        <f t="shared" si="41"/>
        <v>0</v>
      </c>
      <c r="J227" s="136">
        <f t="shared" si="41"/>
        <v>0</v>
      </c>
      <c r="K227" s="136">
        <f t="shared" si="41"/>
        <v>0</v>
      </c>
      <c r="L227" s="136">
        <f t="shared" si="41"/>
        <v>0</v>
      </c>
      <c r="M227" s="136">
        <f t="shared" si="41"/>
        <v>0</v>
      </c>
      <c r="N227" s="136">
        <f t="shared" si="41"/>
        <v>0</v>
      </c>
      <c r="O227" s="136">
        <f t="shared" si="41"/>
        <v>0</v>
      </c>
      <c r="P227" s="136">
        <f t="shared" si="41"/>
        <v>0</v>
      </c>
      <c r="Q227" s="136">
        <f t="shared" si="41"/>
        <v>0</v>
      </c>
      <c r="R227" s="136">
        <f t="shared" si="41"/>
        <v>0</v>
      </c>
      <c r="S227" s="136">
        <f t="shared" si="41"/>
        <v>0</v>
      </c>
      <c r="T227" s="136">
        <f t="shared" si="41"/>
        <v>0</v>
      </c>
      <c r="U227" s="136">
        <f t="shared" si="41"/>
        <v>0</v>
      </c>
      <c r="V227" s="136">
        <f t="shared" si="41"/>
        <v>0</v>
      </c>
      <c r="W227" s="136">
        <f t="shared" si="41"/>
        <v>0</v>
      </c>
      <c r="X227" s="136">
        <f t="shared" si="41"/>
        <v>0</v>
      </c>
      <c r="Y227" s="136">
        <f t="shared" si="41"/>
        <v>0</v>
      </c>
      <c r="Z227" s="136">
        <f t="shared" si="41"/>
        <v>0</v>
      </c>
      <c r="AA227" s="136">
        <f t="shared" si="41"/>
        <v>0</v>
      </c>
      <c r="AB227" s="136">
        <f t="shared" si="41"/>
        <v>0</v>
      </c>
      <c r="AC227" s="136">
        <f t="shared" si="41"/>
        <v>0</v>
      </c>
      <c r="AD227" s="136">
        <f t="shared" si="41"/>
        <v>0</v>
      </c>
      <c r="AE227" s="136">
        <f t="shared" si="41"/>
        <v>0</v>
      </c>
      <c r="AF227" s="137">
        <f t="shared" si="41"/>
        <v>0</v>
      </c>
      <c r="AG227" s="138">
        <f t="shared" si="41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42">AF229</f>
        <v>0</v>
      </c>
      <c r="C229" s="140">
        <v>0.3</v>
      </c>
      <c r="D229" s="140">
        <f t="shared" ref="D229:P234" si="43">C229</f>
        <v>0.3</v>
      </c>
      <c r="E229" s="140">
        <f t="shared" si="43"/>
        <v>0.3</v>
      </c>
      <c r="F229" s="140">
        <f t="shared" si="43"/>
        <v>0.3</v>
      </c>
      <c r="G229" s="140">
        <f t="shared" si="43"/>
        <v>0.3</v>
      </c>
      <c r="H229" s="140">
        <f t="shared" si="43"/>
        <v>0.3</v>
      </c>
      <c r="I229" s="140">
        <f t="shared" si="43"/>
        <v>0.3</v>
      </c>
      <c r="J229" s="140">
        <f t="shared" si="43"/>
        <v>0.3</v>
      </c>
      <c r="K229" s="140">
        <f t="shared" si="43"/>
        <v>0.3</v>
      </c>
      <c r="L229" s="140">
        <f t="shared" si="43"/>
        <v>0.3</v>
      </c>
      <c r="M229" s="140">
        <f t="shared" si="43"/>
        <v>0.3</v>
      </c>
      <c r="N229" s="140">
        <f t="shared" si="43"/>
        <v>0.3</v>
      </c>
      <c r="O229" s="140">
        <f t="shared" si="43"/>
        <v>0.3</v>
      </c>
      <c r="P229" s="140">
        <f t="shared" si="43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42"/>
        <v>0</v>
      </c>
      <c r="C230" s="128">
        <v>0.4</v>
      </c>
      <c r="D230" s="128">
        <f t="shared" si="43"/>
        <v>0.4</v>
      </c>
      <c r="E230" s="128">
        <f t="shared" si="43"/>
        <v>0.4</v>
      </c>
      <c r="F230" s="128">
        <f t="shared" si="43"/>
        <v>0.4</v>
      </c>
      <c r="G230" s="128">
        <f t="shared" si="43"/>
        <v>0.4</v>
      </c>
      <c r="H230" s="128">
        <f t="shared" si="43"/>
        <v>0.4</v>
      </c>
      <c r="I230" s="128">
        <f t="shared" si="43"/>
        <v>0.4</v>
      </c>
      <c r="J230" s="128">
        <f t="shared" si="43"/>
        <v>0.4</v>
      </c>
      <c r="K230" s="128">
        <f t="shared" si="43"/>
        <v>0.4</v>
      </c>
      <c r="L230" s="128">
        <f t="shared" si="43"/>
        <v>0.4</v>
      </c>
      <c r="M230" s="128">
        <f t="shared" si="43"/>
        <v>0.4</v>
      </c>
      <c r="N230" s="128">
        <f t="shared" si="43"/>
        <v>0.4</v>
      </c>
      <c r="O230" s="128">
        <f t="shared" si="43"/>
        <v>0.4</v>
      </c>
      <c r="P230" s="128">
        <f t="shared" si="43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42"/>
        <v>0</v>
      </c>
      <c r="C231" s="128">
        <v>1.5</v>
      </c>
      <c r="D231" s="128">
        <f t="shared" si="43"/>
        <v>1.5</v>
      </c>
      <c r="E231" s="128">
        <f t="shared" si="43"/>
        <v>1.5</v>
      </c>
      <c r="F231" s="128">
        <f t="shared" si="43"/>
        <v>1.5</v>
      </c>
      <c r="G231" s="128">
        <f t="shared" si="43"/>
        <v>1.5</v>
      </c>
      <c r="H231" s="128">
        <f t="shared" si="43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43"/>
        <v>123.21900000000009</v>
      </c>
      <c r="K231" s="128">
        <f t="shared" ca="1" si="43"/>
        <v>123.21900000000009</v>
      </c>
      <c r="L231" s="128">
        <f t="shared" ca="1" si="43"/>
        <v>123.21900000000009</v>
      </c>
      <c r="M231" s="128">
        <f t="shared" ca="1" si="43"/>
        <v>119.19900000000008</v>
      </c>
      <c r="N231" s="128">
        <f t="shared" ca="1" si="43"/>
        <v>119.19900000000008</v>
      </c>
      <c r="O231" s="128">
        <f t="shared" ca="1" si="43"/>
        <v>119.19900000000008</v>
      </c>
      <c r="P231" s="128">
        <f t="shared" ca="1" si="43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42"/>
        <v>0</v>
      </c>
      <c r="C232" s="128">
        <v>0.3</v>
      </c>
      <c r="D232" s="128">
        <f t="shared" si="43"/>
        <v>0.3</v>
      </c>
      <c r="E232" s="128">
        <f t="shared" si="43"/>
        <v>0.3</v>
      </c>
      <c r="F232" s="128">
        <f t="shared" si="43"/>
        <v>0.3</v>
      </c>
      <c r="G232" s="128">
        <f t="shared" si="43"/>
        <v>0.3</v>
      </c>
      <c r="H232" s="128">
        <f t="shared" si="43"/>
        <v>0.3</v>
      </c>
      <c r="I232" s="128">
        <f t="shared" si="43"/>
        <v>0.3</v>
      </c>
      <c r="J232" s="128">
        <f t="shared" si="43"/>
        <v>0.3</v>
      </c>
      <c r="K232" s="128">
        <f t="shared" si="43"/>
        <v>0.3</v>
      </c>
      <c r="L232" s="128">
        <f t="shared" si="43"/>
        <v>0.3</v>
      </c>
      <c r="M232" s="128">
        <f t="shared" si="43"/>
        <v>0.3</v>
      </c>
      <c r="N232" s="128">
        <f t="shared" si="43"/>
        <v>0.3</v>
      </c>
      <c r="O232" s="128">
        <f t="shared" si="43"/>
        <v>0.3</v>
      </c>
      <c r="P232" s="128">
        <f t="shared" si="43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42"/>
        <v>0</v>
      </c>
      <c r="C233" s="128">
        <v>0.4</v>
      </c>
      <c r="D233" s="128">
        <f t="shared" si="43"/>
        <v>0.4</v>
      </c>
      <c r="E233" s="128">
        <f t="shared" si="43"/>
        <v>0.4</v>
      </c>
      <c r="F233" s="128">
        <f t="shared" si="43"/>
        <v>0.4</v>
      </c>
      <c r="G233" s="128">
        <f t="shared" si="43"/>
        <v>0.4</v>
      </c>
      <c r="H233" s="128">
        <f t="shared" si="43"/>
        <v>0.4</v>
      </c>
      <c r="I233" s="128">
        <f t="shared" si="43"/>
        <v>0.4</v>
      </c>
      <c r="J233" s="128">
        <f t="shared" si="43"/>
        <v>0.4</v>
      </c>
      <c r="K233" s="128">
        <f t="shared" si="43"/>
        <v>0.4</v>
      </c>
      <c r="L233" s="128">
        <f t="shared" si="43"/>
        <v>0.4</v>
      </c>
      <c r="M233" s="128">
        <f t="shared" si="43"/>
        <v>0.4</v>
      </c>
      <c r="N233" s="128">
        <f t="shared" si="43"/>
        <v>0.4</v>
      </c>
      <c r="O233" s="128">
        <f t="shared" si="43"/>
        <v>0.4</v>
      </c>
      <c r="P233" s="128">
        <f t="shared" si="43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42"/>
        <v>0</v>
      </c>
      <c r="C234" s="132">
        <v>0.64</v>
      </c>
      <c r="D234" s="132">
        <f t="shared" si="43"/>
        <v>0.64</v>
      </c>
      <c r="E234" s="132">
        <f t="shared" si="43"/>
        <v>0.64</v>
      </c>
      <c r="F234" s="132">
        <f t="shared" si="43"/>
        <v>0.64</v>
      </c>
      <c r="G234" s="132">
        <f t="shared" si="43"/>
        <v>0.64</v>
      </c>
      <c r="H234" s="132">
        <f t="shared" si="43"/>
        <v>0.64</v>
      </c>
      <c r="I234" s="132">
        <f t="shared" si="43"/>
        <v>0.64</v>
      </c>
      <c r="J234" s="132">
        <f t="shared" si="43"/>
        <v>0.64</v>
      </c>
      <c r="K234" s="132">
        <f t="shared" si="43"/>
        <v>0.64</v>
      </c>
      <c r="L234" s="132">
        <f t="shared" si="43"/>
        <v>0.64</v>
      </c>
      <c r="M234" s="132">
        <f t="shared" si="43"/>
        <v>0.64</v>
      </c>
      <c r="N234" s="132">
        <f t="shared" si="43"/>
        <v>0.64</v>
      </c>
      <c r="O234" s="132">
        <f t="shared" si="43"/>
        <v>0.64</v>
      </c>
      <c r="P234" s="132">
        <f t="shared" si="43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44">SUM(B229:B234)</f>
        <v>0</v>
      </c>
      <c r="C235" s="136">
        <f t="shared" si="44"/>
        <v>3.54</v>
      </c>
      <c r="D235" s="136">
        <f t="shared" si="44"/>
        <v>3.54</v>
      </c>
      <c r="E235" s="136">
        <f t="shared" si="44"/>
        <v>3.54</v>
      </c>
      <c r="F235" s="136">
        <f t="shared" si="44"/>
        <v>3.54</v>
      </c>
      <c r="G235" s="136">
        <f t="shared" si="44"/>
        <v>3.54</v>
      </c>
      <c r="H235" s="136">
        <f t="shared" si="44"/>
        <v>3.54</v>
      </c>
      <c r="I235" s="136">
        <f t="shared" ca="1" si="44"/>
        <v>121.23900000000009</v>
      </c>
      <c r="J235" s="136">
        <f t="shared" ca="1" si="44"/>
        <v>121.23900000000009</v>
      </c>
      <c r="K235" s="136">
        <f t="shared" ca="1" si="44"/>
        <v>121.23900000000009</v>
      </c>
      <c r="L235" s="136">
        <f t="shared" ca="1" si="44"/>
        <v>125.2590000000001</v>
      </c>
      <c r="M235" s="136">
        <f t="shared" ca="1" si="44"/>
        <v>121.23900000000009</v>
      </c>
      <c r="N235" s="136">
        <f t="shared" ca="1" si="44"/>
        <v>121.23900000000009</v>
      </c>
      <c r="O235" s="136">
        <f t="shared" ca="1" si="44"/>
        <v>121.23900000000009</v>
      </c>
      <c r="P235" s="136">
        <f t="shared" ca="1" si="44"/>
        <v>121.23900000000009</v>
      </c>
      <c r="Q235" s="136">
        <f t="shared" si="44"/>
        <v>0</v>
      </c>
      <c r="R235" s="136">
        <f t="shared" si="44"/>
        <v>0</v>
      </c>
      <c r="S235" s="136">
        <f t="shared" si="44"/>
        <v>0</v>
      </c>
      <c r="T235" s="136">
        <f t="shared" si="44"/>
        <v>0</v>
      </c>
      <c r="U235" s="136">
        <f t="shared" si="44"/>
        <v>0</v>
      </c>
      <c r="V235" s="136">
        <f t="shared" si="44"/>
        <v>0</v>
      </c>
      <c r="W235" s="136">
        <f t="shared" si="44"/>
        <v>0</v>
      </c>
      <c r="X235" s="136">
        <f t="shared" si="44"/>
        <v>0</v>
      </c>
      <c r="Y235" s="136">
        <f t="shared" si="44"/>
        <v>0</v>
      </c>
      <c r="Z235" s="136">
        <f t="shared" si="44"/>
        <v>0</v>
      </c>
      <c r="AA235" s="136">
        <f t="shared" si="44"/>
        <v>0</v>
      </c>
      <c r="AB235" s="136">
        <f t="shared" si="44"/>
        <v>0</v>
      </c>
      <c r="AC235" s="136">
        <f t="shared" si="44"/>
        <v>0</v>
      </c>
      <c r="AD235" s="136">
        <f t="shared" si="44"/>
        <v>0</v>
      </c>
      <c r="AE235" s="136">
        <f t="shared" si="44"/>
        <v>0</v>
      </c>
      <c r="AF235" s="136">
        <f t="shared" si="44"/>
        <v>0</v>
      </c>
      <c r="AG235" s="145">
        <f t="shared" si="44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2012.24</v>
      </c>
      <c r="C244" s="161">
        <f>INDEX(G9:N9,1,MATCH(MAX(G91:N91),G91:N91,0))</f>
        <v>0.29166666666666669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18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2080/04/18)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2080/04/18)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45">B91</f>
        <v>2051.44</v>
      </c>
      <c r="U249" s="170">
        <f t="shared" si="45"/>
        <v>1970.14</v>
      </c>
      <c r="V249" s="170">
        <f t="shared" si="45"/>
        <v>1975.14</v>
      </c>
      <c r="W249" s="170">
        <f t="shared" si="45"/>
        <v>1982.94</v>
      </c>
      <c r="X249" s="170">
        <f t="shared" si="45"/>
        <v>1982.94</v>
      </c>
      <c r="Y249" s="170">
        <f t="shared" si="45"/>
        <v>2000.94</v>
      </c>
      <c r="Z249" s="170">
        <f t="shared" si="45"/>
        <v>1989.04</v>
      </c>
      <c r="AA249" s="170">
        <f t="shared" si="45"/>
        <v>2000.34</v>
      </c>
      <c r="AB249" s="170">
        <f t="shared" si="45"/>
        <v>2007.24</v>
      </c>
      <c r="AC249" s="170">
        <f t="shared" si="45"/>
        <v>2012.24</v>
      </c>
      <c r="AD249" s="170">
        <f t="shared" si="45"/>
        <v>2007.24</v>
      </c>
      <c r="AE249" s="170">
        <f t="shared" si="45"/>
        <v>2007.54</v>
      </c>
      <c r="AF249" s="170">
        <f t="shared" si="45"/>
        <v>1976.04</v>
      </c>
      <c r="AG249" s="170">
        <f t="shared" si="45"/>
        <v>1977.44</v>
      </c>
      <c r="AH249" s="170">
        <f t="shared" si="45"/>
        <v>1991.0400000000002</v>
      </c>
      <c r="AI249" s="170">
        <f t="shared" si="45"/>
        <v>1982.2400000000002</v>
      </c>
      <c r="AJ249" s="170">
        <f t="shared" si="45"/>
        <v>1980.9400000000003</v>
      </c>
      <c r="AK249" s="170">
        <f t="shared" si="45"/>
        <v>2000.7400000000002</v>
      </c>
      <c r="AL249" s="170">
        <f t="shared" si="45"/>
        <v>1995.8400000000001</v>
      </c>
      <c r="AM249" s="170">
        <f t="shared" si="45"/>
        <v>2030.2400000000002</v>
      </c>
      <c r="AN249" s="170">
        <f t="shared" si="45"/>
        <v>1984.9400000000003</v>
      </c>
      <c r="AO249" s="170">
        <f t="shared" si="45"/>
        <v>1918.14</v>
      </c>
      <c r="AP249" s="170">
        <f t="shared" si="45"/>
        <v>1922.94</v>
      </c>
      <c r="AQ249" s="170">
        <f t="shared" si="45"/>
        <v>1911.54</v>
      </c>
      <c r="AR249" s="170">
        <f t="shared" si="45"/>
        <v>2010.74</v>
      </c>
      <c r="AS249" s="170">
        <f t="shared" si="45"/>
        <v>2066.1400000000003</v>
      </c>
      <c r="AT249" s="170">
        <f t="shared" si="45"/>
        <v>2116.34</v>
      </c>
      <c r="AU249" s="170">
        <f t="shared" si="45"/>
        <v>2058.14</v>
      </c>
      <c r="AV249" s="170">
        <f t="shared" si="45"/>
        <v>2061.04</v>
      </c>
      <c r="AW249" s="170">
        <f t="shared" si="45"/>
        <v>2059.84</v>
      </c>
      <c r="AX249" s="170">
        <f t="shared" si="45"/>
        <v>1948.64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46">C234</f>
        <v>0.64</v>
      </c>
      <c r="C270" s="173">
        <f t="shared" si="46"/>
        <v>0.64</v>
      </c>
      <c r="D270" s="173">
        <f t="shared" si="46"/>
        <v>0.64</v>
      </c>
      <c r="E270" s="173">
        <f t="shared" si="46"/>
        <v>0.64</v>
      </c>
      <c r="F270" s="173">
        <f t="shared" si="46"/>
        <v>0.64</v>
      </c>
      <c r="G270" s="173">
        <f t="shared" si="46"/>
        <v>0.64</v>
      </c>
      <c r="H270" s="173">
        <f t="shared" si="46"/>
        <v>0.64</v>
      </c>
      <c r="I270" s="173">
        <f t="shared" si="46"/>
        <v>0.64</v>
      </c>
      <c r="J270" s="173">
        <f t="shared" si="46"/>
        <v>0.64</v>
      </c>
      <c r="K270" s="173">
        <f t="shared" si="46"/>
        <v>0.64</v>
      </c>
      <c r="L270" s="173">
        <f t="shared" si="46"/>
        <v>0.64</v>
      </c>
      <c r="M270" s="173">
        <f t="shared" si="46"/>
        <v>0.64</v>
      </c>
      <c r="N270" s="173">
        <f t="shared" si="46"/>
        <v>0.64</v>
      </c>
      <c r="O270" s="173">
        <f t="shared" si="46"/>
        <v>0.64</v>
      </c>
      <c r="P270" s="173">
        <f t="shared" si="46"/>
        <v>0</v>
      </c>
      <c r="Q270" s="173">
        <f t="shared" si="46"/>
        <v>0</v>
      </c>
      <c r="R270" s="173">
        <f t="shared" si="46"/>
        <v>0</v>
      </c>
      <c r="S270" s="173">
        <f t="shared" si="46"/>
        <v>0</v>
      </c>
      <c r="T270" s="173">
        <f t="shared" si="46"/>
        <v>0</v>
      </c>
      <c r="U270" s="173">
        <f t="shared" si="46"/>
        <v>0</v>
      </c>
      <c r="V270" s="173">
        <f t="shared" si="46"/>
        <v>0</v>
      </c>
      <c r="W270" s="173">
        <f t="shared" si="46"/>
        <v>0</v>
      </c>
      <c r="X270" s="173">
        <f t="shared" si="46"/>
        <v>0</v>
      </c>
      <c r="Y270" s="173">
        <f t="shared" si="46"/>
        <v>0</v>
      </c>
      <c r="Z270" s="173">
        <f t="shared" si="46"/>
        <v>0</v>
      </c>
      <c r="AA270" s="173">
        <f t="shared" si="46"/>
        <v>0</v>
      </c>
      <c r="AB270" s="173">
        <f t="shared" si="46"/>
        <v>0</v>
      </c>
      <c r="AC270" s="173">
        <f t="shared" si="46"/>
        <v>0</v>
      </c>
      <c r="AD270" s="173">
        <f t="shared" si="46"/>
        <v>0</v>
      </c>
      <c r="AE270" s="173">
        <f t="shared" si="46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47">IF(B238&lt;100,"",B238-520)</f>
        <v/>
      </c>
      <c r="C271" s="174" t="str">
        <f t="shared" si="47"/>
        <v/>
      </c>
      <c r="D271" s="174" t="str">
        <f t="shared" si="47"/>
        <v/>
      </c>
      <c r="E271" s="174" t="str">
        <f t="shared" si="47"/>
        <v/>
      </c>
      <c r="F271" s="174" t="str">
        <f t="shared" si="47"/>
        <v/>
      </c>
      <c r="G271" s="174" t="str">
        <f t="shared" si="47"/>
        <v/>
      </c>
      <c r="H271" s="174" t="str">
        <f t="shared" si="47"/>
        <v/>
      </c>
      <c r="I271" s="174" t="str">
        <f t="shared" si="47"/>
        <v/>
      </c>
      <c r="J271" s="174" t="str">
        <f t="shared" si="47"/>
        <v/>
      </c>
      <c r="K271" s="174" t="str">
        <f t="shared" si="47"/>
        <v/>
      </c>
      <c r="L271" s="174" t="str">
        <f t="shared" si="47"/>
        <v/>
      </c>
      <c r="M271" s="174" t="str">
        <f t="shared" si="47"/>
        <v/>
      </c>
      <c r="N271" s="174" t="str">
        <f t="shared" si="47"/>
        <v/>
      </c>
      <c r="O271" s="174" t="str">
        <f t="shared" si="47"/>
        <v/>
      </c>
      <c r="P271" s="174" t="str">
        <f t="shared" si="47"/>
        <v/>
      </c>
      <c r="Q271" s="174" t="str">
        <f t="shared" si="47"/>
        <v/>
      </c>
      <c r="R271" s="174" t="str">
        <f t="shared" si="47"/>
        <v/>
      </c>
      <c r="S271" s="174" t="str">
        <f t="shared" si="47"/>
        <v/>
      </c>
      <c r="T271" s="174" t="str">
        <f t="shared" si="47"/>
        <v/>
      </c>
      <c r="U271" s="174" t="str">
        <f t="shared" si="47"/>
        <v/>
      </c>
      <c r="V271" s="174" t="str">
        <f t="shared" si="47"/>
        <v/>
      </c>
      <c r="W271" s="174" t="str">
        <f t="shared" si="47"/>
        <v/>
      </c>
      <c r="X271" s="174" t="str">
        <f t="shared" si="47"/>
        <v/>
      </c>
      <c r="Y271" s="174" t="str">
        <f t="shared" si="47"/>
        <v/>
      </c>
      <c r="Z271" s="174" t="str">
        <f t="shared" si="47"/>
        <v/>
      </c>
      <c r="AA271" s="174" t="str">
        <f t="shared" si="47"/>
        <v/>
      </c>
      <c r="AB271" s="174" t="str">
        <f t="shared" si="47"/>
        <v/>
      </c>
      <c r="AC271" s="174" t="str">
        <f t="shared" si="47"/>
        <v/>
      </c>
      <c r="AD271" s="174" t="str">
        <f t="shared" si="47"/>
        <v/>
      </c>
      <c r="AE271" s="174" t="str">
        <f t="shared" si="47"/>
        <v/>
      </c>
      <c r="AF271" s="174" t="str">
        <f t="shared" si="47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48">IF(B239&lt;100,"",B239-620)</f>
        <v/>
      </c>
      <c r="C272" s="174" t="str">
        <f t="shared" si="48"/>
        <v/>
      </c>
      <c r="D272" s="174" t="str">
        <f t="shared" si="48"/>
        <v/>
      </c>
      <c r="E272" s="174" t="str">
        <f t="shared" si="48"/>
        <v/>
      </c>
      <c r="F272" s="174" t="str">
        <f t="shared" si="48"/>
        <v/>
      </c>
      <c r="G272" s="174" t="str">
        <f t="shared" si="48"/>
        <v/>
      </c>
      <c r="H272" s="174" t="str">
        <f t="shared" si="48"/>
        <v/>
      </c>
      <c r="I272" s="174" t="str">
        <f t="shared" si="48"/>
        <v/>
      </c>
      <c r="J272" s="174" t="str">
        <f t="shared" si="48"/>
        <v/>
      </c>
      <c r="K272" s="174" t="str">
        <f t="shared" si="48"/>
        <v/>
      </c>
      <c r="L272" s="174" t="str">
        <f t="shared" si="48"/>
        <v/>
      </c>
      <c r="M272" s="174" t="str">
        <f t="shared" si="48"/>
        <v/>
      </c>
      <c r="N272" s="174" t="str">
        <f t="shared" si="48"/>
        <v/>
      </c>
      <c r="O272" s="174" t="str">
        <f t="shared" si="48"/>
        <v/>
      </c>
      <c r="P272" s="174" t="str">
        <f t="shared" si="48"/>
        <v/>
      </c>
      <c r="Q272" s="174" t="str">
        <f t="shared" si="48"/>
        <v/>
      </c>
      <c r="R272" s="174" t="str">
        <f t="shared" si="48"/>
        <v/>
      </c>
      <c r="S272" s="174" t="str">
        <f t="shared" si="48"/>
        <v/>
      </c>
      <c r="T272" s="174" t="str">
        <f t="shared" si="48"/>
        <v/>
      </c>
      <c r="U272" s="174" t="str">
        <f t="shared" si="48"/>
        <v/>
      </c>
      <c r="V272" s="174" t="str">
        <f t="shared" si="48"/>
        <v/>
      </c>
      <c r="W272" s="174" t="str">
        <f t="shared" si="48"/>
        <v/>
      </c>
      <c r="X272" s="174" t="str">
        <f t="shared" si="48"/>
        <v/>
      </c>
      <c r="Y272" s="174" t="str">
        <f t="shared" si="48"/>
        <v/>
      </c>
      <c r="Z272" s="174" t="str">
        <f t="shared" si="48"/>
        <v/>
      </c>
      <c r="AA272" s="174" t="str">
        <f t="shared" si="48"/>
        <v/>
      </c>
      <c r="AB272" s="174" t="str">
        <f t="shared" si="48"/>
        <v/>
      </c>
      <c r="AC272" s="174" t="str">
        <f t="shared" si="48"/>
        <v/>
      </c>
      <c r="AD272" s="174" t="str">
        <f t="shared" si="48"/>
        <v/>
      </c>
      <c r="AE272" s="174" t="str">
        <f t="shared" si="48"/>
        <v/>
      </c>
      <c r="AF272" s="174" t="str">
        <f t="shared" si="48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49">IF(B240&lt;100,"",B240-330)</f>
        <v/>
      </c>
      <c r="C273" s="174" t="str">
        <f t="shared" si="49"/>
        <v/>
      </c>
      <c r="D273" s="174" t="str">
        <f t="shared" si="49"/>
        <v/>
      </c>
      <c r="E273" s="174" t="str">
        <f t="shared" si="49"/>
        <v/>
      </c>
      <c r="F273" s="174" t="str">
        <f t="shared" si="49"/>
        <v/>
      </c>
      <c r="G273" s="174" t="str">
        <f t="shared" si="49"/>
        <v/>
      </c>
      <c r="H273" s="174" t="str">
        <f t="shared" si="49"/>
        <v/>
      </c>
      <c r="I273" s="174" t="str">
        <f t="shared" si="49"/>
        <v/>
      </c>
      <c r="J273" s="174" t="str">
        <f t="shared" si="49"/>
        <v/>
      </c>
      <c r="K273" s="174" t="str">
        <f t="shared" si="49"/>
        <v/>
      </c>
      <c r="L273" s="174" t="str">
        <f t="shared" si="49"/>
        <v/>
      </c>
      <c r="M273" s="174" t="str">
        <f t="shared" si="49"/>
        <v/>
      </c>
      <c r="N273" s="174" t="str">
        <f t="shared" si="49"/>
        <v/>
      </c>
      <c r="O273" s="174" t="str">
        <f t="shared" si="49"/>
        <v/>
      </c>
      <c r="P273" s="174" t="str">
        <f t="shared" si="49"/>
        <v/>
      </c>
      <c r="Q273" s="174" t="str">
        <f t="shared" si="49"/>
        <v/>
      </c>
      <c r="R273" s="174" t="str">
        <f t="shared" si="49"/>
        <v/>
      </c>
      <c r="S273" s="174" t="str">
        <f t="shared" si="49"/>
        <v/>
      </c>
      <c r="T273" s="174" t="str">
        <f t="shared" si="49"/>
        <v/>
      </c>
      <c r="U273" s="174" t="str">
        <f t="shared" si="49"/>
        <v/>
      </c>
      <c r="V273" s="174" t="str">
        <f t="shared" si="49"/>
        <v/>
      </c>
      <c r="W273" s="174" t="str">
        <f t="shared" si="49"/>
        <v/>
      </c>
      <c r="X273" s="174" t="str">
        <f t="shared" si="49"/>
        <v/>
      </c>
      <c r="Y273" s="174" t="str">
        <f t="shared" si="49"/>
        <v/>
      </c>
      <c r="Z273" s="174" t="str">
        <f t="shared" si="49"/>
        <v/>
      </c>
      <c r="AA273" s="174" t="str">
        <f t="shared" si="49"/>
        <v/>
      </c>
      <c r="AB273" s="174" t="str">
        <f t="shared" si="49"/>
        <v/>
      </c>
      <c r="AC273" s="174" t="str">
        <f t="shared" si="49"/>
        <v/>
      </c>
      <c r="AD273" s="174" t="str">
        <f t="shared" si="49"/>
        <v/>
      </c>
      <c r="AE273" s="174" t="str">
        <f t="shared" si="49"/>
        <v/>
      </c>
      <c r="AF273" s="174" t="str">
        <f t="shared" si="49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50">IF(B241&lt;100,"",B241-1500)</f>
        <v/>
      </c>
      <c r="C274" s="174" t="str">
        <f t="shared" si="50"/>
        <v/>
      </c>
      <c r="D274" s="174" t="str">
        <f t="shared" si="50"/>
        <v/>
      </c>
      <c r="E274" s="174" t="str">
        <f t="shared" si="50"/>
        <v/>
      </c>
      <c r="F274" s="174" t="str">
        <f t="shared" si="50"/>
        <v/>
      </c>
      <c r="G274" s="174" t="str">
        <f t="shared" si="50"/>
        <v/>
      </c>
      <c r="H274" s="174" t="str">
        <f t="shared" si="50"/>
        <v/>
      </c>
      <c r="I274" s="174" t="str">
        <f t="shared" si="50"/>
        <v/>
      </c>
      <c r="J274" s="174" t="str">
        <f t="shared" si="50"/>
        <v/>
      </c>
      <c r="K274" s="174" t="str">
        <f t="shared" si="50"/>
        <v/>
      </c>
      <c r="L274" s="174" t="str">
        <f t="shared" si="50"/>
        <v/>
      </c>
      <c r="M274" s="174" t="str">
        <f t="shared" si="50"/>
        <v/>
      </c>
      <c r="N274" s="174" t="str">
        <f t="shared" si="50"/>
        <v/>
      </c>
      <c r="O274" s="174" t="str">
        <f t="shared" si="50"/>
        <v/>
      </c>
      <c r="P274" s="174" t="str">
        <f t="shared" si="50"/>
        <v/>
      </c>
      <c r="Q274" s="174" t="str">
        <f t="shared" si="50"/>
        <v/>
      </c>
      <c r="R274" s="174" t="str">
        <f t="shared" si="50"/>
        <v/>
      </c>
      <c r="S274" s="174" t="str">
        <f t="shared" si="50"/>
        <v/>
      </c>
      <c r="T274" s="174" t="str">
        <f t="shared" si="50"/>
        <v/>
      </c>
      <c r="U274" s="174" t="str">
        <f t="shared" si="50"/>
        <v/>
      </c>
      <c r="V274" s="174" t="str">
        <f t="shared" si="50"/>
        <v/>
      </c>
      <c r="W274" s="174" t="str">
        <f t="shared" si="50"/>
        <v/>
      </c>
      <c r="X274" s="174" t="str">
        <f t="shared" si="50"/>
        <v/>
      </c>
      <c r="Y274" s="174" t="str">
        <f t="shared" si="50"/>
        <v/>
      </c>
      <c r="Z274" s="174" t="str">
        <f t="shared" si="50"/>
        <v/>
      </c>
      <c r="AA274" s="174" t="str">
        <f t="shared" si="50"/>
        <v/>
      </c>
      <c r="AB274" s="174" t="str">
        <f t="shared" si="50"/>
        <v/>
      </c>
      <c r="AC274" s="174" t="str">
        <f t="shared" si="50"/>
        <v/>
      </c>
      <c r="AD274" s="174" t="str">
        <f t="shared" si="50"/>
        <v/>
      </c>
      <c r="AE274" s="174" t="str">
        <f t="shared" si="50"/>
        <v/>
      </c>
      <c r="AF274" s="174" t="str">
        <f t="shared" si="50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1045" priority="64">
      <formula>$AH11=0</formula>
    </cfRule>
  </conditionalFormatting>
  <conditionalFormatting sqref="B8 M8 S8 AB8">
    <cfRule type="expression" dxfId="1044" priority="115">
      <formula>AND(C$9&gt;=14/24,C$9&lt;20/24)</formula>
    </cfRule>
    <cfRule type="expression" dxfId="1043" priority="116">
      <formula>AND(C$9&gt;=8/24,C$9&lt;14/24)</formula>
    </cfRule>
    <cfRule type="expression" dxfId="1042" priority="117">
      <formula>C$9&lt;8/24</formula>
    </cfRule>
  </conditionalFormatting>
  <conditionalFormatting sqref="B54:C54">
    <cfRule type="expression" dxfId="1041" priority="41">
      <formula>B$9&lt;8/24</formula>
    </cfRule>
    <cfRule type="expression" dxfId="1040" priority="39">
      <formula>AND(B$9&gt;=14/24,B$9&lt;20/24)</formula>
    </cfRule>
    <cfRule type="expression" dxfId="1039" priority="38">
      <formula>B$9&gt;=20/24</formula>
    </cfRule>
    <cfRule type="expression" dxfId="1038" priority="40">
      <formula>AND(B$9&gt;=8/24,B$9&lt;14/24)</formula>
    </cfRule>
  </conditionalFormatting>
  <conditionalFormatting sqref="B54:C66">
    <cfRule type="expression" dxfId="1037" priority="33">
      <formula>B54&gt;$AG54</formula>
    </cfRule>
  </conditionalFormatting>
  <conditionalFormatting sqref="B55:L59">
    <cfRule type="expression" dxfId="1036" priority="61">
      <formula>AND(B$9&gt;=14/24,B$9&lt;20/24)</formula>
    </cfRule>
    <cfRule type="expression" dxfId="1035" priority="60">
      <formula>B$9&gt;=20/24</formula>
    </cfRule>
    <cfRule type="expression" dxfId="1034" priority="62">
      <formula>AND(B$9&gt;=8/24,B$9&lt;14/24)</formula>
    </cfRule>
    <cfRule type="expression" dxfId="1033" priority="63">
      <formula>B$9&lt;8/24</formula>
    </cfRule>
  </conditionalFormatting>
  <conditionalFormatting sqref="B60:AA60">
    <cfRule type="expression" dxfId="1032" priority="51">
      <formula>B$9&gt;=20/24</formula>
    </cfRule>
    <cfRule type="expression" dxfId="1031" priority="52">
      <formula>AND(B$9&gt;=14/24,B$9&lt;20/24)</formula>
    </cfRule>
    <cfRule type="expression" dxfId="1030" priority="53">
      <formula>AND(B$9&gt;=8/24,B$9&lt;14/24)</formula>
    </cfRule>
    <cfRule type="expression" dxfId="1029" priority="54">
      <formula>B$9&lt;8/24</formula>
    </cfRule>
  </conditionalFormatting>
  <conditionalFormatting sqref="B9:AF45">
    <cfRule type="expression" dxfId="1028" priority="26">
      <formula>B$9&lt;8/24</formula>
    </cfRule>
    <cfRule type="expression" dxfId="1027" priority="25">
      <formula>AND(B$9&gt;=8/24,B$9&lt;14/24)</formula>
    </cfRule>
    <cfRule type="expression" dxfId="1026" priority="24">
      <formula>AND(B$9&gt;=14/24,B$9&lt;20/24)</formula>
    </cfRule>
    <cfRule type="expression" dxfId="1025" priority="23">
      <formula>B$9&gt;=20/24</formula>
    </cfRule>
  </conditionalFormatting>
  <conditionalFormatting sqref="B11:AF46">
    <cfRule type="expression" dxfId="1024" priority="22">
      <formula>B11&gt;$AG11</formula>
    </cfRule>
  </conditionalFormatting>
  <conditionalFormatting sqref="B46:AF46">
    <cfRule type="expression" dxfId="1023" priority="18">
      <formula>B$9&gt;=20/24</formula>
    </cfRule>
    <cfRule type="expression" dxfId="1022" priority="19">
      <formula>AND(B$9&gt;=14/24,B$9&lt;20/24)</formula>
    </cfRule>
    <cfRule type="expression" dxfId="1021" priority="20">
      <formula>AND(B$9&gt;=8/24,B$9&lt;14/24)</formula>
    </cfRule>
    <cfRule type="expression" dxfId="1020" priority="21">
      <formula>B$9&lt;8/24</formula>
    </cfRule>
  </conditionalFormatting>
  <conditionalFormatting sqref="B47:AF47">
    <cfRule type="expression" dxfId="1019" priority="32">
      <formula>B47&gt;$AG47</formula>
    </cfRule>
  </conditionalFormatting>
  <conditionalFormatting sqref="B47:AF49">
    <cfRule type="expression" dxfId="1018" priority="28">
      <formula>B$9&gt;=20/24</formula>
    </cfRule>
    <cfRule type="expression" dxfId="1017" priority="29">
      <formula>AND(B$9&gt;=14/24,B$9&lt;20/24)</formula>
    </cfRule>
    <cfRule type="expression" dxfId="1016" priority="30">
      <formula>AND(B$9&gt;=8/24,B$9&lt;14/24)</formula>
    </cfRule>
    <cfRule type="expression" dxfId="1015" priority="31">
      <formula>B$9&lt;8/24</formula>
    </cfRule>
  </conditionalFormatting>
  <conditionalFormatting sqref="B48:AF53">
    <cfRule type="expression" dxfId="1014" priority="27">
      <formula>B48&gt;$AG48</formula>
    </cfRule>
  </conditionalFormatting>
  <conditionalFormatting sqref="B51:AF53">
    <cfRule type="expression" dxfId="1013" priority="48">
      <formula>AND(B$9&gt;=14/24,B$9&lt;20/24)</formula>
    </cfRule>
    <cfRule type="expression" dxfId="1012" priority="47">
      <formula>B$9&gt;=20/24</formula>
    </cfRule>
    <cfRule type="expression" dxfId="1011" priority="50">
      <formula>B$9&lt;8/24</formula>
    </cfRule>
    <cfRule type="expression" dxfId="1010" priority="49">
      <formula>AND(B$9&gt;=8/24,B$9&lt;14/24)</formula>
    </cfRule>
  </conditionalFormatting>
  <conditionalFormatting sqref="B61:AF66">
    <cfRule type="expression" dxfId="1009" priority="34">
      <formula>B$9&gt;=20/24</formula>
    </cfRule>
    <cfRule type="expression" dxfId="1008" priority="36">
      <formula>AND(B$9&gt;=8/24,B$9&lt;14/24)</formula>
    </cfRule>
    <cfRule type="expression" dxfId="1007" priority="37">
      <formula>B$9&lt;8/24</formula>
    </cfRule>
    <cfRule type="expression" dxfId="1006" priority="35">
      <formula>AND(B$9&gt;=14/24,B$9&lt;20/24)</formula>
    </cfRule>
  </conditionalFormatting>
  <conditionalFormatting sqref="B69:AF71">
    <cfRule type="expression" dxfId="1005" priority="57">
      <formula>AND(B$9&gt;=14/24,B$9&lt;20/24)</formula>
    </cfRule>
    <cfRule type="expression" dxfId="1004" priority="56">
      <formula>B$9&gt;=20/24</formula>
    </cfRule>
    <cfRule type="expression" dxfId="1003" priority="55">
      <formula>B69&gt;$AG69</formula>
    </cfRule>
    <cfRule type="expression" dxfId="1002" priority="59">
      <formula>B$9&lt;8/24</formula>
    </cfRule>
    <cfRule type="expression" dxfId="1001" priority="58">
      <formula>AND(B$9&gt;=8/24,B$9&lt;14/24)</formula>
    </cfRule>
  </conditionalFormatting>
  <conditionalFormatting sqref="B73:AF91">
    <cfRule type="expression" dxfId="1000" priority="2">
      <formula>AND(B$9&gt;=14/24,B$9&lt;20/24)</formula>
    </cfRule>
    <cfRule type="expression" dxfId="999" priority="3">
      <formula>AND(B$9&gt;=8/24,B$9&lt;14/24)</formula>
    </cfRule>
    <cfRule type="expression" dxfId="998" priority="4">
      <formula>B$9&lt;8/24</formula>
    </cfRule>
    <cfRule type="expression" dxfId="997" priority="1">
      <formula>B$9&gt;=20/24</formula>
    </cfRule>
  </conditionalFormatting>
  <conditionalFormatting sqref="B111:AF120">
    <cfRule type="expression" dxfId="996" priority="14">
      <formula>B$9&gt;=20/24</formula>
    </cfRule>
    <cfRule type="expression" dxfId="995" priority="15">
      <formula>AND(B$9&gt;=14/24,B$9&lt;20/24)</formula>
    </cfRule>
    <cfRule type="expression" dxfId="994" priority="17">
      <formula>B$9&lt;8/24</formula>
    </cfRule>
    <cfRule type="expression" dxfId="993" priority="16">
      <formula>AND(B$9&gt;=8/24,B$9&lt;14/24)</formula>
    </cfRule>
  </conditionalFormatting>
  <conditionalFormatting sqref="B227:AF227 D229:AF230 B229:B235 D231:H231 J231:AF231 D232:AF235 U248:AF248">
    <cfRule type="expression" dxfId="992" priority="111">
      <formula>B$9&lt;8/24</formula>
    </cfRule>
    <cfRule type="expression" dxfId="991" priority="110">
      <formula>AND(B$9&gt;=8/24,B$9&lt;14/24)</formula>
    </cfRule>
    <cfRule type="expression" dxfId="990" priority="109">
      <formula>AND(B$9&gt;=14/24,B$9&lt;20/24)</formula>
    </cfRule>
    <cfRule type="expression" dxfId="989" priority="108">
      <formula>B$9&gt;=20/24</formula>
    </cfRule>
  </conditionalFormatting>
  <conditionalFormatting sqref="B67:AG68 B72:AG72">
    <cfRule type="expression" dxfId="988" priority="42">
      <formula>B67&gt;$AG67</formula>
    </cfRule>
  </conditionalFormatting>
  <conditionalFormatting sqref="B72:AG72 B93:AF109">
    <cfRule type="expression" dxfId="987" priority="45">
      <formula>AND(B$9&gt;=8/24,B$9&lt;14/24)</formula>
    </cfRule>
    <cfRule type="expression" dxfId="986" priority="43">
      <formula>B$9&gt;=20/24</formula>
    </cfRule>
    <cfRule type="expression" dxfId="985" priority="46">
      <formula>B$9&lt;8/24</formula>
    </cfRule>
    <cfRule type="expression" dxfId="984" priority="44">
      <formula>AND(B$9&gt;=14/24,B$9&lt;20/24)</formula>
    </cfRule>
  </conditionalFormatting>
  <conditionalFormatting sqref="D55:AF66">
    <cfRule type="expression" dxfId="983" priority="5">
      <formula>D55&gt;$AG55</formula>
    </cfRule>
  </conditionalFormatting>
  <conditionalFormatting sqref="D54:AG54">
    <cfRule type="expression" dxfId="982" priority="80">
      <formula>D$9&lt;8/24</formula>
    </cfRule>
    <cfRule type="expression" dxfId="981" priority="79">
      <formula>AND(D$9&gt;=8/24,D$9&lt;14/24)</formula>
    </cfRule>
    <cfRule type="expression" dxfId="980" priority="78">
      <formula>AND(D$9&gt;=14/24,D$9&lt;20/24)</formula>
    </cfRule>
    <cfRule type="expression" dxfId="979" priority="77">
      <formula>D$9&gt;=20/24</formula>
    </cfRule>
    <cfRule type="expression" dxfId="978" priority="76">
      <formula>D54&gt;$AG54</formula>
    </cfRule>
  </conditionalFormatting>
  <conditionalFormatting sqref="M55:X59 Y55:AF60">
    <cfRule type="expression" dxfId="977" priority="11">
      <formula>AND(M$9&gt;=14/24,M$9&lt;20/24)</formula>
    </cfRule>
    <cfRule type="expression" dxfId="976" priority="12">
      <formula>AND(M$9&gt;=8/24,M$9&lt;14/24)</formula>
    </cfRule>
    <cfRule type="expression" dxfId="975" priority="13">
      <formula>M$9&lt;8/24</formula>
    </cfRule>
    <cfRule type="expression" dxfId="974" priority="10">
      <formula>M$9&gt;=20/24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973" priority="114">
      <formula>C$9&gt;=20/24</formula>
    </cfRule>
  </conditionalFormatting>
  <conditionalFormatting sqref="S8">
    <cfRule type="expression" dxfId="972" priority="101">
      <formula>U$9&gt;=20/24</formula>
    </cfRule>
    <cfRule type="expression" dxfId="971" priority="104">
      <formula>U$9&lt;8/24</formula>
    </cfRule>
    <cfRule type="expression" dxfId="970" priority="103">
      <formula>AND(U$9&gt;=8/24,U$9&lt;14/24)</formula>
    </cfRule>
    <cfRule type="expression" dxfId="969" priority="102">
      <formula>AND(U$9&gt;=14/24,U$9&lt;20/24)</formula>
    </cfRule>
  </conditionalFormatting>
  <conditionalFormatting sqref="T248">
    <cfRule type="expression" dxfId="968" priority="129">
      <formula>AX$9&lt;8/24</formula>
    </cfRule>
    <cfRule type="expression" dxfId="967" priority="126">
      <formula>AX$9&gt;=20/24</formula>
    </cfRule>
    <cfRule type="expression" dxfId="966" priority="127">
      <formula>AND(AX$9&gt;=14/24,AX$9&lt;20/24)</formula>
    </cfRule>
    <cfRule type="expression" dxfId="965" priority="128">
      <formula>AND(AX$9&gt;=8/24,AX$9&lt;14/24)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964" priority="100">
      <formula>AD$9&lt;8/24</formula>
    </cfRule>
    <cfRule type="expression" dxfId="963" priority="99">
      <formula>AND(AD$9&gt;=8/24,AD$9&lt;14/24)</formula>
    </cfRule>
    <cfRule type="expression" dxfId="962" priority="97">
      <formula>AD$9&gt;=20/24</formula>
    </cfRule>
    <cfRule type="expression" dxfId="961" priority="98">
      <formula>AND(AD$9&gt;=14/24,AD$9&lt;20/24)</formula>
    </cfRule>
  </conditionalFormatting>
  <conditionalFormatting sqref="AE61:AF66">
    <cfRule type="expression" dxfId="960" priority="9">
      <formula>AE$9&lt;8/24</formula>
    </cfRule>
    <cfRule type="expression" dxfId="959" priority="8">
      <formula>AND(AE$9&gt;=8/24,AE$9&lt;14/24)</formula>
    </cfRule>
    <cfRule type="expression" dxfId="958" priority="7">
      <formula>AND(AE$9&gt;=14/24,AE$9&lt;20/24)</formula>
    </cfRule>
    <cfRule type="expression" dxfId="957" priority="6">
      <formula>AE$9&gt;=20/24</formula>
    </cfRule>
  </conditionalFormatting>
  <conditionalFormatting sqref="AG50">
    <cfRule type="expression" dxfId="956" priority="84">
      <formula>AG50&gt;$AG50</formula>
    </cfRule>
  </conditionalFormatting>
  <conditionalFormatting sqref="AG89">
    <cfRule type="expression" dxfId="955" priority="85">
      <formula>AG$9&gt;=20/24</formula>
    </cfRule>
    <cfRule type="expression" dxfId="954" priority="86">
      <formula>AND(AG$9&gt;=14/24,AG$9&lt;20/24)</formula>
    </cfRule>
    <cfRule type="expression" dxfId="953" priority="87">
      <formula>AND(AG$9&gt;=8/24,AG$9&lt;14/24)</formula>
    </cfRule>
    <cfRule type="expression" dxfId="952" priority="88">
      <formula>AG$9&lt;8/24</formula>
    </cfRule>
  </conditionalFormatting>
  <conditionalFormatting sqref="AG248">
    <cfRule type="expression" dxfId="951" priority="118">
      <formula>B$9&gt;=20/24</formula>
    </cfRule>
    <cfRule type="expression" dxfId="950" priority="119">
      <formula>AND(B$9&gt;=14/24,B$9&lt;20/24)</formula>
    </cfRule>
    <cfRule type="expression" dxfId="949" priority="120">
      <formula>AND(B$9&gt;=8/24,B$9&lt;14/24)</formula>
    </cfRule>
    <cfRule type="expression" dxfId="948" priority="121">
      <formula>B$9&lt;8/24</formula>
    </cfRule>
  </conditionalFormatting>
  <conditionalFormatting sqref="AH248:AX248">
    <cfRule type="expression" dxfId="947" priority="122">
      <formula>AG$9&gt;=20/24</formula>
    </cfRule>
    <cfRule type="expression" dxfId="946" priority="123">
      <formula>AND(AG$9&gt;=14/24,AG$9&lt;20/24)</formula>
    </cfRule>
    <cfRule type="expression" dxfId="945" priority="124">
      <formula>AND(AG$9&gt;=8/24,AG$9&lt;14/24)</formula>
    </cfRule>
    <cfRule type="expression" dxfId="944" priority="125">
      <formula>AG$9&lt;8/24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943" priority="131">
      <formula>AJ$9&gt;=20/24</formula>
    </cfRule>
    <cfRule type="expression" dxfId="942" priority="132">
      <formula>AND(AJ$9&gt;=14/24,AJ$9&lt;20/24)</formula>
    </cfRule>
    <cfRule type="expression" dxfId="941" priority="133">
      <formula>AND(AJ$9&gt;=8/24,AJ$9&lt;14/24)</formula>
    </cfRule>
    <cfRule type="expression" dxfId="940" priority="134">
      <formula>AJ$9&lt;8/24</formula>
    </cfRule>
  </conditionalFormatting>
  <conditionalFormatting sqref="AL80:AN80 AL86:AN86">
    <cfRule type="expression" dxfId="939" priority="75">
      <formula>AL$9&lt;8/24</formula>
    </cfRule>
    <cfRule type="expression" dxfId="938" priority="74">
      <formula>AND(AL$9&gt;=8/24,AL$9&lt;14/24)</formula>
    </cfRule>
    <cfRule type="expression" dxfId="937" priority="73">
      <formula>AND(AL$9&gt;=14/24,AL$9&lt;20/24)</formula>
    </cfRule>
    <cfRule type="expression" dxfId="936" priority="72">
      <formula>AL$9&gt;=20/24</formula>
    </cfRule>
  </conditionalFormatting>
  <conditionalFormatting sqref="AN81:AN84">
    <cfRule type="expression" dxfId="935" priority="70">
      <formula>AND(AN$9&gt;=8/24,AN$9&lt;14/24)</formula>
    </cfRule>
    <cfRule type="expression" dxfId="934" priority="69">
      <formula>AND(AN$9&gt;=14/24,AN$9&lt;20/24)</formula>
    </cfRule>
    <cfRule type="expression" dxfId="933" priority="68">
      <formula>AN$9&gt;=20/24</formula>
    </cfRule>
    <cfRule type="expression" dxfId="932" priority="71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5EAC-2495-4563-AA3A-FF4EF19DB21F}">
  <dimension ref="A1:CJ281"/>
  <sheetViews>
    <sheetView workbookViewId="0">
      <pane xSplit="1" ySplit="10" topLeftCell="H50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J81" sqref="J8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7" style="1" customWidth="1"/>
    <col min="12" max="12" width="8.42578125" style="1" customWidth="1"/>
    <col min="13" max="13" width="6.140625" style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7.71093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2080/04/19</v>
      </c>
      <c r="C4" s="203"/>
      <c r="D4" s="203"/>
      <c r="E4" s="204" t="str">
        <f ca="1">"2079/"&amp;"12/"&amp;INT(MID(CELL("filename",G6),FIND("]",CELL("filename",G6))+1,200))</f>
        <v>2079/12/19</v>
      </c>
      <c r="F4" s="204"/>
      <c r="G4" s="204"/>
      <c r="H4" s="204" t="str">
        <f ca="1">TEXT(E4,"dddd")</f>
        <v>Tuesday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5</v>
      </c>
      <c r="C5" s="30">
        <f t="shared" si="0"/>
        <v>45</v>
      </c>
      <c r="D5" s="30">
        <f t="shared" si="0"/>
        <v>6.9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10</v>
      </c>
      <c r="N5" s="30">
        <f t="shared" si="0"/>
        <v>0</v>
      </c>
      <c r="O5" s="30">
        <f t="shared" si="0"/>
        <v>15</v>
      </c>
      <c r="P5" s="30">
        <f t="shared" si="0"/>
        <v>5</v>
      </c>
      <c r="Q5" s="30">
        <f t="shared" si="0"/>
        <v>5</v>
      </c>
      <c r="R5" s="30">
        <f t="shared" si="0"/>
        <v>5</v>
      </c>
      <c r="S5" s="30">
        <f t="shared" si="0"/>
        <v>0</v>
      </c>
      <c r="T5" s="30">
        <f t="shared" si="0"/>
        <v>5</v>
      </c>
      <c r="U5" s="30">
        <f t="shared" si="0"/>
        <v>5</v>
      </c>
      <c r="V5" s="30">
        <f t="shared" si="0"/>
        <v>5</v>
      </c>
      <c r="W5" s="30">
        <f t="shared" si="0"/>
        <v>5</v>
      </c>
      <c r="X5" s="30">
        <f t="shared" si="0"/>
        <v>5</v>
      </c>
      <c r="Y5" s="30">
        <f t="shared" si="0"/>
        <v>5</v>
      </c>
      <c r="Z5" s="30">
        <f t="shared" si="0"/>
        <v>11.8</v>
      </c>
      <c r="AA5" s="30">
        <f t="shared" si="0"/>
        <v>19.899999999999999</v>
      </c>
      <c r="AB5" s="30">
        <f t="shared" si="0"/>
        <v>25.9</v>
      </c>
      <c r="AC5" s="30">
        <f t="shared" si="0"/>
        <v>28.3</v>
      </c>
      <c r="AD5" s="30">
        <f t="shared" si="0"/>
        <v>22.9</v>
      </c>
      <c r="AE5" s="30">
        <f t="shared" si="0"/>
        <v>15.9</v>
      </c>
      <c r="AF5" s="30">
        <f>B84</f>
        <v>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1988MW at 5:30hr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1988.44</v>
      </c>
      <c r="C7" s="35">
        <f t="shared" si="1"/>
        <v>1950.14</v>
      </c>
      <c r="D7" s="35">
        <f t="shared" si="1"/>
        <v>1977.24</v>
      </c>
      <c r="E7" s="35">
        <f t="shared" si="1"/>
        <v>1983.24</v>
      </c>
      <c r="F7" s="35">
        <f t="shared" si="1"/>
        <v>1975.8400000000001</v>
      </c>
      <c r="G7" s="35">
        <f t="shared" si="1"/>
        <v>1976.8400000000001</v>
      </c>
      <c r="H7" s="35">
        <f t="shared" si="1"/>
        <v>1988.1400000000003</v>
      </c>
      <c r="I7" s="35">
        <f t="shared" si="1"/>
        <v>1988.1400000000003</v>
      </c>
      <c r="J7" s="35">
        <f t="shared" si="1"/>
        <v>1961.24</v>
      </c>
      <c r="K7" s="35">
        <f t="shared" si="1"/>
        <v>1958.34</v>
      </c>
      <c r="L7" s="35">
        <f t="shared" si="1"/>
        <v>1981.44</v>
      </c>
      <c r="M7" s="35">
        <f t="shared" si="1"/>
        <v>1949.2399999999998</v>
      </c>
      <c r="N7" s="35">
        <f>N91</f>
        <v>1933.4399999999998</v>
      </c>
      <c r="O7" s="35">
        <f t="shared" si="1"/>
        <v>3.54</v>
      </c>
      <c r="P7" s="35">
        <f t="shared" si="1"/>
        <v>1924.04</v>
      </c>
      <c r="Q7" s="35">
        <f t="shared" si="1"/>
        <v>1977.64</v>
      </c>
      <c r="R7" s="35">
        <f t="shared" si="1"/>
        <v>1981.8400000000001</v>
      </c>
      <c r="S7" s="35">
        <f t="shared" si="1"/>
        <v>1981.8400000000001</v>
      </c>
      <c r="T7" s="35">
        <f t="shared" si="1"/>
        <v>20.54</v>
      </c>
      <c r="U7" s="35">
        <f t="shared" si="1"/>
        <v>1957.0400000000002</v>
      </c>
      <c r="V7" s="35">
        <f t="shared" si="1"/>
        <v>1969.64</v>
      </c>
      <c r="W7" s="35">
        <f t="shared" si="1"/>
        <v>1969.64</v>
      </c>
      <c r="X7" s="35">
        <f t="shared" si="1"/>
        <v>1993.2400000000002</v>
      </c>
      <c r="Y7" s="35">
        <f t="shared" si="1"/>
        <v>1976.2400000000002</v>
      </c>
      <c r="Z7" s="35">
        <f t="shared" si="1"/>
        <v>2032.7400000000002</v>
      </c>
      <c r="AA7" s="35">
        <f t="shared" si="1"/>
        <v>2106.0400000000004</v>
      </c>
      <c r="AB7" s="35">
        <f t="shared" si="1"/>
        <v>2119.5400000000004</v>
      </c>
      <c r="AC7" s="35">
        <f t="shared" si="1"/>
        <v>2140.9400000000005</v>
      </c>
      <c r="AD7" s="35">
        <f t="shared" si="1"/>
        <v>2120.2400000000007</v>
      </c>
      <c r="AE7" s="35">
        <f t="shared" si="1"/>
        <v>2079.7399999999998</v>
      </c>
      <c r="AF7" s="35">
        <f t="shared" si="1"/>
        <v>2020.3400000000004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86.2</v>
      </c>
      <c r="C11" s="45">
        <v>86.2</v>
      </c>
      <c r="D11" s="45">
        <v>86.2</v>
      </c>
      <c r="E11" s="45">
        <v>90</v>
      </c>
      <c r="F11" s="45">
        <v>90</v>
      </c>
      <c r="G11" s="45">
        <v>90</v>
      </c>
      <c r="H11" s="45">
        <v>90</v>
      </c>
      <c r="I11" s="45">
        <v>90</v>
      </c>
      <c r="J11" s="45">
        <v>86.7</v>
      </c>
      <c r="K11" s="45">
        <v>86.7</v>
      </c>
      <c r="L11" s="45">
        <v>86.7</v>
      </c>
      <c r="M11" s="45">
        <v>86.8</v>
      </c>
      <c r="N11" s="45">
        <v>86.8</v>
      </c>
      <c r="O11" s="45" t="s">
        <v>260</v>
      </c>
      <c r="P11" s="45">
        <v>86.8</v>
      </c>
      <c r="Q11" s="45">
        <v>86.9</v>
      </c>
      <c r="R11" s="45">
        <v>86.9</v>
      </c>
      <c r="S11" s="45">
        <v>86.9</v>
      </c>
      <c r="T11" s="45" t="s">
        <v>260</v>
      </c>
      <c r="U11" s="45">
        <v>90</v>
      </c>
      <c r="V11" s="45">
        <v>90</v>
      </c>
      <c r="W11" s="45">
        <v>90</v>
      </c>
      <c r="X11" s="45">
        <v>90</v>
      </c>
      <c r="Y11" s="45">
        <v>90</v>
      </c>
      <c r="Z11" s="45">
        <v>90</v>
      </c>
      <c r="AA11" s="45">
        <v>90</v>
      </c>
      <c r="AB11" s="45">
        <v>90</v>
      </c>
      <c r="AC11" s="45">
        <v>90</v>
      </c>
      <c r="AD11" s="45">
        <v>90</v>
      </c>
      <c r="AE11" s="45">
        <v>90</v>
      </c>
      <c r="AF11" s="45">
        <v>90</v>
      </c>
      <c r="AG11" s="46">
        <v>86</v>
      </c>
      <c r="AH11" s="47">
        <f t="shared" ref="AH11:AH76" si="2">MAX(B11:AF11)</f>
        <v>90</v>
      </c>
      <c r="AI11" s="48">
        <f t="shared" ref="AI11:AI76" si="3">MIN(B11:AF11)</f>
        <v>86.2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21.6</v>
      </c>
      <c r="C12" s="45">
        <v>21.6</v>
      </c>
      <c r="D12" s="45">
        <v>10.8</v>
      </c>
      <c r="E12" s="45">
        <v>18</v>
      </c>
      <c r="F12" s="45">
        <v>18</v>
      </c>
      <c r="G12" s="45">
        <v>8</v>
      </c>
      <c r="H12" s="45">
        <v>18</v>
      </c>
      <c r="I12" s="45">
        <v>18</v>
      </c>
      <c r="J12" s="45">
        <v>9</v>
      </c>
      <c r="K12" s="45">
        <v>9</v>
      </c>
      <c r="L12" s="45">
        <v>9</v>
      </c>
      <c r="M12" s="45">
        <v>0</v>
      </c>
      <c r="N12" s="45">
        <v>0</v>
      </c>
      <c r="O12" s="45" t="s">
        <v>280</v>
      </c>
      <c r="P12" s="45">
        <v>8</v>
      </c>
      <c r="Q12" s="45">
        <v>10</v>
      </c>
      <c r="R12" s="45">
        <v>10</v>
      </c>
      <c r="S12" s="45">
        <v>10</v>
      </c>
      <c r="T12" s="45" t="s">
        <v>280</v>
      </c>
      <c r="U12" s="45">
        <v>12</v>
      </c>
      <c r="V12" s="45">
        <v>12</v>
      </c>
      <c r="W12" s="45">
        <v>12</v>
      </c>
      <c r="X12" s="45">
        <v>26</v>
      </c>
      <c r="Y12" s="45">
        <v>26</v>
      </c>
      <c r="Z12" s="45">
        <v>26</v>
      </c>
      <c r="AA12" s="45">
        <v>26</v>
      </c>
      <c r="AB12" s="45">
        <v>26</v>
      </c>
      <c r="AC12" s="45">
        <v>26</v>
      </c>
      <c r="AD12" s="45">
        <v>26</v>
      </c>
      <c r="AE12" s="45">
        <v>26</v>
      </c>
      <c r="AF12" s="45">
        <v>26</v>
      </c>
      <c r="AG12" s="49">
        <v>54</v>
      </c>
      <c r="AH12" s="47">
        <f t="shared" si="2"/>
        <v>26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54.8</v>
      </c>
      <c r="C13" s="45">
        <v>54.8</v>
      </c>
      <c r="D13" s="45">
        <v>54.8</v>
      </c>
      <c r="E13" s="45">
        <v>54.8</v>
      </c>
      <c r="F13" s="45">
        <v>54.8</v>
      </c>
      <c r="G13" s="45">
        <v>54.8</v>
      </c>
      <c r="H13" s="45">
        <v>54.8</v>
      </c>
      <c r="I13" s="45">
        <v>54.8</v>
      </c>
      <c r="J13" s="45">
        <v>54.9</v>
      </c>
      <c r="K13" s="45">
        <v>54.9</v>
      </c>
      <c r="L13" s="45">
        <v>54.9</v>
      </c>
      <c r="M13" s="45">
        <v>54.6</v>
      </c>
      <c r="N13" s="45">
        <v>54.6</v>
      </c>
      <c r="O13" s="45" t="s">
        <v>260</v>
      </c>
      <c r="P13" s="45">
        <v>54.6</v>
      </c>
      <c r="Q13" s="45">
        <v>54.8</v>
      </c>
      <c r="R13" s="45">
        <v>54.8</v>
      </c>
      <c r="S13" s="45">
        <v>54.8</v>
      </c>
      <c r="T13" s="45" t="s">
        <v>260</v>
      </c>
      <c r="U13" s="45">
        <v>54.8</v>
      </c>
      <c r="V13" s="45">
        <v>54.8</v>
      </c>
      <c r="W13" s="45">
        <v>54.8</v>
      </c>
      <c r="X13" s="45">
        <v>54.8</v>
      </c>
      <c r="Y13" s="45">
        <v>54.8</v>
      </c>
      <c r="Z13" s="45">
        <v>54.8</v>
      </c>
      <c r="AA13" s="45">
        <v>54.8</v>
      </c>
      <c r="AB13" s="45">
        <v>54.8</v>
      </c>
      <c r="AC13" s="45">
        <v>54.8</v>
      </c>
      <c r="AD13" s="45">
        <v>54.8</v>
      </c>
      <c r="AE13" s="45">
        <v>54.8</v>
      </c>
      <c r="AF13" s="45">
        <v>54.8</v>
      </c>
      <c r="AG13" s="46">
        <v>52.4</v>
      </c>
      <c r="AH13" s="47">
        <f t="shared" si="2"/>
        <v>54.9</v>
      </c>
      <c r="AI13" s="48">
        <f t="shared" si="3"/>
        <v>54.6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50.3</v>
      </c>
      <c r="C14" s="58">
        <v>50.3</v>
      </c>
      <c r="D14" s="58">
        <v>50.3</v>
      </c>
      <c r="E14" s="58">
        <v>50.3</v>
      </c>
      <c r="F14" s="58">
        <v>50.3</v>
      </c>
      <c r="G14" s="58">
        <v>50.3</v>
      </c>
      <c r="H14" s="58">
        <v>50.3</v>
      </c>
      <c r="I14" s="58">
        <v>50.3</v>
      </c>
      <c r="J14" s="58">
        <v>50.5</v>
      </c>
      <c r="K14" s="58">
        <v>50.5</v>
      </c>
      <c r="L14" s="58">
        <v>50.5</v>
      </c>
      <c r="M14" s="58">
        <v>50.3</v>
      </c>
      <c r="N14" s="58">
        <v>50.3</v>
      </c>
      <c r="O14" s="58" t="s">
        <v>279</v>
      </c>
      <c r="P14" s="58">
        <v>50.3</v>
      </c>
      <c r="Q14" s="58">
        <v>50.3</v>
      </c>
      <c r="R14" s="58">
        <v>50.3</v>
      </c>
      <c r="S14" s="58">
        <v>50.3</v>
      </c>
      <c r="T14" s="58" t="s">
        <v>279</v>
      </c>
      <c r="U14" s="58">
        <v>50.3</v>
      </c>
      <c r="V14" s="58">
        <v>50.3</v>
      </c>
      <c r="W14" s="58">
        <v>50.3</v>
      </c>
      <c r="X14" s="58">
        <v>50.3</v>
      </c>
      <c r="Y14" s="58">
        <v>50.3</v>
      </c>
      <c r="Z14" s="58">
        <v>50.3</v>
      </c>
      <c r="AA14" s="58">
        <v>50.3</v>
      </c>
      <c r="AB14" s="58">
        <v>50.3</v>
      </c>
      <c r="AC14" s="58">
        <v>50.3</v>
      </c>
      <c r="AD14" s="58">
        <v>50.3</v>
      </c>
      <c r="AE14" s="58">
        <v>50.3</v>
      </c>
      <c r="AF14" s="58">
        <v>50.3</v>
      </c>
      <c r="AG14" s="49">
        <v>50</v>
      </c>
      <c r="AH14" s="47">
        <f t="shared" si="2"/>
        <v>50.5</v>
      </c>
      <c r="AI14" s="48">
        <f t="shared" si="3"/>
        <v>50.3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46</v>
      </c>
      <c r="E15" s="45">
        <v>46</v>
      </c>
      <c r="F15" s="45">
        <v>46</v>
      </c>
      <c r="G15" s="45">
        <v>46</v>
      </c>
      <c r="H15" s="45">
        <v>46</v>
      </c>
      <c r="I15" s="45">
        <v>46</v>
      </c>
      <c r="J15" s="45">
        <v>45.9</v>
      </c>
      <c r="K15" s="45">
        <v>45.9</v>
      </c>
      <c r="L15" s="45">
        <v>45.9</v>
      </c>
      <c r="M15" s="45">
        <v>46.1</v>
      </c>
      <c r="N15" s="45">
        <v>46.1</v>
      </c>
      <c r="O15" s="45" t="s">
        <v>281</v>
      </c>
      <c r="P15" s="45">
        <v>46.1</v>
      </c>
      <c r="Q15" s="45">
        <v>45.9</v>
      </c>
      <c r="R15" s="45">
        <v>45.9</v>
      </c>
      <c r="S15" s="45">
        <v>45.9</v>
      </c>
      <c r="T15" s="45" t="s">
        <v>281</v>
      </c>
      <c r="U15" s="45">
        <v>45.9</v>
      </c>
      <c r="V15" s="45">
        <v>45.9</v>
      </c>
      <c r="W15" s="45">
        <v>45.9</v>
      </c>
      <c r="X15" s="45">
        <v>45.9</v>
      </c>
      <c r="Y15" s="45">
        <v>45.9</v>
      </c>
      <c r="Z15" s="45">
        <v>45.9</v>
      </c>
      <c r="AA15" s="45">
        <v>45.9</v>
      </c>
      <c r="AB15" s="45">
        <v>45.9</v>
      </c>
      <c r="AC15" s="45">
        <v>45.9</v>
      </c>
      <c r="AD15" s="45">
        <v>46.2</v>
      </c>
      <c r="AE15" s="45">
        <v>46.2</v>
      </c>
      <c r="AF15" s="45">
        <v>46.2</v>
      </c>
      <c r="AG15" s="49">
        <v>45</v>
      </c>
      <c r="AH15" s="47">
        <f t="shared" si="2"/>
        <v>46.2</v>
      </c>
      <c r="AI15" s="48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 t="s">
        <v>278</v>
      </c>
      <c r="P16" s="45">
        <v>44</v>
      </c>
      <c r="Q16" s="45">
        <v>44</v>
      </c>
      <c r="R16" s="45">
        <v>44</v>
      </c>
      <c r="S16" s="45">
        <v>44</v>
      </c>
      <c r="T16" s="45" t="s">
        <v>278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26</v>
      </c>
      <c r="C17" s="45">
        <v>32</v>
      </c>
      <c r="D17" s="45">
        <v>26</v>
      </c>
      <c r="E17" s="45">
        <v>26</v>
      </c>
      <c r="F17" s="45">
        <v>26</v>
      </c>
      <c r="G17" s="45">
        <v>26</v>
      </c>
      <c r="H17" s="45">
        <v>26</v>
      </c>
      <c r="I17" s="45">
        <v>26</v>
      </c>
      <c r="J17" s="45">
        <v>28</v>
      </c>
      <c r="K17" s="45">
        <v>28</v>
      </c>
      <c r="L17" s="45">
        <v>28</v>
      </c>
      <c r="M17" s="45">
        <v>28</v>
      </c>
      <c r="N17" s="45">
        <v>28</v>
      </c>
      <c r="O17" s="45"/>
      <c r="P17" s="45">
        <v>29</v>
      </c>
      <c r="Q17" s="45">
        <v>29</v>
      </c>
      <c r="R17" s="45">
        <v>29</v>
      </c>
      <c r="S17" s="45">
        <v>29</v>
      </c>
      <c r="T17" s="45"/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30</v>
      </c>
      <c r="AB17" s="45">
        <v>30</v>
      </c>
      <c r="AC17" s="45">
        <v>38</v>
      </c>
      <c r="AD17" s="45">
        <v>38.9</v>
      </c>
      <c r="AE17" s="45">
        <v>38.9</v>
      </c>
      <c r="AF17" s="45">
        <v>30</v>
      </c>
      <c r="AG17" s="49">
        <v>42</v>
      </c>
      <c r="AH17" s="47">
        <f t="shared" si="2"/>
        <v>38.9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 t="s">
        <v>261</v>
      </c>
      <c r="P18" s="45">
        <v>38</v>
      </c>
      <c r="Q18" s="45">
        <v>38</v>
      </c>
      <c r="R18" s="45">
        <v>38</v>
      </c>
      <c r="S18" s="45">
        <v>38</v>
      </c>
      <c r="T18" s="45" t="s">
        <v>261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 t="s">
        <v>295</v>
      </c>
      <c r="P19" s="45">
        <v>36</v>
      </c>
      <c r="Q19" s="45">
        <v>36</v>
      </c>
      <c r="R19" s="45">
        <v>36</v>
      </c>
      <c r="S19" s="45">
        <v>36</v>
      </c>
      <c r="T19" s="45" t="s">
        <v>295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0</v>
      </c>
      <c r="AF19" s="45">
        <v>0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12</v>
      </c>
      <c r="C20" s="45">
        <v>12</v>
      </c>
      <c r="D20" s="45">
        <v>6</v>
      </c>
      <c r="E20" s="45">
        <v>6</v>
      </c>
      <c r="F20" s="45">
        <v>11.1</v>
      </c>
      <c r="G20" s="45">
        <v>11.1</v>
      </c>
      <c r="H20" s="45">
        <v>11.1</v>
      </c>
      <c r="I20" s="45">
        <v>11.1</v>
      </c>
      <c r="J20" s="45">
        <v>5.5</v>
      </c>
      <c r="K20" s="45">
        <v>5.5</v>
      </c>
      <c r="L20" s="45">
        <v>5.5</v>
      </c>
      <c r="M20" s="45">
        <v>0</v>
      </c>
      <c r="N20" s="45">
        <v>0</v>
      </c>
      <c r="O20" s="45" t="s">
        <v>260</v>
      </c>
      <c r="P20" s="45">
        <v>5.2</v>
      </c>
      <c r="Q20" s="45">
        <v>7.2</v>
      </c>
      <c r="R20" s="45">
        <v>7.2</v>
      </c>
      <c r="S20" s="45">
        <v>7.2</v>
      </c>
      <c r="T20" s="45" t="s">
        <v>260</v>
      </c>
      <c r="U20" s="45">
        <v>14.8</v>
      </c>
      <c r="V20" s="45">
        <v>14.8</v>
      </c>
      <c r="W20" s="45">
        <v>14.8</v>
      </c>
      <c r="X20" s="45">
        <v>20.5</v>
      </c>
      <c r="Y20" s="45">
        <v>20.5</v>
      </c>
      <c r="Z20" s="45">
        <v>30</v>
      </c>
      <c r="AA20" s="45">
        <v>30</v>
      </c>
      <c r="AB20" s="45">
        <v>30</v>
      </c>
      <c r="AC20" s="45">
        <v>30</v>
      </c>
      <c r="AD20" s="45">
        <v>30</v>
      </c>
      <c r="AE20" s="45">
        <v>30</v>
      </c>
      <c r="AF20" s="45">
        <v>15</v>
      </c>
      <c r="AG20" s="51">
        <v>30</v>
      </c>
      <c r="AH20" s="47">
        <f t="shared" si="2"/>
        <v>30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25.8</v>
      </c>
      <c r="C21" s="45">
        <v>25.8</v>
      </c>
      <c r="D21" s="45">
        <v>25.8</v>
      </c>
      <c r="E21" s="45">
        <v>25.8</v>
      </c>
      <c r="F21" s="45">
        <v>25.8</v>
      </c>
      <c r="G21" s="45">
        <v>25.8</v>
      </c>
      <c r="H21" s="45">
        <v>25.8</v>
      </c>
      <c r="I21" s="45">
        <v>25.8</v>
      </c>
      <c r="J21" s="45">
        <v>25.8</v>
      </c>
      <c r="K21" s="45">
        <v>25.8</v>
      </c>
      <c r="L21" s="45">
        <v>25.8</v>
      </c>
      <c r="M21" s="45">
        <v>20.7</v>
      </c>
      <c r="N21" s="45">
        <v>20.7</v>
      </c>
      <c r="O21" s="45" t="s">
        <v>279</v>
      </c>
      <c r="P21" s="45">
        <v>20.7</v>
      </c>
      <c r="Q21" s="45">
        <v>20.7</v>
      </c>
      <c r="R21" s="45">
        <v>20.7</v>
      </c>
      <c r="S21" s="45">
        <v>20.7</v>
      </c>
      <c r="T21" s="45" t="s">
        <v>279</v>
      </c>
      <c r="U21" s="45">
        <v>20.7</v>
      </c>
      <c r="V21" s="45">
        <v>20.7</v>
      </c>
      <c r="W21" s="45">
        <v>20.7</v>
      </c>
      <c r="X21" s="45">
        <v>20.7</v>
      </c>
      <c r="Y21" s="45">
        <v>20.7</v>
      </c>
      <c r="Z21" s="45">
        <v>20.7</v>
      </c>
      <c r="AA21" s="45">
        <v>20.7</v>
      </c>
      <c r="AB21" s="45">
        <v>20.7</v>
      </c>
      <c r="AC21" s="45">
        <v>20.7</v>
      </c>
      <c r="AD21" s="45">
        <v>33</v>
      </c>
      <c r="AE21" s="45">
        <v>33</v>
      </c>
      <c r="AF21" s="45">
        <v>33</v>
      </c>
      <c r="AG21" s="49">
        <v>24.2</v>
      </c>
      <c r="AH21" s="47">
        <f t="shared" si="2"/>
        <v>33</v>
      </c>
      <c r="AI21" s="48">
        <f t="shared" si="3"/>
        <v>20.7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28.3</v>
      </c>
      <c r="C22" s="45">
        <v>28.3</v>
      </c>
      <c r="D22" s="45">
        <v>28.3</v>
      </c>
      <c r="E22" s="45">
        <v>28.3</v>
      </c>
      <c r="F22" s="45">
        <v>28.3</v>
      </c>
      <c r="G22" s="45">
        <v>28.3</v>
      </c>
      <c r="H22" s="45">
        <v>28.3</v>
      </c>
      <c r="I22" s="45">
        <v>28.3</v>
      </c>
      <c r="J22" s="45">
        <v>28.3</v>
      </c>
      <c r="K22" s="45">
        <v>28.3</v>
      </c>
      <c r="L22" s="45">
        <v>28.3</v>
      </c>
      <c r="M22" s="45">
        <v>20.6</v>
      </c>
      <c r="N22" s="45">
        <v>20.6</v>
      </c>
      <c r="O22" s="45" t="s">
        <v>293</v>
      </c>
      <c r="P22" s="45">
        <v>20.6</v>
      </c>
      <c r="Q22" s="45">
        <v>20.6</v>
      </c>
      <c r="R22" s="45">
        <v>20.6</v>
      </c>
      <c r="S22" s="45">
        <v>20.6</v>
      </c>
      <c r="T22" s="45" t="s">
        <v>293</v>
      </c>
      <c r="U22" s="45">
        <v>20.6</v>
      </c>
      <c r="V22" s="45">
        <v>20.6</v>
      </c>
      <c r="W22" s="45">
        <v>20.6</v>
      </c>
      <c r="X22" s="45">
        <v>20.6</v>
      </c>
      <c r="Y22" s="45">
        <v>20.6</v>
      </c>
      <c r="Z22" s="45">
        <v>20.6</v>
      </c>
      <c r="AA22" s="45">
        <v>20.6</v>
      </c>
      <c r="AB22" s="45">
        <v>20.6</v>
      </c>
      <c r="AC22" s="45">
        <v>28</v>
      </c>
      <c r="AD22" s="45">
        <v>28.5</v>
      </c>
      <c r="AE22" s="45">
        <v>28.5</v>
      </c>
      <c r="AF22" s="45">
        <v>28.5</v>
      </c>
      <c r="AG22" s="49">
        <v>28</v>
      </c>
      <c r="AH22" s="47">
        <f t="shared" si="2"/>
        <v>28.5</v>
      </c>
      <c r="AI22" s="48">
        <f t="shared" si="3"/>
        <v>20.6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10.8</v>
      </c>
      <c r="C23" s="45">
        <v>10.8</v>
      </c>
      <c r="D23" s="45">
        <v>5.4</v>
      </c>
      <c r="E23" s="45">
        <v>5.4</v>
      </c>
      <c r="F23" s="45">
        <v>9</v>
      </c>
      <c r="G23" s="45">
        <v>9</v>
      </c>
      <c r="H23" s="45">
        <v>9</v>
      </c>
      <c r="I23" s="45">
        <v>9</v>
      </c>
      <c r="J23" s="45">
        <v>4.5</v>
      </c>
      <c r="K23" s="45">
        <v>4.5</v>
      </c>
      <c r="L23" s="45">
        <v>4.5</v>
      </c>
      <c r="M23" s="45">
        <v>4.5</v>
      </c>
      <c r="N23" s="45">
        <v>4.5</v>
      </c>
      <c r="O23" s="45" t="s">
        <v>296</v>
      </c>
      <c r="P23" s="45">
        <v>5.6</v>
      </c>
      <c r="Q23" s="45">
        <v>7</v>
      </c>
      <c r="R23" s="45">
        <v>7</v>
      </c>
      <c r="S23" s="45">
        <v>7</v>
      </c>
      <c r="T23" s="45" t="s">
        <v>296</v>
      </c>
      <c r="U23" s="45">
        <v>7</v>
      </c>
      <c r="V23" s="45">
        <v>7</v>
      </c>
      <c r="W23" s="45">
        <v>7</v>
      </c>
      <c r="X23" s="45">
        <v>13</v>
      </c>
      <c r="Y23" s="45">
        <v>13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14</v>
      </c>
      <c r="AG23" s="51">
        <v>30</v>
      </c>
      <c r="AH23" s="47">
        <f t="shared" si="2"/>
        <v>18</v>
      </c>
      <c r="AI23" s="48">
        <f t="shared" si="3"/>
        <v>4.5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26</v>
      </c>
      <c r="C24" s="45">
        <v>26</v>
      </c>
      <c r="D24" s="45">
        <v>26</v>
      </c>
      <c r="E24" s="45">
        <v>26</v>
      </c>
      <c r="F24" s="45">
        <v>26</v>
      </c>
      <c r="G24" s="45">
        <v>26</v>
      </c>
      <c r="H24" s="45">
        <v>26</v>
      </c>
      <c r="I24" s="45">
        <v>26</v>
      </c>
      <c r="J24" s="45">
        <v>26</v>
      </c>
      <c r="K24" s="45">
        <v>26</v>
      </c>
      <c r="L24" s="45">
        <v>26</v>
      </c>
      <c r="M24" s="45">
        <v>24.2</v>
      </c>
      <c r="N24" s="45">
        <v>24.2</v>
      </c>
      <c r="O24" s="45" t="s">
        <v>294</v>
      </c>
      <c r="P24" s="45">
        <v>24.2</v>
      </c>
      <c r="Q24" s="45">
        <v>24.2</v>
      </c>
      <c r="R24" s="45">
        <v>24.2</v>
      </c>
      <c r="S24" s="45">
        <v>24.2</v>
      </c>
      <c r="T24" s="45" t="s">
        <v>294</v>
      </c>
      <c r="U24" s="45">
        <v>24.2</v>
      </c>
      <c r="V24" s="45">
        <v>24.2</v>
      </c>
      <c r="W24" s="45">
        <v>24.2</v>
      </c>
      <c r="X24" s="45">
        <v>24.2</v>
      </c>
      <c r="Y24" s="45">
        <v>24.2</v>
      </c>
      <c r="Z24" s="45">
        <v>24.2</v>
      </c>
      <c r="AA24" s="45">
        <v>24.2</v>
      </c>
      <c r="AB24" s="45">
        <v>24.2</v>
      </c>
      <c r="AC24" s="45">
        <v>24.2</v>
      </c>
      <c r="AD24" s="45">
        <v>26.1</v>
      </c>
      <c r="AE24" s="45">
        <v>26.1</v>
      </c>
      <c r="AF24" s="45">
        <v>26.1</v>
      </c>
      <c r="AG24" s="49">
        <v>25</v>
      </c>
      <c r="AH24" s="47">
        <f t="shared" si="2"/>
        <v>26.1</v>
      </c>
      <c r="AI24" s="48">
        <f t="shared" si="3"/>
        <v>24.2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/>
      <c r="P25" s="45">
        <v>0</v>
      </c>
      <c r="Q25" s="45">
        <v>0</v>
      </c>
      <c r="R25" s="45">
        <v>0</v>
      </c>
      <c r="S25" s="45">
        <v>0</v>
      </c>
      <c r="T25" s="45"/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/>
      <c r="P26" s="45">
        <v>25</v>
      </c>
      <c r="Q26" s="45">
        <v>25</v>
      </c>
      <c r="R26" s="45">
        <v>25</v>
      </c>
      <c r="S26" s="45">
        <v>25</v>
      </c>
      <c r="T26" s="45"/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10</v>
      </c>
      <c r="C27" s="45">
        <v>10</v>
      </c>
      <c r="D27" s="45">
        <v>5</v>
      </c>
      <c r="E27" s="45">
        <v>8.5</v>
      </c>
      <c r="F27" s="45">
        <v>8.5</v>
      </c>
      <c r="G27" s="45">
        <v>8.5</v>
      </c>
      <c r="H27" s="45">
        <v>8.5</v>
      </c>
      <c r="I27" s="45">
        <v>8.5</v>
      </c>
      <c r="J27" s="45">
        <v>4</v>
      </c>
      <c r="K27" s="45">
        <v>4</v>
      </c>
      <c r="L27" s="45">
        <v>4</v>
      </c>
      <c r="M27" s="45">
        <v>4</v>
      </c>
      <c r="N27" s="45">
        <v>4</v>
      </c>
      <c r="O27" s="45"/>
      <c r="P27" s="45">
        <v>6</v>
      </c>
      <c r="Q27" s="45">
        <v>6</v>
      </c>
      <c r="R27" s="45">
        <v>6</v>
      </c>
      <c r="S27" s="45">
        <v>6</v>
      </c>
      <c r="T27" s="45"/>
      <c r="U27" s="45">
        <v>6</v>
      </c>
      <c r="V27" s="45">
        <v>6</v>
      </c>
      <c r="W27" s="45">
        <v>6</v>
      </c>
      <c r="X27" s="45">
        <v>12</v>
      </c>
      <c r="Y27" s="45">
        <v>12</v>
      </c>
      <c r="Z27" s="45">
        <v>12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12.5</v>
      </c>
      <c r="AG27" s="49">
        <v>25</v>
      </c>
      <c r="AH27" s="47">
        <f t="shared" si="2"/>
        <v>25</v>
      </c>
      <c r="AI27" s="48">
        <f t="shared" si="3"/>
        <v>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25</v>
      </c>
      <c r="C28" s="45">
        <v>25</v>
      </c>
      <c r="D28" s="45">
        <v>25</v>
      </c>
      <c r="E28" s="45">
        <v>25</v>
      </c>
      <c r="F28" s="45">
        <v>25</v>
      </c>
      <c r="G28" s="45">
        <v>25</v>
      </c>
      <c r="H28" s="45">
        <v>25</v>
      </c>
      <c r="I28" s="45">
        <v>25</v>
      </c>
      <c r="J28" s="45">
        <v>25</v>
      </c>
      <c r="K28" s="45">
        <v>25</v>
      </c>
      <c r="L28" s="45">
        <v>25</v>
      </c>
      <c r="M28" s="45">
        <v>24.9</v>
      </c>
      <c r="N28" s="45">
        <v>24.9</v>
      </c>
      <c r="O28" s="45"/>
      <c r="P28" s="45">
        <v>24.9</v>
      </c>
      <c r="Q28" s="45">
        <v>24.9</v>
      </c>
      <c r="R28" s="45">
        <v>24.9</v>
      </c>
      <c r="S28" s="45">
        <v>24.9</v>
      </c>
      <c r="T28" s="45"/>
      <c r="U28" s="45">
        <v>24.9</v>
      </c>
      <c r="V28" s="45">
        <v>24.9</v>
      </c>
      <c r="W28" s="45">
        <v>24.9</v>
      </c>
      <c r="X28" s="45">
        <v>24.9</v>
      </c>
      <c r="Y28" s="45">
        <v>24.9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24.9</v>
      </c>
      <c r="AF28" s="45">
        <v>24.9</v>
      </c>
      <c r="AG28" s="49">
        <v>23.5</v>
      </c>
      <c r="AH28" s="47">
        <f t="shared" si="2"/>
        <v>25</v>
      </c>
      <c r="AI28" s="48">
        <f t="shared" si="3"/>
        <v>24.9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/>
      <c r="P29" s="45">
        <v>22</v>
      </c>
      <c r="Q29" s="45">
        <v>22</v>
      </c>
      <c r="R29" s="45">
        <v>22</v>
      </c>
      <c r="S29" s="45">
        <v>22</v>
      </c>
      <c r="T29" s="45"/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0</v>
      </c>
      <c r="AE29" s="45">
        <v>0</v>
      </c>
      <c r="AF29" s="45">
        <v>0</v>
      </c>
      <c r="AG29" s="49">
        <v>22.2</v>
      </c>
      <c r="AH29" s="47">
        <f t="shared" si="2"/>
        <v>22</v>
      </c>
      <c r="AI29" s="48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/>
      <c r="P30" s="45">
        <v>0</v>
      </c>
      <c r="Q30" s="45">
        <v>0</v>
      </c>
      <c r="R30" s="45">
        <v>0</v>
      </c>
      <c r="S30" s="45">
        <v>0</v>
      </c>
      <c r="T30" s="45"/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/>
      <c r="P31" s="45">
        <v>22</v>
      </c>
      <c r="Q31" s="45">
        <v>22</v>
      </c>
      <c r="R31" s="45">
        <v>22</v>
      </c>
      <c r="S31" s="45">
        <v>22</v>
      </c>
      <c r="T31" s="45"/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/>
      <c r="P32" s="45">
        <v>22</v>
      </c>
      <c r="Q32" s="45">
        <v>22</v>
      </c>
      <c r="R32" s="45">
        <v>22</v>
      </c>
      <c r="S32" s="45">
        <v>22</v>
      </c>
      <c r="T32" s="45"/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/>
      <c r="P33" s="45">
        <v>5</v>
      </c>
      <c r="Q33" s="45">
        <v>5</v>
      </c>
      <c r="R33" s="45">
        <v>5</v>
      </c>
      <c r="S33" s="45">
        <v>5</v>
      </c>
      <c r="T33" s="45"/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10</v>
      </c>
      <c r="AF33" s="45">
        <v>7</v>
      </c>
      <c r="AG33" s="49">
        <v>20</v>
      </c>
      <c r="AH33" s="47">
        <f t="shared" si="2"/>
        <v>10</v>
      </c>
      <c r="AI33" s="48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4</v>
      </c>
      <c r="C34" s="45">
        <v>4</v>
      </c>
      <c r="D34" s="45">
        <v>4</v>
      </c>
      <c r="E34" s="45">
        <v>4</v>
      </c>
      <c r="F34" s="45">
        <v>3.5</v>
      </c>
      <c r="G34" s="45">
        <v>3.5</v>
      </c>
      <c r="H34" s="45">
        <v>3.5</v>
      </c>
      <c r="I34" s="45">
        <v>3.5</v>
      </c>
      <c r="J34" s="45">
        <v>3.5</v>
      </c>
      <c r="K34" s="45">
        <v>3.5</v>
      </c>
      <c r="L34" s="45">
        <v>3.5</v>
      </c>
      <c r="M34" s="45">
        <v>3.5</v>
      </c>
      <c r="N34" s="45">
        <v>3.5</v>
      </c>
      <c r="O34" s="45"/>
      <c r="P34" s="45">
        <v>3.5</v>
      </c>
      <c r="Q34" s="45">
        <v>3.5</v>
      </c>
      <c r="R34" s="45">
        <v>3.5</v>
      </c>
      <c r="S34" s="45">
        <v>3.5</v>
      </c>
      <c r="T34" s="45"/>
      <c r="U34" s="45">
        <v>9</v>
      </c>
      <c r="V34" s="45">
        <v>9</v>
      </c>
      <c r="W34" s="45">
        <v>9</v>
      </c>
      <c r="X34" s="45">
        <v>9</v>
      </c>
      <c r="Y34" s="45">
        <v>9</v>
      </c>
      <c r="Z34" s="45">
        <v>9</v>
      </c>
      <c r="AA34" s="45">
        <v>9</v>
      </c>
      <c r="AB34" s="45">
        <v>9</v>
      </c>
      <c r="AC34" s="45">
        <v>9</v>
      </c>
      <c r="AD34" s="45">
        <v>9</v>
      </c>
      <c r="AE34" s="45">
        <v>9</v>
      </c>
      <c r="AF34" s="45">
        <v>6</v>
      </c>
      <c r="AG34" s="49">
        <v>18</v>
      </c>
      <c r="AH34" s="47">
        <f t="shared" si="2"/>
        <v>9</v>
      </c>
      <c r="AI34" s="48">
        <f t="shared" si="3"/>
        <v>3.5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/>
      <c r="P35" s="45">
        <v>15</v>
      </c>
      <c r="Q35" s="45">
        <v>15</v>
      </c>
      <c r="R35" s="45">
        <v>15</v>
      </c>
      <c r="S35" s="45">
        <v>15</v>
      </c>
      <c r="T35" s="45"/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/>
      <c r="P36" s="45">
        <v>0</v>
      </c>
      <c r="Q36" s="45">
        <v>0</v>
      </c>
      <c r="R36" s="45">
        <v>0</v>
      </c>
      <c r="S36" s="45">
        <v>0</v>
      </c>
      <c r="T36" s="45"/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/>
      <c r="P37" s="45">
        <v>6.5</v>
      </c>
      <c r="Q37" s="45">
        <v>6.5</v>
      </c>
      <c r="R37" s="45">
        <v>6.5</v>
      </c>
      <c r="S37" s="45">
        <v>6.5</v>
      </c>
      <c r="T37" s="45"/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/>
      <c r="P38" s="45">
        <v>11</v>
      </c>
      <c r="Q38" s="45">
        <v>11</v>
      </c>
      <c r="R38" s="45">
        <v>11</v>
      </c>
      <c r="S38" s="45">
        <v>11</v>
      </c>
      <c r="T38" s="45"/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4.8</v>
      </c>
      <c r="C39" s="45">
        <v>4.8</v>
      </c>
      <c r="D39" s="45">
        <v>2.4</v>
      </c>
      <c r="E39" s="45">
        <v>4</v>
      </c>
      <c r="F39" s="45">
        <v>4</v>
      </c>
      <c r="G39" s="45">
        <v>4</v>
      </c>
      <c r="H39" s="45">
        <v>4</v>
      </c>
      <c r="I39" s="45">
        <v>4</v>
      </c>
      <c r="J39" s="45">
        <v>2</v>
      </c>
      <c r="K39" s="45">
        <v>2</v>
      </c>
      <c r="L39" s="45">
        <v>2</v>
      </c>
      <c r="M39" s="45">
        <v>2</v>
      </c>
      <c r="N39" s="45">
        <v>2</v>
      </c>
      <c r="O39" s="45"/>
      <c r="P39" s="45">
        <v>4</v>
      </c>
      <c r="Q39" s="45">
        <v>4</v>
      </c>
      <c r="R39" s="45">
        <v>4</v>
      </c>
      <c r="S39" s="45">
        <v>4</v>
      </c>
      <c r="T39" s="45"/>
      <c r="U39" s="45">
        <v>4</v>
      </c>
      <c r="V39" s="45">
        <v>4</v>
      </c>
      <c r="W39" s="45">
        <v>4</v>
      </c>
      <c r="X39" s="45">
        <v>6</v>
      </c>
      <c r="Y39" s="45">
        <v>6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6</v>
      </c>
      <c r="AG39" s="49">
        <v>12</v>
      </c>
      <c r="AH39" s="47">
        <f t="shared" si="2"/>
        <v>12</v>
      </c>
      <c r="AI39" s="48">
        <f t="shared" si="3"/>
        <v>2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/>
      <c r="P40" s="45">
        <v>12</v>
      </c>
      <c r="Q40" s="45">
        <v>12</v>
      </c>
      <c r="R40" s="45">
        <v>12</v>
      </c>
      <c r="S40" s="45">
        <v>12</v>
      </c>
      <c r="T40" s="45"/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12</v>
      </c>
      <c r="C41" s="45">
        <v>12</v>
      </c>
      <c r="D41" s="45">
        <v>12</v>
      </c>
      <c r="E41" s="45">
        <v>12</v>
      </c>
      <c r="F41" s="45">
        <v>12</v>
      </c>
      <c r="G41" s="45">
        <v>12</v>
      </c>
      <c r="H41" s="45">
        <v>12</v>
      </c>
      <c r="I41" s="45">
        <v>12</v>
      </c>
      <c r="J41" s="45">
        <v>12</v>
      </c>
      <c r="K41" s="45">
        <v>12</v>
      </c>
      <c r="L41" s="45">
        <v>12</v>
      </c>
      <c r="M41" s="45">
        <v>12</v>
      </c>
      <c r="N41" s="45">
        <v>12</v>
      </c>
      <c r="O41" s="45"/>
      <c r="P41" s="45">
        <v>12</v>
      </c>
      <c r="Q41" s="45">
        <v>12</v>
      </c>
      <c r="R41" s="45">
        <v>12</v>
      </c>
      <c r="S41" s="45">
        <v>12</v>
      </c>
      <c r="T41" s="45"/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12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/>
      <c r="P42" s="45">
        <v>5</v>
      </c>
      <c r="Q42" s="45">
        <v>5</v>
      </c>
      <c r="R42" s="45">
        <v>5</v>
      </c>
      <c r="S42" s="45">
        <v>5</v>
      </c>
      <c r="T42" s="45"/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11.9</v>
      </c>
      <c r="C43" s="45">
        <v>11.9</v>
      </c>
      <c r="D43" s="45">
        <v>11.9</v>
      </c>
      <c r="E43" s="45">
        <v>11.9</v>
      </c>
      <c r="F43" s="45">
        <v>11.9</v>
      </c>
      <c r="G43" s="45">
        <v>11.9</v>
      </c>
      <c r="H43" s="45">
        <v>11.9</v>
      </c>
      <c r="I43" s="45">
        <v>11.9</v>
      </c>
      <c r="J43" s="45">
        <v>11.9</v>
      </c>
      <c r="K43" s="45">
        <v>11.9</v>
      </c>
      <c r="L43" s="45">
        <v>11.9</v>
      </c>
      <c r="M43" s="45">
        <v>11.9</v>
      </c>
      <c r="N43" s="45">
        <v>11.9</v>
      </c>
      <c r="O43" s="45"/>
      <c r="P43" s="45">
        <v>11.9</v>
      </c>
      <c r="Q43" s="45">
        <v>11.9</v>
      </c>
      <c r="R43" s="45">
        <v>11.9</v>
      </c>
      <c r="S43" s="45">
        <v>11.9</v>
      </c>
      <c r="T43" s="45"/>
      <c r="U43" s="45">
        <v>11.9</v>
      </c>
      <c r="V43" s="45">
        <v>11.9</v>
      </c>
      <c r="W43" s="45">
        <v>11.9</v>
      </c>
      <c r="X43" s="45">
        <v>11.9</v>
      </c>
      <c r="Y43" s="45">
        <v>11.9</v>
      </c>
      <c r="Z43" s="45">
        <v>11.9</v>
      </c>
      <c r="AA43" s="45">
        <v>11.9</v>
      </c>
      <c r="AB43" s="45">
        <v>11.9</v>
      </c>
      <c r="AC43" s="45">
        <v>11.9</v>
      </c>
      <c r="AD43" s="45">
        <v>11.9</v>
      </c>
      <c r="AE43" s="45">
        <v>11.9</v>
      </c>
      <c r="AF43" s="45">
        <v>11.9</v>
      </c>
      <c r="AG43" s="51">
        <v>11.88</v>
      </c>
      <c r="AH43" s="47">
        <f t="shared" si="2"/>
        <v>11.9</v>
      </c>
      <c r="AI43" s="48">
        <f t="shared" si="3"/>
        <v>11.9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/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/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/>
      <c r="P45" s="45">
        <v>10</v>
      </c>
      <c r="Q45" s="45">
        <v>10</v>
      </c>
      <c r="R45" s="45">
        <v>10</v>
      </c>
      <c r="S45" s="45">
        <v>10</v>
      </c>
      <c r="T45" s="45"/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10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/>
      <c r="P46" s="45">
        <v>0</v>
      </c>
      <c r="Q46" s="45">
        <v>0</v>
      </c>
      <c r="R46" s="45">
        <v>0</v>
      </c>
      <c r="S46" s="45">
        <v>0</v>
      </c>
      <c r="T46" s="45"/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/>
      <c r="P47" s="45">
        <v>0</v>
      </c>
      <c r="Q47" s="45">
        <v>0</v>
      </c>
      <c r="R47" s="45">
        <v>0</v>
      </c>
      <c r="S47" s="45">
        <v>0</v>
      </c>
      <c r="T47" s="45"/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358</v>
      </c>
      <c r="C48" s="56">
        <v>358</v>
      </c>
      <c r="D48" s="56">
        <v>358</v>
      </c>
      <c r="E48" s="56">
        <v>358</v>
      </c>
      <c r="F48" s="56">
        <v>358</v>
      </c>
      <c r="G48" s="56">
        <v>358</v>
      </c>
      <c r="H48" s="56">
        <v>358</v>
      </c>
      <c r="I48" s="56">
        <v>358</v>
      </c>
      <c r="J48" s="56">
        <v>358</v>
      </c>
      <c r="K48" s="56">
        <v>358</v>
      </c>
      <c r="L48" s="56">
        <v>358</v>
      </c>
      <c r="M48" s="56">
        <v>358</v>
      </c>
      <c r="N48" s="56">
        <v>358</v>
      </c>
      <c r="O48" s="56"/>
      <c r="P48" s="56">
        <v>358</v>
      </c>
      <c r="Q48" s="56">
        <v>358</v>
      </c>
      <c r="R48" s="56">
        <v>358</v>
      </c>
      <c r="S48" s="56">
        <v>358</v>
      </c>
      <c r="T48" s="56"/>
      <c r="U48" s="56">
        <v>358</v>
      </c>
      <c r="V48" s="56">
        <v>358</v>
      </c>
      <c r="W48" s="56">
        <v>358</v>
      </c>
      <c r="X48" s="56">
        <v>358</v>
      </c>
      <c r="Y48" s="56">
        <v>358</v>
      </c>
      <c r="Z48" s="56">
        <v>358</v>
      </c>
      <c r="AA48" s="56">
        <v>358</v>
      </c>
      <c r="AB48" s="56">
        <v>358</v>
      </c>
      <c r="AC48" s="56">
        <v>358</v>
      </c>
      <c r="AD48" s="56">
        <v>358</v>
      </c>
      <c r="AE48" s="56">
        <v>358</v>
      </c>
      <c r="AF48" s="56">
        <v>358</v>
      </c>
      <c r="AG48" s="54">
        <v>85</v>
      </c>
      <c r="AH48" s="47">
        <f t="shared" si="2"/>
        <v>358</v>
      </c>
      <c r="AI48" s="48">
        <f t="shared" si="3"/>
        <v>358</v>
      </c>
      <c r="AK48" s="50"/>
    </row>
    <row r="49" spans="1:41" ht="15.75" thickBot="1" x14ac:dyDescent="0.3">
      <c r="A49" s="57" t="s">
        <v>57</v>
      </c>
      <c r="B49" s="56">
        <v>107.1</v>
      </c>
      <c r="C49" s="56">
        <v>108.4</v>
      </c>
      <c r="D49" s="56">
        <v>108.4</v>
      </c>
      <c r="E49" s="56">
        <f>24.9+84.1</f>
        <v>109</v>
      </c>
      <c r="F49" s="56">
        <f>24.9+84.1</f>
        <v>109</v>
      </c>
      <c r="G49" s="56">
        <f>24.9+84.1</f>
        <v>109</v>
      </c>
      <c r="H49" s="56">
        <f>24.9+84.1</f>
        <v>109</v>
      </c>
      <c r="I49" s="56">
        <f>24.9+84.1</f>
        <v>109</v>
      </c>
      <c r="J49" s="56">
        <f>24.9+84.2</f>
        <v>109.1</v>
      </c>
      <c r="K49" s="56">
        <f>24.9+84.2</f>
        <v>109.1</v>
      </c>
      <c r="L49" s="56">
        <f>24.9+84.2</f>
        <v>109.1</v>
      </c>
      <c r="M49" s="58">
        <f>83.9+24.7</f>
        <v>108.60000000000001</v>
      </c>
      <c r="N49" s="58">
        <f>83.4+24.4</f>
        <v>107.80000000000001</v>
      </c>
      <c r="O49" s="58"/>
      <c r="P49" s="58">
        <f>83.4+24.4</f>
        <v>107.80000000000001</v>
      </c>
      <c r="Q49" s="58">
        <v>104.1</v>
      </c>
      <c r="R49" s="58">
        <v>104.1</v>
      </c>
      <c r="S49" s="58">
        <v>104.1</v>
      </c>
      <c r="T49" s="58"/>
      <c r="U49" s="58">
        <v>104.1</v>
      </c>
      <c r="V49" s="58">
        <v>104.1</v>
      </c>
      <c r="W49" s="58">
        <v>104.1</v>
      </c>
      <c r="X49" s="58">
        <v>104.1</v>
      </c>
      <c r="Y49" s="58">
        <v>104.1</v>
      </c>
      <c r="Z49" s="58">
        <v>104.1</v>
      </c>
      <c r="AA49" s="58">
        <v>104.1</v>
      </c>
      <c r="AB49" s="58">
        <v>104.1</v>
      </c>
      <c r="AC49" s="58">
        <v>104.1</v>
      </c>
      <c r="AD49" s="58">
        <v>104.1</v>
      </c>
      <c r="AE49" s="58">
        <v>104.1</v>
      </c>
      <c r="AF49" s="58">
        <v>104.1</v>
      </c>
      <c r="AG49" s="54">
        <v>240</v>
      </c>
      <c r="AH49" s="47">
        <f t="shared" si="2"/>
        <v>109.1</v>
      </c>
      <c r="AI49" s="48">
        <f t="shared" si="3"/>
        <v>104.1</v>
      </c>
      <c r="AK49" s="50"/>
    </row>
    <row r="50" spans="1:41" ht="15.75" thickBot="1" x14ac:dyDescent="0.3">
      <c r="A50" s="59" t="s">
        <v>58</v>
      </c>
      <c r="B50" s="60">
        <f t="shared" ref="B50" si="4">SUM(B11:B48)</f>
        <v>1051.2</v>
      </c>
      <c r="C50" s="60">
        <f t="shared" ref="C50:AF50" si="5">SUM(C11:C48)</f>
        <v>1057.2</v>
      </c>
      <c r="D50" s="60">
        <f t="shared" ref="D50" si="6">SUM(D11:D48)</f>
        <v>1067.5999999999999</v>
      </c>
      <c r="E50" s="60">
        <f t="shared" si="5"/>
        <v>1083.7</v>
      </c>
      <c r="F50" s="60">
        <f t="shared" si="5"/>
        <v>1091.9000000000001</v>
      </c>
      <c r="G50" s="60">
        <f t="shared" si="5"/>
        <v>1081.9000000000001</v>
      </c>
      <c r="H50" s="60">
        <f t="shared" si="5"/>
        <v>1091.9000000000001</v>
      </c>
      <c r="I50" s="60">
        <f t="shared" si="5"/>
        <v>1091.9000000000001</v>
      </c>
      <c r="J50" s="60">
        <f t="shared" si="5"/>
        <v>1065.2</v>
      </c>
      <c r="K50" s="60">
        <f t="shared" si="5"/>
        <v>1065.2</v>
      </c>
      <c r="L50" s="60">
        <f t="shared" si="5"/>
        <v>1065.2</v>
      </c>
      <c r="M50" s="60">
        <f t="shared" si="5"/>
        <v>1035.8</v>
      </c>
      <c r="N50" s="60">
        <f t="shared" si="5"/>
        <v>1035.8</v>
      </c>
      <c r="O50" s="60">
        <f t="shared" si="5"/>
        <v>0</v>
      </c>
      <c r="P50" s="60">
        <f t="shared" si="5"/>
        <v>1055.0999999999999</v>
      </c>
      <c r="Q50" s="60">
        <f t="shared" si="5"/>
        <v>1060.5999999999999</v>
      </c>
      <c r="R50" s="60">
        <f t="shared" ref="R50" si="7">SUM(R11:R48)</f>
        <v>1060.5999999999999</v>
      </c>
      <c r="S50" s="60">
        <f t="shared" si="5"/>
        <v>1060.5999999999999</v>
      </c>
      <c r="T50" s="60">
        <f t="shared" si="5"/>
        <v>0</v>
      </c>
      <c r="U50" s="60">
        <f t="shared" si="5"/>
        <v>1018.8000000000001</v>
      </c>
      <c r="V50" s="60">
        <f t="shared" si="5"/>
        <v>1018.8000000000001</v>
      </c>
      <c r="W50" s="60">
        <f t="shared" si="5"/>
        <v>1018.8000000000001</v>
      </c>
      <c r="X50" s="60">
        <f t="shared" si="5"/>
        <v>1052.5</v>
      </c>
      <c r="Y50" s="60">
        <f t="shared" si="5"/>
        <v>1052.5</v>
      </c>
      <c r="Z50" s="60">
        <f t="shared" si="5"/>
        <v>1109</v>
      </c>
      <c r="AA50" s="60">
        <f t="shared" si="5"/>
        <v>1152</v>
      </c>
      <c r="AB50" s="60">
        <f t="shared" si="5"/>
        <v>1152</v>
      </c>
      <c r="AC50" s="60">
        <f t="shared" si="5"/>
        <v>1167.4000000000001</v>
      </c>
      <c r="AD50" s="60">
        <f t="shared" si="5"/>
        <v>1161.3000000000002</v>
      </c>
      <c r="AE50" s="60">
        <f t="shared" si="5"/>
        <v>1125.3</v>
      </c>
      <c r="AF50" s="60">
        <f t="shared" si="5"/>
        <v>1072.9000000000001</v>
      </c>
      <c r="AG50" s="61">
        <f>SUM(AG13:AG48)</f>
        <v>922.14</v>
      </c>
      <c r="AH50" s="47">
        <f t="shared" si="2"/>
        <v>1167.4000000000001</v>
      </c>
      <c r="AI50" s="48">
        <f t="shared" si="3"/>
        <v>0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175"/>
      <c r="P51" s="175">
        <v>456</v>
      </c>
      <c r="Q51" s="175">
        <v>456</v>
      </c>
      <c r="R51" s="175">
        <v>456</v>
      </c>
      <c r="S51" s="175">
        <v>456</v>
      </c>
      <c r="T51" s="45"/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60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/>
      <c r="P52" s="64">
        <v>55</v>
      </c>
      <c r="Q52" s="64">
        <v>55</v>
      </c>
      <c r="R52" s="64">
        <v>55</v>
      </c>
      <c r="S52" s="64">
        <v>55</v>
      </c>
      <c r="T52" s="64"/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60</v>
      </c>
      <c r="AC52" s="64">
        <v>60</v>
      </c>
      <c r="AD52" s="64">
        <v>60</v>
      </c>
      <c r="AE52" s="64">
        <v>60</v>
      </c>
      <c r="AF52" s="64">
        <v>60</v>
      </c>
      <c r="AG52" s="54">
        <v>60</v>
      </c>
      <c r="AH52" s="47">
        <f t="shared" si="2"/>
        <v>60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22.4</v>
      </c>
      <c r="N53" s="66">
        <v>22.4</v>
      </c>
      <c r="O53" s="66"/>
      <c r="P53" s="66">
        <v>22.4</v>
      </c>
      <c r="Q53" s="66">
        <v>22.4</v>
      </c>
      <c r="R53" s="66">
        <v>22.4</v>
      </c>
      <c r="S53" s="66">
        <v>22.4</v>
      </c>
      <c r="T53" s="66"/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22.5</v>
      </c>
      <c r="AI53" s="48">
        <f t="shared" si="3"/>
        <v>22.4</v>
      </c>
      <c r="AK53" s="50"/>
    </row>
    <row r="54" spans="1:41" ht="15.75" thickBot="1" x14ac:dyDescent="0.3">
      <c r="A54" s="68" t="s">
        <v>62</v>
      </c>
      <c r="B54" s="60">
        <f t="shared" ref="B54" si="8">SUM(B51:B53)</f>
        <v>538.5</v>
      </c>
      <c r="C54" s="60">
        <f t="shared" ref="C54:AG54" si="9">SUM(C51:C53)</f>
        <v>533.5</v>
      </c>
      <c r="D54" s="60">
        <f t="shared" ref="D54" si="10">SUM(D51:D53)</f>
        <v>533.5</v>
      </c>
      <c r="E54" s="60">
        <f t="shared" si="9"/>
        <v>533.4</v>
      </c>
      <c r="F54" s="60">
        <f t="shared" si="9"/>
        <v>533.4</v>
      </c>
      <c r="G54" s="60">
        <f t="shared" si="9"/>
        <v>533.4</v>
      </c>
      <c r="H54" s="60">
        <f t="shared" si="9"/>
        <v>533.4</v>
      </c>
      <c r="I54" s="60">
        <f t="shared" si="9"/>
        <v>533.4</v>
      </c>
      <c r="J54" s="60">
        <f t="shared" si="9"/>
        <v>533.4</v>
      </c>
      <c r="K54" s="60">
        <f t="shared" si="9"/>
        <v>533.4</v>
      </c>
      <c r="L54" s="60">
        <f t="shared" si="9"/>
        <v>533.4</v>
      </c>
      <c r="M54" s="60">
        <f t="shared" si="9"/>
        <v>533.4</v>
      </c>
      <c r="N54" s="60">
        <f t="shared" si="9"/>
        <v>533.4</v>
      </c>
      <c r="O54" s="60">
        <f t="shared" si="9"/>
        <v>0</v>
      </c>
      <c r="P54" s="60">
        <f t="shared" si="9"/>
        <v>533.4</v>
      </c>
      <c r="Q54" s="60">
        <f t="shared" si="9"/>
        <v>533.4</v>
      </c>
      <c r="R54" s="60">
        <f t="shared" ref="R54" si="11">SUM(R51:R53)</f>
        <v>533.4</v>
      </c>
      <c r="S54" s="60">
        <f t="shared" si="9"/>
        <v>533.4</v>
      </c>
      <c r="T54" s="60">
        <f t="shared" si="9"/>
        <v>0</v>
      </c>
      <c r="U54" s="60">
        <f t="shared" si="9"/>
        <v>533.4</v>
      </c>
      <c r="V54" s="60">
        <f t="shared" si="9"/>
        <v>533.4</v>
      </c>
      <c r="W54" s="60">
        <f t="shared" si="9"/>
        <v>533.4</v>
      </c>
      <c r="X54" s="60">
        <f t="shared" si="9"/>
        <v>533.4</v>
      </c>
      <c r="Y54" s="60">
        <f t="shared" si="9"/>
        <v>533.4</v>
      </c>
      <c r="Z54" s="60">
        <f t="shared" si="9"/>
        <v>533.4</v>
      </c>
      <c r="AA54" s="60">
        <f t="shared" si="9"/>
        <v>533.4</v>
      </c>
      <c r="AB54" s="60">
        <f t="shared" si="9"/>
        <v>538.4</v>
      </c>
      <c r="AC54" s="60">
        <f t="shared" si="9"/>
        <v>538.4</v>
      </c>
      <c r="AD54" s="60">
        <f t="shared" si="9"/>
        <v>538.4</v>
      </c>
      <c r="AE54" s="60">
        <f t="shared" si="9"/>
        <v>538.4</v>
      </c>
      <c r="AF54" s="60">
        <f t="shared" si="9"/>
        <v>538.4</v>
      </c>
      <c r="AG54" s="61">
        <f t="shared" si="9"/>
        <v>538.1</v>
      </c>
      <c r="AH54" s="47">
        <f t="shared" si="2"/>
        <v>538.5</v>
      </c>
      <c r="AI54" s="48">
        <f t="shared" si="3"/>
        <v>0</v>
      </c>
      <c r="AK54" s="50"/>
    </row>
    <row r="55" spans="1:41" x14ac:dyDescent="0.25">
      <c r="A55" s="44" t="s">
        <v>63</v>
      </c>
      <c r="B55" s="45">
        <v>134.9</v>
      </c>
      <c r="C55" s="45">
        <v>95.6</v>
      </c>
      <c r="D55" s="45">
        <v>106.2</v>
      </c>
      <c r="E55" s="45">
        <v>133.9</v>
      </c>
      <c r="F55" s="45">
        <v>134.30000000000001</v>
      </c>
      <c r="G55" s="45">
        <v>135.30000000000001</v>
      </c>
      <c r="H55" s="45">
        <v>135.19999999999999</v>
      </c>
      <c r="I55" s="45">
        <v>135.19999999999999</v>
      </c>
      <c r="J55" s="45">
        <v>135</v>
      </c>
      <c r="K55" s="45">
        <v>134.69999999999999</v>
      </c>
      <c r="L55" s="45">
        <v>134.69999999999999</v>
      </c>
      <c r="M55" s="45">
        <v>132.19999999999999</v>
      </c>
      <c r="N55" s="45">
        <v>122.4</v>
      </c>
      <c r="O55" s="45"/>
      <c r="P55" s="45">
        <v>91.3</v>
      </c>
      <c r="Q55" s="45">
        <v>135</v>
      </c>
      <c r="R55" s="45">
        <v>135</v>
      </c>
      <c r="S55" s="45">
        <v>135</v>
      </c>
      <c r="T55" s="45"/>
      <c r="U55" s="45">
        <v>135</v>
      </c>
      <c r="V55" s="45">
        <v>135.4</v>
      </c>
      <c r="W55" s="45">
        <v>135.4</v>
      </c>
      <c r="X55" s="45">
        <v>135.4</v>
      </c>
      <c r="Y55" s="45">
        <v>135.4</v>
      </c>
      <c r="Z55" s="45">
        <v>135.4</v>
      </c>
      <c r="AA55" s="45">
        <v>135.4</v>
      </c>
      <c r="AB55" s="45">
        <v>136.5</v>
      </c>
      <c r="AC55" s="45">
        <v>136.5</v>
      </c>
      <c r="AD55" s="45">
        <v>136.5</v>
      </c>
      <c r="AE55" s="45">
        <v>136.5</v>
      </c>
      <c r="AF55" s="45">
        <v>136.5</v>
      </c>
      <c r="AG55" s="51">
        <v>144</v>
      </c>
      <c r="AH55" s="47">
        <f t="shared" si="2"/>
        <v>136.5</v>
      </c>
      <c r="AI55" s="48">
        <f t="shared" si="3"/>
        <v>91.3</v>
      </c>
      <c r="AK55" s="50"/>
    </row>
    <row r="56" spans="1:41" x14ac:dyDescent="0.25">
      <c r="A56" s="53" t="s">
        <v>64</v>
      </c>
      <c r="B56" s="45">
        <v>71.8</v>
      </c>
      <c r="C56" s="45">
        <v>71.8</v>
      </c>
      <c r="D56" s="45">
        <v>71.8</v>
      </c>
      <c r="E56" s="64">
        <v>69.3</v>
      </c>
      <c r="F56" s="64">
        <v>69.900000000000006</v>
      </c>
      <c r="G56" s="64">
        <v>70.400000000000006</v>
      </c>
      <c r="H56" s="64">
        <v>71.099999999999994</v>
      </c>
      <c r="I56" s="64">
        <v>71.099999999999994</v>
      </c>
      <c r="J56" s="64">
        <v>70.599999999999994</v>
      </c>
      <c r="K56" s="64">
        <v>68.599999999999994</v>
      </c>
      <c r="L56" s="64">
        <v>58.7</v>
      </c>
      <c r="M56" s="64">
        <v>69.8</v>
      </c>
      <c r="N56" s="64">
        <v>58.1</v>
      </c>
      <c r="O56" s="64"/>
      <c r="P56" s="64">
        <v>55.5</v>
      </c>
      <c r="Q56" s="64">
        <v>65</v>
      </c>
      <c r="R56" s="64">
        <v>59.4</v>
      </c>
      <c r="S56" s="64">
        <v>59.4</v>
      </c>
      <c r="T56" s="45"/>
      <c r="U56" s="45">
        <v>59.4</v>
      </c>
      <c r="V56" s="45">
        <v>71.599999999999994</v>
      </c>
      <c r="W56" s="45">
        <v>71.599999999999994</v>
      </c>
      <c r="X56" s="45">
        <v>71.599999999999994</v>
      </c>
      <c r="Y56" s="45">
        <v>71.599999999999994</v>
      </c>
      <c r="Z56" s="45">
        <v>71.599999999999994</v>
      </c>
      <c r="AA56" s="45">
        <v>71.599999999999994</v>
      </c>
      <c r="AB56" s="45">
        <v>70.3</v>
      </c>
      <c r="AC56" s="45">
        <v>70.3</v>
      </c>
      <c r="AD56" s="45">
        <v>70.3</v>
      </c>
      <c r="AE56" s="45">
        <v>70.3</v>
      </c>
      <c r="AF56" s="45">
        <v>70.3</v>
      </c>
      <c r="AG56" s="54">
        <v>70</v>
      </c>
      <c r="AH56" s="47">
        <f t="shared" si="2"/>
        <v>71.8</v>
      </c>
      <c r="AI56" s="48">
        <f t="shared" si="3"/>
        <v>55.5</v>
      </c>
      <c r="AK56" s="50"/>
    </row>
    <row r="57" spans="1:41" x14ac:dyDescent="0.25">
      <c r="A57" s="53" t="s">
        <v>65</v>
      </c>
      <c r="B57" s="64">
        <v>64.099999999999994</v>
      </c>
      <c r="C57" s="64">
        <v>64.099999999999994</v>
      </c>
      <c r="D57" s="64">
        <v>60.2</v>
      </c>
      <c r="E57" s="64">
        <v>63.4</v>
      </c>
      <c r="F57" s="64">
        <v>54.4</v>
      </c>
      <c r="G57" s="64">
        <v>63.9</v>
      </c>
      <c r="H57" s="64">
        <v>63.9</v>
      </c>
      <c r="I57" s="64">
        <v>63.9</v>
      </c>
      <c r="J57" s="64">
        <v>64.400000000000006</v>
      </c>
      <c r="K57" s="64">
        <v>64</v>
      </c>
      <c r="L57" s="64">
        <v>63.3</v>
      </c>
      <c r="M57" s="64">
        <v>49.9</v>
      </c>
      <c r="N57" s="64">
        <v>51.6</v>
      </c>
      <c r="O57" s="64"/>
      <c r="P57" s="64">
        <v>51</v>
      </c>
      <c r="Q57" s="64">
        <v>53.9</v>
      </c>
      <c r="R57" s="64">
        <v>64.2</v>
      </c>
      <c r="S57" s="64">
        <v>64.2</v>
      </c>
      <c r="T57" s="45"/>
      <c r="U57" s="45">
        <v>64.2</v>
      </c>
      <c r="V57" s="45">
        <v>64.2</v>
      </c>
      <c r="W57" s="45">
        <v>64.2</v>
      </c>
      <c r="X57" s="45">
        <v>64.2</v>
      </c>
      <c r="Y57" s="45">
        <v>64.2</v>
      </c>
      <c r="Z57" s="45">
        <v>64.2</v>
      </c>
      <c r="AA57" s="45">
        <v>64.2</v>
      </c>
      <c r="AB57" s="45">
        <v>64.3</v>
      </c>
      <c r="AC57" s="45">
        <v>64.3</v>
      </c>
      <c r="AD57" s="45">
        <v>64.3</v>
      </c>
      <c r="AE57" s="45">
        <v>64.3</v>
      </c>
      <c r="AF57" s="45">
        <v>64.3</v>
      </c>
      <c r="AG57" s="54">
        <v>69</v>
      </c>
      <c r="AH57" s="47">
        <f t="shared" si="2"/>
        <v>64.400000000000006</v>
      </c>
      <c r="AI57" s="48">
        <f t="shared" si="3"/>
        <v>49.9</v>
      </c>
      <c r="AK57" s="50"/>
    </row>
    <row r="58" spans="1:41" x14ac:dyDescent="0.25">
      <c r="A58" s="53" t="s">
        <v>66</v>
      </c>
      <c r="B58" s="64">
        <v>31</v>
      </c>
      <c r="C58" s="64">
        <v>31</v>
      </c>
      <c r="D58" s="64">
        <v>31</v>
      </c>
      <c r="E58" s="56">
        <v>30.7</v>
      </c>
      <c r="F58" s="56">
        <v>30</v>
      </c>
      <c r="G58" s="56">
        <v>30</v>
      </c>
      <c r="H58" s="56">
        <v>30.7</v>
      </c>
      <c r="I58" s="56">
        <v>30.7</v>
      </c>
      <c r="J58" s="56">
        <v>30.7</v>
      </c>
      <c r="K58" s="56">
        <v>30.5</v>
      </c>
      <c r="L58" s="56">
        <v>30.2</v>
      </c>
      <c r="M58" s="64">
        <v>30.2</v>
      </c>
      <c r="N58" s="64">
        <v>30.2</v>
      </c>
      <c r="O58" s="64"/>
      <c r="P58" s="64">
        <v>28.2</v>
      </c>
      <c r="Q58" s="64">
        <v>30.2</v>
      </c>
      <c r="R58" s="64">
        <v>30.2</v>
      </c>
      <c r="S58" s="64">
        <v>30.2</v>
      </c>
      <c r="T58" s="45"/>
      <c r="U58" s="45">
        <v>30.2</v>
      </c>
      <c r="V58" s="45">
        <v>30.2</v>
      </c>
      <c r="W58" s="45">
        <v>30.2</v>
      </c>
      <c r="X58" s="45">
        <v>30.2</v>
      </c>
      <c r="Y58" s="45">
        <v>30.2</v>
      </c>
      <c r="Z58" s="45">
        <v>30.2</v>
      </c>
      <c r="AA58" s="45">
        <v>30.2</v>
      </c>
      <c r="AB58" s="45">
        <v>30.7</v>
      </c>
      <c r="AC58" s="45">
        <v>30.7</v>
      </c>
      <c r="AD58" s="45">
        <v>30.7</v>
      </c>
      <c r="AE58" s="45">
        <v>30.7</v>
      </c>
      <c r="AF58" s="45">
        <v>30.7</v>
      </c>
      <c r="AG58" s="54">
        <v>60</v>
      </c>
      <c r="AH58" s="47">
        <f t="shared" si="2"/>
        <v>31</v>
      </c>
      <c r="AI58" s="48">
        <f t="shared" si="3"/>
        <v>28.2</v>
      </c>
      <c r="AK58" s="50"/>
    </row>
    <row r="59" spans="1:41" x14ac:dyDescent="0.25">
      <c r="A59" s="53" t="s">
        <v>67</v>
      </c>
      <c r="B59" s="64">
        <v>30</v>
      </c>
      <c r="C59" s="64">
        <v>30</v>
      </c>
      <c r="D59" s="64">
        <v>0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6">
        <v>0</v>
      </c>
      <c r="K59" s="56">
        <v>0</v>
      </c>
      <c r="L59" s="56">
        <v>30</v>
      </c>
      <c r="M59" s="64">
        <v>30</v>
      </c>
      <c r="N59" s="64">
        <v>30</v>
      </c>
      <c r="O59" s="64"/>
      <c r="P59" s="64">
        <v>28</v>
      </c>
      <c r="Q59" s="64">
        <v>28</v>
      </c>
      <c r="R59" s="64">
        <v>28</v>
      </c>
      <c r="S59" s="64">
        <v>28</v>
      </c>
      <c r="T59" s="45"/>
      <c r="U59" s="45">
        <v>28</v>
      </c>
      <c r="V59" s="45">
        <v>28</v>
      </c>
      <c r="W59" s="45">
        <v>28</v>
      </c>
      <c r="X59" s="45">
        <v>28</v>
      </c>
      <c r="Y59" s="45">
        <v>28</v>
      </c>
      <c r="Z59" s="45">
        <v>28</v>
      </c>
      <c r="AA59" s="45">
        <v>28</v>
      </c>
      <c r="AB59" s="45">
        <v>28</v>
      </c>
      <c r="AC59" s="45">
        <v>28</v>
      </c>
      <c r="AD59" s="45">
        <v>28</v>
      </c>
      <c r="AE59" s="45">
        <v>28</v>
      </c>
      <c r="AF59" s="45">
        <v>28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4</v>
      </c>
      <c r="M60" s="64">
        <v>6</v>
      </c>
      <c r="N60" s="64">
        <v>6</v>
      </c>
      <c r="O60" s="64"/>
      <c r="P60" s="64">
        <v>10.6</v>
      </c>
      <c r="Q60" s="64">
        <v>10.6</v>
      </c>
      <c r="R60" s="64">
        <v>10.1</v>
      </c>
      <c r="S60" s="64">
        <v>10.1</v>
      </c>
      <c r="T60" s="45"/>
      <c r="U60" s="45">
        <v>10.1</v>
      </c>
      <c r="V60" s="45">
        <v>10.1</v>
      </c>
      <c r="W60" s="45">
        <v>10.1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10.6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/>
      <c r="P61" s="64">
        <v>15</v>
      </c>
      <c r="Q61" s="64">
        <v>15</v>
      </c>
      <c r="R61" s="64">
        <v>15</v>
      </c>
      <c r="S61" s="64">
        <v>15</v>
      </c>
      <c r="T61" s="64"/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3.1</v>
      </c>
      <c r="C62" s="64">
        <v>3.1</v>
      </c>
      <c r="D62" s="64">
        <v>3.1</v>
      </c>
      <c r="E62" s="64">
        <v>3.1</v>
      </c>
      <c r="F62" s="64">
        <v>3.1</v>
      </c>
      <c r="G62" s="64">
        <v>3.1</v>
      </c>
      <c r="H62" s="64">
        <v>3.1</v>
      </c>
      <c r="I62" s="64">
        <v>3.1</v>
      </c>
      <c r="J62" s="64">
        <v>3.1</v>
      </c>
      <c r="K62" s="64">
        <v>3.1</v>
      </c>
      <c r="L62" s="64">
        <v>3.1</v>
      </c>
      <c r="M62" s="64">
        <v>3.1</v>
      </c>
      <c r="N62" s="64">
        <v>3.1</v>
      </c>
      <c r="O62" s="64"/>
      <c r="P62" s="64">
        <v>3.1</v>
      </c>
      <c r="Q62" s="64">
        <v>3.1</v>
      </c>
      <c r="R62" s="64">
        <v>3.1</v>
      </c>
      <c r="S62" s="64">
        <v>3.1</v>
      </c>
      <c r="T62" s="64"/>
      <c r="U62" s="64">
        <v>3.1</v>
      </c>
      <c r="V62" s="64">
        <v>3.1</v>
      </c>
      <c r="W62" s="64">
        <v>3.1</v>
      </c>
      <c r="X62" s="64">
        <v>3.1</v>
      </c>
      <c r="Y62" s="64">
        <v>3.1</v>
      </c>
      <c r="Z62" s="64">
        <v>3.1</v>
      </c>
      <c r="AA62" s="64">
        <v>3.1</v>
      </c>
      <c r="AB62" s="64">
        <v>3.1</v>
      </c>
      <c r="AC62" s="64">
        <v>3.1</v>
      </c>
      <c r="AD62" s="64">
        <v>3.1</v>
      </c>
      <c r="AE62" s="64">
        <v>3.1</v>
      </c>
      <c r="AF62" s="64">
        <v>3.1</v>
      </c>
      <c r="AG62" s="54">
        <v>15</v>
      </c>
      <c r="AH62" s="47">
        <f t="shared" si="2"/>
        <v>3.1</v>
      </c>
      <c r="AI62" s="48">
        <f t="shared" si="3"/>
        <v>3.1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12.1</v>
      </c>
      <c r="C63" s="64">
        <v>12.1</v>
      </c>
      <c r="D63" s="64">
        <v>12.1</v>
      </c>
      <c r="E63" s="64">
        <v>12.1</v>
      </c>
      <c r="F63" s="64">
        <v>12.1</v>
      </c>
      <c r="G63" s="64">
        <v>12.1</v>
      </c>
      <c r="H63" s="64">
        <v>12.1</v>
      </c>
      <c r="I63" s="64">
        <v>12.1</v>
      </c>
      <c r="J63" s="64">
        <v>12.1</v>
      </c>
      <c r="K63" s="64">
        <v>12.1</v>
      </c>
      <c r="L63" s="64">
        <v>12.1</v>
      </c>
      <c r="M63" s="64">
        <v>12.1</v>
      </c>
      <c r="N63" s="64">
        <v>12.1</v>
      </c>
      <c r="O63" s="64"/>
      <c r="P63" s="64">
        <v>12.1</v>
      </c>
      <c r="Q63" s="64">
        <v>12.1</v>
      </c>
      <c r="R63" s="64">
        <v>12.1</v>
      </c>
      <c r="S63" s="64">
        <v>12.1</v>
      </c>
      <c r="T63" s="64"/>
      <c r="U63" s="64">
        <v>12.1</v>
      </c>
      <c r="V63" s="64">
        <v>12.1</v>
      </c>
      <c r="W63" s="64">
        <v>12.1</v>
      </c>
      <c r="X63" s="64">
        <v>12.1</v>
      </c>
      <c r="Y63" s="64">
        <v>12.1</v>
      </c>
      <c r="Z63" s="64">
        <v>12.1</v>
      </c>
      <c r="AA63" s="64">
        <v>12.1</v>
      </c>
      <c r="AB63" s="64">
        <v>12.1</v>
      </c>
      <c r="AC63" s="64">
        <v>12.1</v>
      </c>
      <c r="AD63" s="64">
        <v>12.1</v>
      </c>
      <c r="AE63" s="64">
        <v>12.1</v>
      </c>
      <c r="AF63" s="64">
        <v>12.1</v>
      </c>
      <c r="AG63" s="54">
        <v>14.1</v>
      </c>
      <c r="AH63" s="47">
        <f t="shared" si="2"/>
        <v>12.1</v>
      </c>
      <c r="AI63" s="48">
        <f t="shared" si="3"/>
        <v>12.1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12.5</v>
      </c>
      <c r="C64" s="64">
        <v>12.5</v>
      </c>
      <c r="D64" s="64">
        <v>12.5</v>
      </c>
      <c r="E64" s="64">
        <v>12.5</v>
      </c>
      <c r="F64" s="64">
        <v>12.5</v>
      </c>
      <c r="G64" s="64">
        <v>12.5</v>
      </c>
      <c r="H64" s="64">
        <v>12.5</v>
      </c>
      <c r="I64" s="64">
        <v>12.5</v>
      </c>
      <c r="J64" s="64">
        <v>12.5</v>
      </c>
      <c r="K64" s="64">
        <v>12.5</v>
      </c>
      <c r="L64" s="64">
        <v>12.5</v>
      </c>
      <c r="M64" s="64">
        <v>12.5</v>
      </c>
      <c r="N64" s="64">
        <v>6.5</v>
      </c>
      <c r="O64" s="64"/>
      <c r="P64" s="64">
        <v>6.5</v>
      </c>
      <c r="Q64" s="64">
        <v>6.5</v>
      </c>
      <c r="R64" s="64">
        <v>6.5</v>
      </c>
      <c r="S64" s="64">
        <v>6.5</v>
      </c>
      <c r="T64" s="64"/>
      <c r="U64" s="64">
        <v>6.5</v>
      </c>
      <c r="V64" s="64">
        <v>6.5</v>
      </c>
      <c r="W64" s="64">
        <v>6.5</v>
      </c>
      <c r="X64" s="64">
        <v>6.5</v>
      </c>
      <c r="Y64" s="64">
        <v>6.5</v>
      </c>
      <c r="Z64" s="64">
        <v>6.5</v>
      </c>
      <c r="AA64" s="64">
        <v>6.5</v>
      </c>
      <c r="AB64" s="64">
        <v>6.5</v>
      </c>
      <c r="AC64" s="64">
        <v>6.5</v>
      </c>
      <c r="AD64" s="64">
        <v>13</v>
      </c>
      <c r="AE64" s="64">
        <v>13.9</v>
      </c>
      <c r="AF64" s="64">
        <v>13.9</v>
      </c>
      <c r="AG64" s="54">
        <v>14</v>
      </c>
      <c r="AH64" s="47">
        <f t="shared" si="2"/>
        <v>13.9</v>
      </c>
      <c r="AI64" s="48">
        <f t="shared" si="3"/>
        <v>6.5</v>
      </c>
      <c r="AK64" s="50"/>
    </row>
    <row r="65" spans="1:40" x14ac:dyDescent="0.25">
      <c r="A65" s="53" t="s">
        <v>73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/>
      <c r="P65" s="64">
        <v>9.5</v>
      </c>
      <c r="Q65" s="64">
        <v>9.5</v>
      </c>
      <c r="R65" s="64">
        <v>9.5</v>
      </c>
      <c r="S65" s="64">
        <v>9.5</v>
      </c>
      <c r="T65" s="64"/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/>
      <c r="P66" s="64">
        <v>6.2</v>
      </c>
      <c r="Q66" s="64">
        <v>6.2</v>
      </c>
      <c r="R66" s="64">
        <v>6.2</v>
      </c>
      <c r="S66" s="64">
        <v>6.2</v>
      </c>
      <c r="T66" s="64"/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" si="12">SUM(B55:B67)</f>
        <v>393.74</v>
      </c>
      <c r="C68" s="60">
        <f t="shared" ref="C68:AG68" si="13">SUM(C55:C67)</f>
        <v>354.44000000000005</v>
      </c>
      <c r="D68" s="60">
        <f t="shared" ref="D68" si="14">SUM(D55:D67)</f>
        <v>331.14000000000004</v>
      </c>
      <c r="E68" s="60">
        <f t="shared" si="13"/>
        <v>359.24</v>
      </c>
      <c r="F68" s="60">
        <f t="shared" si="13"/>
        <v>350.54000000000008</v>
      </c>
      <c r="G68" s="60">
        <f t="shared" si="13"/>
        <v>361.54000000000008</v>
      </c>
      <c r="H68" s="60">
        <f t="shared" si="13"/>
        <v>362.84000000000003</v>
      </c>
      <c r="I68" s="60">
        <f t="shared" si="13"/>
        <v>362.84000000000003</v>
      </c>
      <c r="J68" s="60">
        <f t="shared" si="13"/>
        <v>362.64000000000004</v>
      </c>
      <c r="K68" s="60">
        <f t="shared" si="13"/>
        <v>359.74</v>
      </c>
      <c r="L68" s="60">
        <f t="shared" si="13"/>
        <v>382.84000000000003</v>
      </c>
      <c r="M68" s="60">
        <f t="shared" si="13"/>
        <v>380.04000000000008</v>
      </c>
      <c r="N68" s="60">
        <f t="shared" si="13"/>
        <v>354.24000000000007</v>
      </c>
      <c r="O68" s="60">
        <f t="shared" si="13"/>
        <v>3.54</v>
      </c>
      <c r="P68" s="60">
        <f t="shared" si="13"/>
        <v>320.54000000000008</v>
      </c>
      <c r="Q68" s="60">
        <f t="shared" si="13"/>
        <v>378.6400000000001</v>
      </c>
      <c r="R68" s="60">
        <f t="shared" ref="R68" si="15">SUM(R55:R67)</f>
        <v>382.84000000000009</v>
      </c>
      <c r="S68" s="60">
        <f t="shared" si="13"/>
        <v>382.84000000000009</v>
      </c>
      <c r="T68" s="60">
        <f t="shared" si="13"/>
        <v>3.54</v>
      </c>
      <c r="U68" s="60">
        <f t="shared" si="13"/>
        <v>382.84000000000009</v>
      </c>
      <c r="V68" s="60">
        <f t="shared" si="13"/>
        <v>395.44000000000005</v>
      </c>
      <c r="W68" s="60">
        <f t="shared" si="13"/>
        <v>395.44000000000005</v>
      </c>
      <c r="X68" s="60">
        <f t="shared" si="13"/>
        <v>385.34000000000003</v>
      </c>
      <c r="Y68" s="60">
        <f t="shared" si="13"/>
        <v>385.34000000000003</v>
      </c>
      <c r="Z68" s="60">
        <f t="shared" si="13"/>
        <v>385.34000000000003</v>
      </c>
      <c r="AA68" s="60">
        <f t="shared" si="13"/>
        <v>385.34000000000003</v>
      </c>
      <c r="AB68" s="60">
        <f t="shared" si="13"/>
        <v>385.74000000000007</v>
      </c>
      <c r="AC68" s="60">
        <f t="shared" si="13"/>
        <v>385.74000000000007</v>
      </c>
      <c r="AD68" s="60">
        <f t="shared" si="13"/>
        <v>392.24000000000007</v>
      </c>
      <c r="AE68" s="60">
        <f t="shared" si="13"/>
        <v>393.14000000000004</v>
      </c>
      <c r="AF68" s="60">
        <f t="shared" si="13"/>
        <v>393.14000000000004</v>
      </c>
      <c r="AG68" s="61">
        <f t="shared" si="13"/>
        <v>489.91</v>
      </c>
      <c r="AH68" s="47">
        <f t="shared" si="2"/>
        <v>395.44000000000005</v>
      </c>
      <c r="AI68" s="48">
        <f t="shared" si="3"/>
        <v>3.54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>
        <v>10</v>
      </c>
      <c r="U69" s="45">
        <v>10</v>
      </c>
      <c r="V69" s="45">
        <v>10</v>
      </c>
      <c r="W69" s="45">
        <v>10</v>
      </c>
      <c r="X69" s="45">
        <v>10</v>
      </c>
      <c r="Y69" s="45">
        <v>0</v>
      </c>
      <c r="Z69" s="45">
        <v>0</v>
      </c>
      <c r="AA69" s="45">
        <v>14</v>
      </c>
      <c r="AB69" s="45">
        <v>14</v>
      </c>
      <c r="AC69" s="45">
        <v>14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14</v>
      </c>
      <c r="AI69" s="48">
        <f t="shared" si="3"/>
        <v>0</v>
      </c>
      <c r="AK69" s="50"/>
    </row>
    <row r="70" spans="1:40" x14ac:dyDescent="0.25">
      <c r="A70" s="53" t="s">
        <v>78</v>
      </c>
      <c r="B70" s="64"/>
      <c r="C70" s="45"/>
      <c r="D70" s="45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>
        <v>5</v>
      </c>
      <c r="U70" s="64">
        <v>5</v>
      </c>
      <c r="V70" s="64">
        <v>5</v>
      </c>
      <c r="W70" s="64">
        <v>5</v>
      </c>
      <c r="X70" s="64">
        <v>5</v>
      </c>
      <c r="Y70" s="64">
        <v>0</v>
      </c>
      <c r="Z70" s="64">
        <v>0</v>
      </c>
      <c r="AA70" s="64">
        <v>6</v>
      </c>
      <c r="AB70" s="64">
        <v>6</v>
      </c>
      <c r="AC70" s="64">
        <v>6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6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66"/>
      <c r="C71" s="45"/>
      <c r="D71" s="45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>
        <v>2</v>
      </c>
      <c r="U71" s="66">
        <v>2</v>
      </c>
      <c r="V71" s="66">
        <v>2</v>
      </c>
      <c r="W71" s="66">
        <v>2</v>
      </c>
      <c r="X71" s="66">
        <v>2</v>
      </c>
      <c r="Y71" s="66">
        <v>0</v>
      </c>
      <c r="Z71" s="66">
        <v>0</v>
      </c>
      <c r="AA71" s="66">
        <v>3.5</v>
      </c>
      <c r="AB71" s="66">
        <v>3.5</v>
      </c>
      <c r="AC71" s="66">
        <v>3.5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3.5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 t="shared" ref="B72" si="16"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7">M69+M70+M71</f>
        <v>0</v>
      </c>
      <c r="N72" s="60">
        <f t="shared" si="17"/>
        <v>0</v>
      </c>
      <c r="O72" s="60">
        <f t="shared" si="17"/>
        <v>0</v>
      </c>
      <c r="P72" s="60">
        <f t="shared" si="17"/>
        <v>0</v>
      </c>
      <c r="Q72" s="60">
        <f t="shared" si="17"/>
        <v>0</v>
      </c>
      <c r="R72" s="60">
        <f t="shared" ref="R72" si="18">R69+R70+R71</f>
        <v>0</v>
      </c>
      <c r="S72" s="60">
        <f t="shared" si="17"/>
        <v>0</v>
      </c>
      <c r="T72" s="60">
        <f t="shared" si="17"/>
        <v>17</v>
      </c>
      <c r="U72" s="60">
        <f t="shared" si="17"/>
        <v>17</v>
      </c>
      <c r="V72" s="60">
        <f t="shared" si="17"/>
        <v>17</v>
      </c>
      <c r="W72" s="60">
        <f t="shared" si="17"/>
        <v>17</v>
      </c>
      <c r="X72" s="60">
        <f t="shared" si="17"/>
        <v>17</v>
      </c>
      <c r="Y72" s="60">
        <f t="shared" si="17"/>
        <v>0</v>
      </c>
      <c r="Z72" s="60">
        <f t="shared" si="17"/>
        <v>0</v>
      </c>
      <c r="AA72" s="60">
        <f t="shared" si="17"/>
        <v>23.5</v>
      </c>
      <c r="AB72" s="60">
        <f t="shared" si="17"/>
        <v>23.5</v>
      </c>
      <c r="AC72" s="60">
        <f t="shared" si="17"/>
        <v>23.5</v>
      </c>
      <c r="AD72" s="60">
        <f t="shared" si="17"/>
        <v>0</v>
      </c>
      <c r="AE72" s="60">
        <f t="shared" si="17"/>
        <v>0</v>
      </c>
      <c r="AF72" s="60">
        <f t="shared" si="17"/>
        <v>0</v>
      </c>
      <c r="AG72" s="61">
        <f>SUM(AG69:AG71)</f>
        <v>106</v>
      </c>
      <c r="AH72" s="47">
        <f t="shared" si="2"/>
        <v>23.5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-6.1</v>
      </c>
      <c r="C73" s="45">
        <v>-7.3</v>
      </c>
      <c r="D73" s="45">
        <v>40</v>
      </c>
      <c r="E73" s="45">
        <v>1.9</v>
      </c>
      <c r="F73" s="45">
        <v>-7.8</v>
      </c>
      <c r="G73" s="45">
        <v>-2.7</v>
      </c>
      <c r="H73" s="45">
        <v>-7.6</v>
      </c>
      <c r="I73" s="45">
        <v>-20</v>
      </c>
      <c r="J73" s="45">
        <v>-22.6</v>
      </c>
      <c r="K73" s="45">
        <v>-25.5</v>
      </c>
      <c r="L73" s="45">
        <v>-11.2</v>
      </c>
      <c r="M73" s="45">
        <v>-7</v>
      </c>
      <c r="N73" s="45">
        <v>10</v>
      </c>
      <c r="O73" s="45"/>
      <c r="P73" s="45">
        <v>10</v>
      </c>
      <c r="Q73" s="45">
        <v>-4</v>
      </c>
      <c r="R73" s="45"/>
      <c r="S73" s="45"/>
      <c r="T73" s="45"/>
      <c r="U73" s="45"/>
      <c r="V73" s="45"/>
      <c r="W73" s="45"/>
      <c r="X73" s="45"/>
      <c r="Y73" s="64">
        <v>-20</v>
      </c>
      <c r="Z73" s="45">
        <v>-20</v>
      </c>
      <c r="AA73" s="45">
        <v>6.8</v>
      </c>
      <c r="AB73" s="45">
        <v>14.9</v>
      </c>
      <c r="AC73" s="45">
        <v>20.9</v>
      </c>
      <c r="AD73" s="45">
        <v>23.3</v>
      </c>
      <c r="AE73" s="45">
        <v>17.899999999999999</v>
      </c>
      <c r="AF73" s="45">
        <v>10.9</v>
      </c>
      <c r="AG73" s="51"/>
      <c r="AH73" s="47">
        <f t="shared" si="2"/>
        <v>40</v>
      </c>
      <c r="AI73" s="48">
        <f t="shared" si="3"/>
        <v>-25.5</v>
      </c>
      <c r="AK73" s="50"/>
    </row>
    <row r="74" spans="1:40" x14ac:dyDescent="0.25">
      <c r="A74" s="53" t="s">
        <v>82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Z74" s="64"/>
      <c r="AA74" s="64"/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-311</v>
      </c>
      <c r="C75" s="64">
        <v>-303.89999999999998</v>
      </c>
      <c r="D75" s="64">
        <v>-311</v>
      </c>
      <c r="E75" s="64">
        <v>-332</v>
      </c>
      <c r="F75" s="64">
        <v>-330.1</v>
      </c>
      <c r="G75" s="64">
        <v>-405.8</v>
      </c>
      <c r="H75" s="64">
        <v>-417.4</v>
      </c>
      <c r="I75" s="64">
        <v>-430</v>
      </c>
      <c r="J75" s="64">
        <v>-416.1</v>
      </c>
      <c r="K75" s="64">
        <v>-367.9</v>
      </c>
      <c r="L75" s="64">
        <v>-356</v>
      </c>
      <c r="M75" s="64">
        <v>-350.1</v>
      </c>
      <c r="N75" s="64">
        <v>-330</v>
      </c>
      <c r="O75" s="64"/>
      <c r="P75" s="64">
        <v>-329</v>
      </c>
      <c r="Q75" s="64">
        <v>-305</v>
      </c>
      <c r="R75" s="64">
        <v>-288.7</v>
      </c>
      <c r="S75" s="64">
        <v>-252</v>
      </c>
      <c r="T75" s="64"/>
      <c r="U75" s="64">
        <v>-222</v>
      </c>
      <c r="V75" s="64">
        <v>-348</v>
      </c>
      <c r="W75" s="64">
        <v>-348</v>
      </c>
      <c r="X75" s="64">
        <v>-414</v>
      </c>
      <c r="Y75" s="64">
        <v>-330</v>
      </c>
      <c r="Z75" s="64">
        <v>-320</v>
      </c>
      <c r="AA75" s="64">
        <v>-253</v>
      </c>
      <c r="AB75" s="64">
        <v>-271</v>
      </c>
      <c r="AC75" s="64">
        <v>-276</v>
      </c>
      <c r="AD75" s="64">
        <v>-297.5</v>
      </c>
      <c r="AE75" s="64">
        <v>-349.6</v>
      </c>
      <c r="AF75" s="64">
        <v>-336</v>
      </c>
      <c r="AG75" s="74"/>
      <c r="AH75" s="47">
        <f t="shared" si="2"/>
        <v>-222</v>
      </c>
      <c r="AI75" s="48">
        <f t="shared" si="3"/>
        <v>-430</v>
      </c>
      <c r="AK75" s="50"/>
    </row>
    <row r="76" spans="1:40" x14ac:dyDescent="0.25">
      <c r="A76" s="53" t="s">
        <v>84</v>
      </c>
      <c r="B76" s="75"/>
      <c r="C76" s="64"/>
      <c r="D76" s="64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>
        <v>0</v>
      </c>
      <c r="AC76" s="75">
        <v>0</v>
      </c>
      <c r="AD76" s="64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76"/>
      <c r="V77" s="45"/>
      <c r="W77" s="45"/>
      <c r="X77" s="45"/>
      <c r="Y77" s="45"/>
      <c r="Z77" s="45"/>
      <c r="AA77" s="45"/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19">MAX(B77:AF77)</f>
        <v>0</v>
      </c>
      <c r="AI77" s="48">
        <f t="shared" ref="AI77:AI120" si="20">MIN(B77:AF77)</f>
        <v>0</v>
      </c>
      <c r="AK77" s="50"/>
    </row>
    <row r="78" spans="1:40" x14ac:dyDescent="0.25">
      <c r="A78" s="53" t="s">
        <v>86</v>
      </c>
      <c r="B78" s="76">
        <v>5</v>
      </c>
      <c r="C78" s="76">
        <v>5</v>
      </c>
      <c r="D78" s="76">
        <v>5</v>
      </c>
      <c r="E78" s="76">
        <v>5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/>
      <c r="P78" s="76">
        <v>5</v>
      </c>
      <c r="Q78" s="76">
        <v>5</v>
      </c>
      <c r="R78" s="76">
        <v>5</v>
      </c>
      <c r="S78" s="76">
        <v>5</v>
      </c>
      <c r="T78" s="76"/>
      <c r="U78" s="76">
        <v>5</v>
      </c>
      <c r="V78" s="76">
        <v>5</v>
      </c>
      <c r="W78" s="76">
        <v>5</v>
      </c>
      <c r="X78" s="76">
        <v>5</v>
      </c>
      <c r="Y78" s="76">
        <v>5</v>
      </c>
      <c r="Z78" s="76">
        <v>5</v>
      </c>
      <c r="AA78" s="76">
        <v>5</v>
      </c>
      <c r="AB78" s="76">
        <v>5</v>
      </c>
      <c r="AC78" s="76">
        <v>5</v>
      </c>
      <c r="AD78" s="76">
        <v>5</v>
      </c>
      <c r="AE78" s="76">
        <v>5</v>
      </c>
      <c r="AF78" s="76">
        <v>5</v>
      </c>
      <c r="AG78" s="74"/>
      <c r="AH78" s="47">
        <f t="shared" si="19"/>
        <v>5</v>
      </c>
      <c r="AI78" s="48">
        <f t="shared" si="20"/>
        <v>0</v>
      </c>
      <c r="AK78" s="50"/>
    </row>
    <row r="79" spans="1:40" ht="15.75" thickBot="1" x14ac:dyDescent="0.3">
      <c r="A79" s="53" t="s">
        <v>87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19"/>
        <v>0</v>
      </c>
      <c r="AI79" s="48">
        <f t="shared" si="20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19"/>
        <v>0</v>
      </c>
      <c r="AI80" s="48">
        <f t="shared" si="20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19"/>
        <v>0</v>
      </c>
      <c r="AI81" s="48">
        <f t="shared" si="20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19"/>
        <v>0</v>
      </c>
      <c r="AI82" s="48">
        <f t="shared" si="20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19"/>
        <v>0</v>
      </c>
      <c r="AI83" s="48">
        <f t="shared" si="20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" si="21">SUMIF(B73:B83,"&gt;0")</f>
        <v>5</v>
      </c>
      <c r="C84" s="60">
        <f t="shared" ref="C84:AF84" si="22">SUMIF(C73:C83,"&gt;0")</f>
        <v>5</v>
      </c>
      <c r="D84" s="60">
        <f t="shared" ref="D84" si="23">SUMIF(D73:D83,"&gt;0")</f>
        <v>45</v>
      </c>
      <c r="E84" s="60">
        <f t="shared" si="22"/>
        <v>6.9</v>
      </c>
      <c r="F84" s="60">
        <f t="shared" si="22"/>
        <v>0</v>
      </c>
      <c r="G84" s="60">
        <f t="shared" si="22"/>
        <v>0</v>
      </c>
      <c r="H84" s="60">
        <f t="shared" si="22"/>
        <v>0</v>
      </c>
      <c r="I84" s="60">
        <f t="shared" si="22"/>
        <v>0</v>
      </c>
      <c r="J84" s="60">
        <f t="shared" si="22"/>
        <v>0</v>
      </c>
      <c r="K84" s="60">
        <f t="shared" si="22"/>
        <v>0</v>
      </c>
      <c r="L84" s="60">
        <f t="shared" si="22"/>
        <v>0</v>
      </c>
      <c r="M84" s="60">
        <f t="shared" si="22"/>
        <v>0</v>
      </c>
      <c r="N84" s="60">
        <f t="shared" si="22"/>
        <v>10</v>
      </c>
      <c r="O84" s="60">
        <f t="shared" si="22"/>
        <v>0</v>
      </c>
      <c r="P84" s="60">
        <f t="shared" si="22"/>
        <v>15</v>
      </c>
      <c r="Q84" s="60">
        <f t="shared" si="22"/>
        <v>5</v>
      </c>
      <c r="R84" s="60">
        <f t="shared" ref="R84" si="24">SUMIF(R73:R83,"&gt;0")</f>
        <v>5</v>
      </c>
      <c r="S84" s="60">
        <f t="shared" si="22"/>
        <v>5</v>
      </c>
      <c r="T84" s="60">
        <f t="shared" si="22"/>
        <v>0</v>
      </c>
      <c r="U84" s="60">
        <f t="shared" si="22"/>
        <v>5</v>
      </c>
      <c r="V84" s="60">
        <f t="shared" si="22"/>
        <v>5</v>
      </c>
      <c r="W84" s="60">
        <f t="shared" si="22"/>
        <v>5</v>
      </c>
      <c r="X84" s="60">
        <f t="shared" si="22"/>
        <v>5</v>
      </c>
      <c r="Y84" s="60">
        <f>SUMIF(Y73:Y83,"&gt;0")</f>
        <v>5</v>
      </c>
      <c r="Z84" s="60">
        <f t="shared" si="22"/>
        <v>5</v>
      </c>
      <c r="AA84" s="60">
        <f t="shared" si="22"/>
        <v>11.8</v>
      </c>
      <c r="AB84" s="60">
        <f t="shared" si="22"/>
        <v>19.899999999999999</v>
      </c>
      <c r="AC84" s="60">
        <f t="shared" si="22"/>
        <v>25.9</v>
      </c>
      <c r="AD84" s="60">
        <f t="shared" si="22"/>
        <v>28.3</v>
      </c>
      <c r="AE84" s="60">
        <f t="shared" si="22"/>
        <v>22.9</v>
      </c>
      <c r="AF84" s="60">
        <f t="shared" si="22"/>
        <v>15.9</v>
      </c>
      <c r="AG84" s="87">
        <f>SUM(AG73:AG83)</f>
        <v>0</v>
      </c>
      <c r="AH84" s="47">
        <f t="shared" si="19"/>
        <v>45</v>
      </c>
      <c r="AI84" s="48">
        <f t="shared" si="20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9"/>
        <v>0</v>
      </c>
      <c r="AI85" s="48">
        <f t="shared" si="20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9"/>
        <v>0</v>
      </c>
      <c r="AI86" s="48">
        <f t="shared" si="20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9"/>
        <v>0</v>
      </c>
      <c r="AI87" s="48">
        <f t="shared" si="20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9"/>
        <v>0</v>
      </c>
      <c r="AI88" s="48">
        <f t="shared" si="20"/>
        <v>0</v>
      </c>
    </row>
    <row r="89" spans="1:40" ht="15.75" thickBot="1" x14ac:dyDescent="0.3">
      <c r="A89" s="73" t="s">
        <v>100</v>
      </c>
      <c r="B89" s="94">
        <f t="shared" ref="B89" si="25">B50+B54+B72+B68+B84+B88</f>
        <v>1988.44</v>
      </c>
      <c r="C89" s="94">
        <f t="shared" ref="C89:AG89" si="26">C50+C54+C72+C68+C84+C88</f>
        <v>1950.14</v>
      </c>
      <c r="D89" s="94">
        <f t="shared" ref="D89" si="27">D50+D54+D72+D68+D84+D88</f>
        <v>1977.24</v>
      </c>
      <c r="E89" s="94">
        <f t="shared" si="26"/>
        <v>1983.24</v>
      </c>
      <c r="F89" s="94">
        <f t="shared" si="26"/>
        <v>1975.8400000000001</v>
      </c>
      <c r="G89" s="94">
        <f t="shared" si="26"/>
        <v>1976.8400000000001</v>
      </c>
      <c r="H89" s="94">
        <f t="shared" si="26"/>
        <v>1988.1400000000003</v>
      </c>
      <c r="I89" s="94">
        <f t="shared" si="26"/>
        <v>1988.1400000000003</v>
      </c>
      <c r="J89" s="94">
        <f t="shared" si="26"/>
        <v>1961.24</v>
      </c>
      <c r="K89" s="94">
        <f t="shared" si="26"/>
        <v>1958.34</v>
      </c>
      <c r="L89" s="94">
        <f t="shared" si="26"/>
        <v>1981.44</v>
      </c>
      <c r="M89" s="94">
        <f t="shared" si="26"/>
        <v>1949.2399999999998</v>
      </c>
      <c r="N89" s="94">
        <f t="shared" si="26"/>
        <v>1933.4399999999998</v>
      </c>
      <c r="O89" s="94">
        <f t="shared" si="26"/>
        <v>3.54</v>
      </c>
      <c r="P89" s="94">
        <f t="shared" si="26"/>
        <v>1924.04</v>
      </c>
      <c r="Q89" s="94">
        <f t="shared" si="26"/>
        <v>1977.64</v>
      </c>
      <c r="R89" s="94">
        <f t="shared" ref="R89" si="28">R50+R54+R72+R68+R84+R88</f>
        <v>1981.8400000000001</v>
      </c>
      <c r="S89" s="94">
        <f t="shared" si="26"/>
        <v>1981.8400000000001</v>
      </c>
      <c r="T89" s="94">
        <f t="shared" si="26"/>
        <v>20.54</v>
      </c>
      <c r="U89" s="94">
        <f t="shared" si="26"/>
        <v>1957.0400000000002</v>
      </c>
      <c r="V89" s="94">
        <f t="shared" si="26"/>
        <v>1969.64</v>
      </c>
      <c r="W89" s="94">
        <f t="shared" si="26"/>
        <v>1969.64</v>
      </c>
      <c r="X89" s="94">
        <f>X50+X54+X72+X68+X84+X88</f>
        <v>1993.2400000000002</v>
      </c>
      <c r="Y89" s="94">
        <f t="shared" si="26"/>
        <v>1976.2400000000002</v>
      </c>
      <c r="Z89" s="94">
        <f t="shared" si="26"/>
        <v>2032.7400000000002</v>
      </c>
      <c r="AA89" s="94">
        <f t="shared" si="26"/>
        <v>2106.0400000000004</v>
      </c>
      <c r="AB89" s="94">
        <f t="shared" si="26"/>
        <v>2119.5400000000004</v>
      </c>
      <c r="AC89" s="94">
        <f t="shared" si="26"/>
        <v>2140.9400000000005</v>
      </c>
      <c r="AD89" s="94">
        <f t="shared" si="26"/>
        <v>2120.2400000000007</v>
      </c>
      <c r="AE89" s="94">
        <f t="shared" si="26"/>
        <v>2079.7399999999998</v>
      </c>
      <c r="AF89" s="94">
        <f t="shared" si="26"/>
        <v>2020.3400000000004</v>
      </c>
      <c r="AG89" s="61">
        <f t="shared" si="26"/>
        <v>2111.5500000000002</v>
      </c>
      <c r="AH89" s="47">
        <f t="shared" si="19"/>
        <v>2140.9400000000005</v>
      </c>
      <c r="AI89" s="48">
        <f t="shared" si="20"/>
        <v>3.54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9"/>
        <v>0</v>
      </c>
      <c r="AI90" s="48">
        <f t="shared" si="20"/>
        <v>0</v>
      </c>
    </row>
    <row r="91" spans="1:40" ht="15.75" thickBot="1" x14ac:dyDescent="0.3">
      <c r="A91" s="73" t="s">
        <v>102</v>
      </c>
      <c r="B91" s="94">
        <f t="shared" ref="B91" si="29">B89+B90</f>
        <v>1988.44</v>
      </c>
      <c r="C91" s="94">
        <f t="shared" ref="C91:AF91" si="30">C89+C90</f>
        <v>1950.14</v>
      </c>
      <c r="D91" s="94">
        <f t="shared" ref="D91" si="31">D89+D90</f>
        <v>1977.24</v>
      </c>
      <c r="E91" s="94">
        <f t="shared" si="30"/>
        <v>1983.24</v>
      </c>
      <c r="F91" s="94">
        <f t="shared" si="30"/>
        <v>1975.8400000000001</v>
      </c>
      <c r="G91" s="94">
        <f t="shared" si="30"/>
        <v>1976.8400000000001</v>
      </c>
      <c r="H91" s="94">
        <f t="shared" si="30"/>
        <v>1988.1400000000003</v>
      </c>
      <c r="I91" s="94">
        <f t="shared" si="30"/>
        <v>1988.1400000000003</v>
      </c>
      <c r="J91" s="94">
        <f t="shared" si="30"/>
        <v>1961.24</v>
      </c>
      <c r="K91" s="94">
        <f t="shared" si="30"/>
        <v>1958.34</v>
      </c>
      <c r="L91" s="94">
        <f t="shared" si="30"/>
        <v>1981.44</v>
      </c>
      <c r="M91" s="94">
        <f t="shared" si="30"/>
        <v>1949.2399999999998</v>
      </c>
      <c r="N91" s="94">
        <f t="shared" si="30"/>
        <v>1933.4399999999998</v>
      </c>
      <c r="O91" s="94">
        <f t="shared" si="30"/>
        <v>3.54</v>
      </c>
      <c r="P91" s="94">
        <f t="shared" si="30"/>
        <v>1924.04</v>
      </c>
      <c r="Q91" s="94">
        <f t="shared" si="30"/>
        <v>1977.64</v>
      </c>
      <c r="R91" s="94">
        <f t="shared" ref="R91" si="32">R89+R90</f>
        <v>1981.8400000000001</v>
      </c>
      <c r="S91" s="94">
        <f t="shared" si="30"/>
        <v>1981.8400000000001</v>
      </c>
      <c r="T91" s="94">
        <f t="shared" si="30"/>
        <v>20.54</v>
      </c>
      <c r="U91" s="94">
        <f t="shared" si="30"/>
        <v>1957.0400000000002</v>
      </c>
      <c r="V91" s="94">
        <f t="shared" si="30"/>
        <v>1969.64</v>
      </c>
      <c r="W91" s="94">
        <f t="shared" si="30"/>
        <v>1969.64</v>
      </c>
      <c r="X91" s="94">
        <f t="shared" si="30"/>
        <v>1993.2400000000002</v>
      </c>
      <c r="Y91" s="94">
        <f t="shared" si="30"/>
        <v>1976.2400000000002</v>
      </c>
      <c r="Z91" s="94">
        <f t="shared" si="30"/>
        <v>2032.7400000000002</v>
      </c>
      <c r="AA91" s="94">
        <f t="shared" si="30"/>
        <v>2106.0400000000004</v>
      </c>
      <c r="AB91" s="94">
        <f t="shared" si="30"/>
        <v>2119.5400000000004</v>
      </c>
      <c r="AC91" s="94">
        <f t="shared" si="30"/>
        <v>2140.9400000000005</v>
      </c>
      <c r="AD91" s="94">
        <f t="shared" si="30"/>
        <v>2120.2400000000007</v>
      </c>
      <c r="AE91" s="94">
        <f t="shared" si="30"/>
        <v>2079.7399999999998</v>
      </c>
      <c r="AF91" s="94">
        <f t="shared" si="30"/>
        <v>2020.3400000000004</v>
      </c>
      <c r="AG91" s="87">
        <f>AG88+AG84+AG72+AG68+AG50+AG90</f>
        <v>1573.45</v>
      </c>
      <c r="AH91" s="47">
        <f t="shared" si="19"/>
        <v>2140.9400000000005</v>
      </c>
      <c r="AI91" s="48">
        <f t="shared" si="20"/>
        <v>3.54</v>
      </c>
    </row>
    <row r="92" spans="1:40" ht="15.75" thickBot="1" x14ac:dyDescent="0.3">
      <c r="A92" s="73" t="s">
        <v>103</v>
      </c>
      <c r="B92" s="94">
        <f t="shared" ref="B92" si="33">B91-B99</f>
        <v>1988.44</v>
      </c>
      <c r="C92" s="94">
        <f t="shared" ref="C92:AF92" si="34">C91-C99</f>
        <v>1950.14</v>
      </c>
      <c r="D92" s="94">
        <f t="shared" ref="D92" si="35">D91-D99</f>
        <v>1977.24</v>
      </c>
      <c r="E92" s="94">
        <f t="shared" si="34"/>
        <v>1983.24</v>
      </c>
      <c r="F92" s="94">
        <f t="shared" si="34"/>
        <v>1975.8400000000001</v>
      </c>
      <c r="G92" s="94">
        <f t="shared" si="34"/>
        <v>1976.8400000000001</v>
      </c>
      <c r="H92" s="94">
        <f t="shared" si="34"/>
        <v>1988.1400000000003</v>
      </c>
      <c r="I92" s="94">
        <f t="shared" si="34"/>
        <v>1988.1400000000003</v>
      </c>
      <c r="J92" s="94">
        <f t="shared" si="34"/>
        <v>1961.24</v>
      </c>
      <c r="K92" s="94">
        <f t="shared" si="34"/>
        <v>1958.34</v>
      </c>
      <c r="L92" s="94">
        <f t="shared" si="34"/>
        <v>1981.44</v>
      </c>
      <c r="M92" s="94">
        <f t="shared" si="34"/>
        <v>1949.2399999999998</v>
      </c>
      <c r="N92" s="94">
        <f t="shared" si="34"/>
        <v>1933.4399999999998</v>
      </c>
      <c r="O92" s="94">
        <f t="shared" si="34"/>
        <v>3.54</v>
      </c>
      <c r="P92" s="94">
        <f t="shared" si="34"/>
        <v>1924.04</v>
      </c>
      <c r="Q92" s="94">
        <f t="shared" si="34"/>
        <v>1977.64</v>
      </c>
      <c r="R92" s="94">
        <f t="shared" ref="R92" si="36">R91-R99</f>
        <v>1981.8400000000001</v>
      </c>
      <c r="S92" s="94">
        <f t="shared" si="34"/>
        <v>1981.8400000000001</v>
      </c>
      <c r="T92" s="94">
        <f t="shared" si="34"/>
        <v>20.54</v>
      </c>
      <c r="U92" s="94">
        <f t="shared" si="34"/>
        <v>1957.0400000000002</v>
      </c>
      <c r="V92" s="94">
        <f t="shared" si="34"/>
        <v>1969.64</v>
      </c>
      <c r="W92" s="94">
        <f t="shared" si="34"/>
        <v>1969.64</v>
      </c>
      <c r="X92" s="94">
        <f t="shared" si="34"/>
        <v>1993.2400000000002</v>
      </c>
      <c r="Y92" s="94">
        <f t="shared" si="34"/>
        <v>1976.2400000000002</v>
      </c>
      <c r="Z92" s="94">
        <f t="shared" si="34"/>
        <v>2032.7400000000002</v>
      </c>
      <c r="AA92" s="94">
        <f t="shared" si="34"/>
        <v>2106.0400000000004</v>
      </c>
      <c r="AB92" s="94">
        <f t="shared" si="34"/>
        <v>2119.5400000000004</v>
      </c>
      <c r="AC92" s="94">
        <f t="shared" si="34"/>
        <v>2140.9400000000005</v>
      </c>
      <c r="AD92" s="94">
        <f t="shared" si="34"/>
        <v>2120.2400000000007</v>
      </c>
      <c r="AE92" s="94">
        <f t="shared" si="34"/>
        <v>2079.7399999999998</v>
      </c>
      <c r="AF92" s="94">
        <f t="shared" si="34"/>
        <v>2020.3400000000004</v>
      </c>
      <c r="AG92" s="87"/>
      <c r="AH92" s="47">
        <f t="shared" si="19"/>
        <v>2140.9400000000005</v>
      </c>
      <c r="AI92" s="48">
        <f t="shared" si="20"/>
        <v>3.54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9"/>
        <v>0</v>
      </c>
      <c r="AI93" s="48">
        <f t="shared" si="20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9"/>
        <v>0</v>
      </c>
      <c r="AI94" s="48">
        <f t="shared" si="20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9"/>
        <v>0</v>
      </c>
      <c r="AI95" s="48">
        <f t="shared" si="20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9"/>
        <v>0</v>
      </c>
      <c r="AI96" s="48">
        <f t="shared" si="20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9"/>
        <v>0</v>
      </c>
      <c r="AI97" s="48">
        <f t="shared" si="20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9"/>
        <v>0</v>
      </c>
      <c r="AI98" s="48">
        <f t="shared" si="20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19"/>
        <v>0</v>
      </c>
      <c r="AI99" s="48">
        <f t="shared" si="20"/>
        <v>0</v>
      </c>
      <c r="AK99" s="50"/>
    </row>
    <row r="100" spans="1:37" ht="15.75" thickBot="1" x14ac:dyDescent="0.3">
      <c r="A100" s="73" t="s">
        <v>108</v>
      </c>
      <c r="B100" s="60">
        <f t="shared" ref="B100" si="37">B84-B99</f>
        <v>5</v>
      </c>
      <c r="C100" s="60">
        <f t="shared" ref="C100:AF100" si="38">C84-C99</f>
        <v>5</v>
      </c>
      <c r="D100" s="60">
        <f t="shared" ref="D100" si="39">D84-D99</f>
        <v>45</v>
      </c>
      <c r="E100" s="60">
        <f t="shared" si="38"/>
        <v>6.9</v>
      </c>
      <c r="F100" s="60">
        <f t="shared" si="38"/>
        <v>0</v>
      </c>
      <c r="G100" s="60">
        <f t="shared" si="38"/>
        <v>0</v>
      </c>
      <c r="H100" s="60">
        <f t="shared" si="38"/>
        <v>0</v>
      </c>
      <c r="I100" s="60">
        <f t="shared" si="38"/>
        <v>0</v>
      </c>
      <c r="J100" s="60">
        <f t="shared" si="38"/>
        <v>0</v>
      </c>
      <c r="K100" s="60">
        <f t="shared" si="38"/>
        <v>0</v>
      </c>
      <c r="L100" s="60">
        <f t="shared" si="38"/>
        <v>0</v>
      </c>
      <c r="M100" s="60">
        <f t="shared" si="38"/>
        <v>0</v>
      </c>
      <c r="N100" s="60">
        <f t="shared" si="38"/>
        <v>10</v>
      </c>
      <c r="O100" s="60">
        <f t="shared" si="38"/>
        <v>0</v>
      </c>
      <c r="P100" s="60">
        <f t="shared" si="38"/>
        <v>15</v>
      </c>
      <c r="Q100" s="60">
        <f t="shared" si="38"/>
        <v>5</v>
      </c>
      <c r="R100" s="60">
        <f t="shared" ref="R100" si="40">R84-R99</f>
        <v>5</v>
      </c>
      <c r="S100" s="60">
        <f t="shared" si="38"/>
        <v>5</v>
      </c>
      <c r="T100" s="60">
        <f t="shared" si="38"/>
        <v>0</v>
      </c>
      <c r="U100" s="60">
        <f t="shared" si="38"/>
        <v>5</v>
      </c>
      <c r="V100" s="60">
        <f t="shared" si="38"/>
        <v>5</v>
      </c>
      <c r="W100" s="60">
        <f t="shared" si="38"/>
        <v>5</v>
      </c>
      <c r="X100" s="60">
        <f t="shared" si="38"/>
        <v>5</v>
      </c>
      <c r="Y100" s="60">
        <f t="shared" si="38"/>
        <v>5</v>
      </c>
      <c r="Z100" s="60">
        <f t="shared" si="38"/>
        <v>5</v>
      </c>
      <c r="AA100" s="60">
        <f t="shared" si="38"/>
        <v>11.8</v>
      </c>
      <c r="AB100" s="60">
        <f t="shared" si="38"/>
        <v>19.899999999999999</v>
      </c>
      <c r="AC100" s="60">
        <f t="shared" si="38"/>
        <v>25.9</v>
      </c>
      <c r="AD100" s="60">
        <f t="shared" si="38"/>
        <v>28.3</v>
      </c>
      <c r="AE100" s="60">
        <f t="shared" si="38"/>
        <v>22.9</v>
      </c>
      <c r="AF100" s="60">
        <f t="shared" si="38"/>
        <v>15.9</v>
      </c>
      <c r="AG100" s="87"/>
      <c r="AH100" s="47">
        <f t="shared" si="19"/>
        <v>45</v>
      </c>
      <c r="AI100" s="48">
        <f t="shared" si="20"/>
        <v>0</v>
      </c>
    </row>
    <row r="101" spans="1:37" x14ac:dyDescent="0.25">
      <c r="A101" s="99" t="s">
        <v>109</v>
      </c>
      <c r="B101" s="100">
        <v>50.037999999999997</v>
      </c>
      <c r="C101" s="100">
        <v>50.034999999999997</v>
      </c>
      <c r="D101" s="100">
        <v>49.976999999999997</v>
      </c>
      <c r="E101" s="100">
        <v>49.984999999999999</v>
      </c>
      <c r="F101" s="100">
        <v>50.006</v>
      </c>
      <c r="G101" s="100">
        <v>49.85</v>
      </c>
      <c r="H101" s="100">
        <v>49.996000000000002</v>
      </c>
      <c r="I101" s="100">
        <v>49.991999999999997</v>
      </c>
      <c r="J101" s="100">
        <v>49.755000000000003</v>
      </c>
      <c r="K101" s="100">
        <v>49.91</v>
      </c>
      <c r="L101" s="100">
        <v>50.01</v>
      </c>
      <c r="M101" s="100">
        <v>50.029000000000003</v>
      </c>
      <c r="N101" s="100">
        <v>50.027999999999999</v>
      </c>
      <c r="O101" s="100"/>
      <c r="P101" s="100">
        <v>49.97</v>
      </c>
      <c r="Q101" s="100">
        <v>50.002000000000002</v>
      </c>
      <c r="R101" s="100">
        <v>50.027000000000001</v>
      </c>
      <c r="S101" s="100">
        <v>50.09</v>
      </c>
      <c r="T101" s="100"/>
      <c r="U101" s="100">
        <v>49.987000000000002</v>
      </c>
      <c r="V101" s="100">
        <v>50.045000000000002</v>
      </c>
      <c r="W101" s="100">
        <v>50.045000000000002</v>
      </c>
      <c r="X101" s="100">
        <v>49.954999999999998</v>
      </c>
      <c r="Y101" s="100">
        <v>49.777999999999999</v>
      </c>
      <c r="Z101" s="100">
        <v>50.014000000000003</v>
      </c>
      <c r="AA101" s="100">
        <v>49.898000000000003</v>
      </c>
      <c r="AB101" s="100">
        <v>49.984999999999999</v>
      </c>
      <c r="AC101" s="100">
        <v>50.036999999999999</v>
      </c>
      <c r="AD101" s="100">
        <v>50.036999999999999</v>
      </c>
      <c r="AE101" s="100">
        <v>50.058999999999997</v>
      </c>
      <c r="AF101" s="100">
        <v>49.975999999999999</v>
      </c>
      <c r="AG101" s="101"/>
      <c r="AH101" s="47">
        <f t="shared" si="19"/>
        <v>50.09</v>
      </c>
      <c r="AI101" s="48">
        <f t="shared" si="20"/>
        <v>49.755000000000003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9"/>
        <v>0</v>
      </c>
      <c r="AI102" s="48">
        <f t="shared" si="20"/>
        <v>0</v>
      </c>
    </row>
    <row r="103" spans="1:37" x14ac:dyDescent="0.25">
      <c r="A103" s="102" t="s">
        <v>111</v>
      </c>
      <c r="B103" s="64">
        <v>127.2</v>
      </c>
      <c r="C103" s="64">
        <v>128.30000000000001</v>
      </c>
      <c r="D103" s="64">
        <v>128.30000000000001</v>
      </c>
      <c r="E103" s="64">
        <v>129.19999999999999</v>
      </c>
      <c r="F103" s="64">
        <v>128.30000000000001</v>
      </c>
      <c r="G103" s="64">
        <v>130.30000000000001</v>
      </c>
      <c r="H103" s="64">
        <v>129.1</v>
      </c>
      <c r="I103" s="64">
        <v>128.19999999999999</v>
      </c>
      <c r="J103" s="64">
        <v>127.7</v>
      </c>
      <c r="K103" s="64">
        <v>127</v>
      </c>
      <c r="L103" s="64">
        <v>126.4</v>
      </c>
      <c r="M103" s="64">
        <v>125.1</v>
      </c>
      <c r="N103" s="64">
        <v>124.8</v>
      </c>
      <c r="O103" s="64"/>
      <c r="P103" s="64">
        <v>124.4</v>
      </c>
      <c r="Q103" s="64">
        <v>125.1</v>
      </c>
      <c r="R103" s="64">
        <v>126.8</v>
      </c>
      <c r="S103" s="64">
        <v>125</v>
      </c>
      <c r="T103" s="64"/>
      <c r="U103" s="64">
        <v>123.8</v>
      </c>
      <c r="V103" s="64">
        <v>127.3</v>
      </c>
      <c r="W103" s="64">
        <v>127.3</v>
      </c>
      <c r="X103" s="64">
        <v>127.5</v>
      </c>
      <c r="Y103" s="64">
        <v>124.8</v>
      </c>
      <c r="Z103" s="64">
        <v>124.9</v>
      </c>
      <c r="AA103" s="64">
        <v>123.2</v>
      </c>
      <c r="AB103" s="64">
        <v>127.6</v>
      </c>
      <c r="AC103" s="64">
        <v>128.69999999999999</v>
      </c>
      <c r="AD103" s="64">
        <v>128.69999999999999</v>
      </c>
      <c r="AE103" s="64">
        <v>127.7</v>
      </c>
      <c r="AF103" s="64">
        <v>127.5</v>
      </c>
      <c r="AG103" s="103"/>
      <c r="AH103" s="47">
        <f t="shared" si="19"/>
        <v>130.30000000000001</v>
      </c>
      <c r="AI103" s="48">
        <f t="shared" si="20"/>
        <v>123.2</v>
      </c>
    </row>
    <row r="104" spans="1:37" x14ac:dyDescent="0.25">
      <c r="A104" s="102" t="s">
        <v>112</v>
      </c>
      <c r="B104" s="64">
        <v>127.8</v>
      </c>
      <c r="C104" s="64">
        <v>128.19999999999999</v>
      </c>
      <c r="D104" s="64">
        <v>128.19999999999999</v>
      </c>
      <c r="E104" s="64">
        <v>129.30000000000001</v>
      </c>
      <c r="F104" s="64">
        <v>131.1</v>
      </c>
      <c r="G104" s="64">
        <v>130.5</v>
      </c>
      <c r="H104" s="64">
        <v>130.69999999999999</v>
      </c>
      <c r="I104" s="64">
        <v>131.80000000000001</v>
      </c>
      <c r="J104" s="64">
        <v>131.9</v>
      </c>
      <c r="K104" s="64">
        <v>129.69999999999999</v>
      </c>
      <c r="L104" s="64">
        <v>129.9</v>
      </c>
      <c r="M104" s="64">
        <v>128</v>
      </c>
      <c r="N104" s="64">
        <v>129.19999999999999</v>
      </c>
      <c r="O104" s="64"/>
      <c r="P104" s="64">
        <v>129.80000000000001</v>
      </c>
      <c r="Q104" s="64">
        <v>130.30000000000001</v>
      </c>
      <c r="R104" s="64">
        <v>128.6</v>
      </c>
      <c r="S104" s="64">
        <v>127</v>
      </c>
      <c r="T104" s="64"/>
      <c r="U104" s="64">
        <v>130</v>
      </c>
      <c r="V104" s="64">
        <v>132</v>
      </c>
      <c r="W104" s="64">
        <v>132</v>
      </c>
      <c r="X104" s="64">
        <v>129.9</v>
      </c>
      <c r="Y104" s="64">
        <v>124.9</v>
      </c>
      <c r="Z104" s="64">
        <v>128.1</v>
      </c>
      <c r="AA104" s="64">
        <v>123.1</v>
      </c>
      <c r="AB104" s="64">
        <v>129.1</v>
      </c>
      <c r="AC104" s="64">
        <v>124.6</v>
      </c>
      <c r="AD104" s="64">
        <v>124.6</v>
      </c>
      <c r="AE104" s="64">
        <v>125.5</v>
      </c>
      <c r="AF104" s="64">
        <v>127.6</v>
      </c>
      <c r="AG104" s="103"/>
      <c r="AH104" s="47">
        <f t="shared" si="19"/>
        <v>132</v>
      </c>
      <c r="AI104" s="48">
        <f t="shared" si="20"/>
        <v>123.1</v>
      </c>
    </row>
    <row r="105" spans="1:37" x14ac:dyDescent="0.25">
      <c r="A105" s="104" t="s">
        <v>113</v>
      </c>
      <c r="B105" s="64">
        <v>131</v>
      </c>
      <c r="C105" s="64">
        <v>131.5</v>
      </c>
      <c r="D105" s="64">
        <v>131.5</v>
      </c>
      <c r="E105" s="64">
        <v>132.80000000000001</v>
      </c>
      <c r="F105" s="64">
        <v>133.80000000000001</v>
      </c>
      <c r="G105" s="64">
        <v>133.69999999999999</v>
      </c>
      <c r="H105" s="64">
        <v>133.6</v>
      </c>
      <c r="I105" s="64">
        <v>134</v>
      </c>
      <c r="J105" s="64">
        <v>133.6</v>
      </c>
      <c r="K105" s="64">
        <v>131.6</v>
      </c>
      <c r="L105" s="64">
        <v>131.5</v>
      </c>
      <c r="M105" s="64">
        <v>128.80000000000001</v>
      </c>
      <c r="N105" s="64">
        <v>129.5</v>
      </c>
      <c r="O105" s="64"/>
      <c r="P105" s="64">
        <v>132.19999999999999</v>
      </c>
      <c r="Q105" s="64">
        <v>132.6</v>
      </c>
      <c r="R105" s="64">
        <v>130.9</v>
      </c>
      <c r="S105" s="64">
        <v>126</v>
      </c>
      <c r="T105" s="64"/>
      <c r="U105" s="64">
        <v>131.9</v>
      </c>
      <c r="V105" s="64">
        <v>132.80000000000001</v>
      </c>
      <c r="W105" s="64">
        <v>132.80000000000001</v>
      </c>
      <c r="X105" s="64">
        <v>131.69999999999999</v>
      </c>
      <c r="Y105" s="64">
        <v>127</v>
      </c>
      <c r="Z105" s="64">
        <v>128.19999999999999</v>
      </c>
      <c r="AA105" s="64">
        <v>124.3</v>
      </c>
      <c r="AB105" s="64">
        <v>130.5</v>
      </c>
      <c r="AC105" s="64">
        <v>126.5</v>
      </c>
      <c r="AD105" s="64">
        <v>126.5</v>
      </c>
      <c r="AE105" s="64">
        <v>128.6</v>
      </c>
      <c r="AF105" s="64">
        <v>130</v>
      </c>
      <c r="AG105" s="103"/>
      <c r="AH105" s="47">
        <f t="shared" si="19"/>
        <v>134</v>
      </c>
      <c r="AI105" s="48">
        <f t="shared" si="20"/>
        <v>124.3</v>
      </c>
    </row>
    <row r="106" spans="1:37" x14ac:dyDescent="0.25">
      <c r="A106" s="104" t="s">
        <v>114</v>
      </c>
      <c r="B106" s="105">
        <v>129.6</v>
      </c>
      <c r="C106" s="105">
        <v>132.80000000000001</v>
      </c>
      <c r="D106" s="105">
        <v>132.80000000000001</v>
      </c>
      <c r="E106" s="105">
        <v>132.19999999999999</v>
      </c>
      <c r="F106" s="105">
        <v>130.6</v>
      </c>
      <c r="G106" s="105">
        <v>132.69999999999999</v>
      </c>
      <c r="H106" s="105">
        <v>132.1</v>
      </c>
      <c r="I106" s="105">
        <v>130.5</v>
      </c>
      <c r="J106" s="105">
        <v>132.1</v>
      </c>
      <c r="K106" s="105">
        <v>130.80000000000001</v>
      </c>
      <c r="L106" s="105">
        <v>133.9</v>
      </c>
      <c r="M106" s="105">
        <v>131.9</v>
      </c>
      <c r="N106" s="105">
        <v>132.1</v>
      </c>
      <c r="O106" s="105"/>
      <c r="P106" s="105">
        <v>128.5</v>
      </c>
      <c r="Q106" s="105">
        <v>131.30000000000001</v>
      </c>
      <c r="R106" s="105">
        <v>132.6</v>
      </c>
      <c r="S106" s="105">
        <v>131</v>
      </c>
      <c r="T106" s="105"/>
      <c r="U106" s="105">
        <v>133.1</v>
      </c>
      <c r="V106" s="105">
        <v>130.9</v>
      </c>
      <c r="W106" s="105">
        <v>130.9</v>
      </c>
      <c r="X106" s="105">
        <v>134.6</v>
      </c>
      <c r="Y106" s="105">
        <v>132</v>
      </c>
      <c r="Z106" s="105">
        <v>135.30000000000001</v>
      </c>
      <c r="AA106" s="105">
        <v>129.5</v>
      </c>
      <c r="AB106" s="105">
        <v>130.4</v>
      </c>
      <c r="AC106" s="105">
        <v>134.4</v>
      </c>
      <c r="AD106" s="105">
        <v>134.4</v>
      </c>
      <c r="AE106" s="105">
        <v>129.4</v>
      </c>
      <c r="AF106" s="105">
        <v>128.19999999999999</v>
      </c>
      <c r="AG106" s="106"/>
      <c r="AH106" s="47">
        <f t="shared" si="19"/>
        <v>135.30000000000001</v>
      </c>
      <c r="AI106" s="48">
        <f t="shared" si="20"/>
        <v>128.19999999999999</v>
      </c>
    </row>
    <row r="107" spans="1:37" x14ac:dyDescent="0.25">
      <c r="A107" s="102" t="s">
        <v>115</v>
      </c>
      <c r="B107" s="64">
        <v>127.2</v>
      </c>
      <c r="C107" s="64">
        <v>134.30000000000001</v>
      </c>
      <c r="D107" s="64">
        <v>134.30000000000001</v>
      </c>
      <c r="E107" s="64">
        <v>135.5</v>
      </c>
      <c r="F107" s="64">
        <v>132</v>
      </c>
      <c r="G107" s="64">
        <v>136.1</v>
      </c>
      <c r="H107" s="64">
        <v>133.69999999999999</v>
      </c>
      <c r="I107" s="64">
        <v>130.9</v>
      </c>
      <c r="J107" s="64">
        <v>132.1</v>
      </c>
      <c r="K107" s="64">
        <v>126.6</v>
      </c>
      <c r="L107" s="64">
        <v>132.4</v>
      </c>
      <c r="M107" s="64">
        <v>124.8</v>
      </c>
      <c r="N107" s="64">
        <v>130.5</v>
      </c>
      <c r="O107" s="64"/>
      <c r="P107" s="64">
        <v>131.4</v>
      </c>
      <c r="Q107" s="64">
        <v>131.4</v>
      </c>
      <c r="R107" s="64"/>
      <c r="S107" s="64">
        <v>131</v>
      </c>
      <c r="T107" s="64"/>
      <c r="U107" s="64">
        <v>123.3</v>
      </c>
      <c r="V107" s="64">
        <v>128.6</v>
      </c>
      <c r="W107" s="64">
        <v>128.6</v>
      </c>
      <c r="X107" s="64">
        <v>128.1</v>
      </c>
      <c r="Y107" s="64">
        <v>127.8</v>
      </c>
      <c r="Z107" s="64">
        <v>126.3</v>
      </c>
      <c r="AA107" s="64">
        <v>129.5</v>
      </c>
      <c r="AB107" s="64">
        <v>130.9</v>
      </c>
      <c r="AC107" s="64">
        <v>126.6</v>
      </c>
      <c r="AD107" s="64">
        <v>126.6</v>
      </c>
      <c r="AE107" s="64">
        <v>127.3</v>
      </c>
      <c r="AF107" s="64">
        <v>131.1</v>
      </c>
      <c r="AG107" s="103"/>
      <c r="AH107" s="47">
        <f t="shared" si="19"/>
        <v>136.1</v>
      </c>
      <c r="AI107" s="48">
        <f t="shared" si="20"/>
        <v>123.3</v>
      </c>
    </row>
    <row r="108" spans="1:37" ht="15.75" thickBot="1" x14ac:dyDescent="0.3">
      <c r="A108" s="102" t="s">
        <v>116</v>
      </c>
      <c r="B108" s="91">
        <v>64.2</v>
      </c>
      <c r="C108" s="91">
        <v>64.900000000000006</v>
      </c>
      <c r="D108" s="91">
        <v>64.900000000000006</v>
      </c>
      <c r="E108" s="91">
        <v>65.2</v>
      </c>
      <c r="F108" s="91">
        <v>64.7</v>
      </c>
      <c r="G108" s="91">
        <v>65.5</v>
      </c>
      <c r="H108" s="91">
        <v>65.099999999999994</v>
      </c>
      <c r="I108" s="91">
        <v>64.400000000000006</v>
      </c>
      <c r="J108" s="91">
        <v>64</v>
      </c>
      <c r="K108" s="91">
        <v>63.6</v>
      </c>
      <c r="L108" s="91">
        <v>63.3</v>
      </c>
      <c r="M108" s="91">
        <v>62.9</v>
      </c>
      <c r="N108" s="91">
        <v>62.6</v>
      </c>
      <c r="O108" s="91"/>
      <c r="P108" s="91">
        <v>61.9</v>
      </c>
      <c r="Q108" s="91">
        <v>62</v>
      </c>
      <c r="R108" s="91">
        <v>63.4</v>
      </c>
      <c r="S108" s="91">
        <v>62.3</v>
      </c>
      <c r="T108" s="91"/>
      <c r="U108" s="91">
        <v>61.6</v>
      </c>
      <c r="V108" s="91">
        <v>63.9</v>
      </c>
      <c r="W108" s="91">
        <v>63.9</v>
      </c>
      <c r="X108" s="91">
        <v>64</v>
      </c>
      <c r="Y108" s="91">
        <v>62.8</v>
      </c>
      <c r="Z108" s="91">
        <v>62.7</v>
      </c>
      <c r="AA108" s="91">
        <v>62</v>
      </c>
      <c r="AB108" s="91">
        <v>64.3</v>
      </c>
      <c r="AC108" s="91">
        <v>65</v>
      </c>
      <c r="AD108" s="91">
        <v>65</v>
      </c>
      <c r="AE108" s="91">
        <v>64.400000000000006</v>
      </c>
      <c r="AF108" s="91">
        <v>64.099999999999994</v>
      </c>
      <c r="AG108" s="107"/>
      <c r="AH108" s="47">
        <f t="shared" si="19"/>
        <v>65.5</v>
      </c>
      <c r="AI108" s="48">
        <f t="shared" si="20"/>
        <v>61.6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19"/>
        <v>0</v>
      </c>
      <c r="AI109" s="48">
        <f t="shared" si="20"/>
        <v>0</v>
      </c>
    </row>
    <row r="110" spans="1:37" ht="15.75" thickBot="1" x14ac:dyDescent="0.3">
      <c r="A110" s="109" t="s">
        <v>118</v>
      </c>
      <c r="B110" s="110">
        <f t="shared" ref="B110" si="41">SUM(B20,B26,B29:B30,B58,B60:B61,B63,B65,B111:B115,B138,B144,B150,B159,B161,B173,B180,B183:B184,B191,B193,B195,B199:B201,B203:B205,B210,B216:B217,B219:B221,B229,B234)</f>
        <v>110.90000000000002</v>
      </c>
      <c r="C110" s="110">
        <f t="shared" ref="C110:O110" si="42">SUM(C20,C26,C29:C30,C58,C60:C61,C63,C65,C111:C115,C138,C144,C150,C159,C161,C173,C180,C183:C184,C191,C193,C195,C199:C201,C203:C205,C210,C216:C217,C219:C221,C229,C234)</f>
        <v>54.039999999999992</v>
      </c>
      <c r="D110" s="110">
        <f t="shared" ref="D110" si="43">SUM(D20,D26,D29:D30,D58,D60:D61,D63,D65,D111:D115,D138,D144,D150,D159,D161,D173,D180,D183:D184,D191,D193,D195,D199:D201,D203:D205,D210,D216:D217,D219:D221,D229,D234)</f>
        <v>45.639999999999986</v>
      </c>
      <c r="E110" s="110">
        <f t="shared" si="42"/>
        <v>38.94</v>
      </c>
      <c r="F110" s="110">
        <f t="shared" si="42"/>
        <v>40.139999999999986</v>
      </c>
      <c r="G110" s="110">
        <f t="shared" si="42"/>
        <v>54.94</v>
      </c>
      <c r="H110" s="110">
        <f t="shared" si="42"/>
        <v>72.339999999999989</v>
      </c>
      <c r="I110" s="110">
        <f t="shared" si="42"/>
        <v>119.04000000000002</v>
      </c>
      <c r="J110" s="110">
        <f t="shared" si="42"/>
        <v>125.53999999999996</v>
      </c>
      <c r="K110" s="110">
        <f t="shared" si="42"/>
        <v>162.84</v>
      </c>
      <c r="L110" s="110">
        <f t="shared" si="42"/>
        <v>194.33999999999997</v>
      </c>
      <c r="M110" s="110">
        <f t="shared" si="42"/>
        <v>183.04</v>
      </c>
      <c r="N110" s="110">
        <f t="shared" si="42"/>
        <v>179.54000000000002</v>
      </c>
      <c r="O110" s="110">
        <f t="shared" si="42"/>
        <v>0.94</v>
      </c>
      <c r="P110" s="110">
        <v>42</v>
      </c>
      <c r="Q110" s="110">
        <f t="shared" ref="Q110:AF110" si="44">SUM(Q20,Q26,Q29:Q30,Q58,Q60:Q61,Q63,Q65,Q111:Q115,Q138,Q144,Q150,Q159,Q161,Q173,Q180,Q183:Q184,Q191,Q193,Q195,Q199:Q201,Q203:Q205,Q210,Q216:Q217,Q219:Q221,Q229,Q234)</f>
        <v>216.1</v>
      </c>
      <c r="R110" s="110">
        <f t="shared" ref="R110" si="45">SUM(R20,R26,R29:R30,R58,R60:R61,R63,R65,R111:R115,R138,R144,R150,R159,R161,R173,R180,R183:R184,R191,R193,R195,R199:R201,R203:R205,R210,R216:R217,R219:R221,R229,R234)</f>
        <v>205.19999999999996</v>
      </c>
      <c r="S110" s="110">
        <f t="shared" si="44"/>
        <v>214.1</v>
      </c>
      <c r="T110" s="110">
        <f t="shared" si="44"/>
        <v>0</v>
      </c>
      <c r="U110" s="110">
        <f t="shared" si="44"/>
        <v>279.39999999999998</v>
      </c>
      <c r="V110" s="110">
        <f t="shared" si="44"/>
        <v>181.20000000000002</v>
      </c>
      <c r="W110" s="110">
        <f t="shared" si="44"/>
        <v>181.20000000000002</v>
      </c>
      <c r="X110" s="110">
        <f>SUM(X20,X26,X29:X30,X58,X60:X61,X63,X65,X111:X115,X138,X144,X150,X159,X161,X173,X180,X183:X184,X191,X193,X195,X199:X201,X203:X205,X210,X216:X217,X219:X221,X229,X234)</f>
        <v>197.20000000000002</v>
      </c>
      <c r="Y110" s="110">
        <f t="shared" si="44"/>
        <v>215.40000000000003</v>
      </c>
      <c r="Z110" s="110">
        <f t="shared" si="44"/>
        <v>254.9</v>
      </c>
      <c r="AA110" s="110">
        <f t="shared" si="44"/>
        <v>273.20000000000005</v>
      </c>
      <c r="AB110" s="110">
        <f t="shared" si="44"/>
        <v>251.9</v>
      </c>
      <c r="AC110" s="110">
        <f t="shared" si="44"/>
        <v>235.10000000000002</v>
      </c>
      <c r="AD110" s="110">
        <f t="shared" si="44"/>
        <v>213.10000000000002</v>
      </c>
      <c r="AE110" s="110">
        <f t="shared" si="44"/>
        <v>177.39999999999998</v>
      </c>
      <c r="AF110" s="110">
        <f t="shared" si="44"/>
        <v>120.79999999999998</v>
      </c>
      <c r="AG110" s="111"/>
      <c r="AH110" s="47">
        <f t="shared" si="19"/>
        <v>279.39999999999998</v>
      </c>
      <c r="AI110" s="48">
        <f t="shared" si="20"/>
        <v>0</v>
      </c>
    </row>
    <row r="111" spans="1:37" x14ac:dyDescent="0.25">
      <c r="A111" s="99" t="s">
        <v>119</v>
      </c>
      <c r="B111" s="112">
        <v>43.2</v>
      </c>
      <c r="C111" s="112">
        <v>42.1</v>
      </c>
      <c r="D111" s="112">
        <v>26.3</v>
      </c>
      <c r="E111" s="112">
        <v>38.6</v>
      </c>
      <c r="F111" s="112">
        <v>37.9</v>
      </c>
      <c r="G111" s="112">
        <v>21.4</v>
      </c>
      <c r="H111" s="112">
        <v>42.8</v>
      </c>
      <c r="I111" s="112">
        <v>35.1</v>
      </c>
      <c r="J111" s="112">
        <v>40.4</v>
      </c>
      <c r="K111" s="112">
        <v>36.700000000000003</v>
      </c>
      <c r="L111" s="112">
        <v>50.3</v>
      </c>
      <c r="M111" s="112">
        <v>48.5</v>
      </c>
      <c r="N111" s="112">
        <v>42.8</v>
      </c>
      <c r="O111" s="112"/>
      <c r="P111" s="112">
        <v>47</v>
      </c>
      <c r="Q111" s="112">
        <v>37.9</v>
      </c>
      <c r="R111" s="112">
        <v>32.299999999999997</v>
      </c>
      <c r="S111" s="112">
        <v>53.6</v>
      </c>
      <c r="T111" s="112"/>
      <c r="U111" s="112">
        <v>30.8</v>
      </c>
      <c r="V111" s="112">
        <v>25.8</v>
      </c>
      <c r="W111" s="112">
        <v>25.8</v>
      </c>
      <c r="X111" s="112">
        <v>50.7</v>
      </c>
      <c r="Y111" s="112">
        <v>47.3</v>
      </c>
      <c r="Z111" s="112">
        <v>63</v>
      </c>
      <c r="AA111" s="112">
        <v>62</v>
      </c>
      <c r="AB111" s="112">
        <v>54.5</v>
      </c>
      <c r="AC111" s="112">
        <v>55</v>
      </c>
      <c r="AD111" s="112">
        <v>55</v>
      </c>
      <c r="AE111" s="112">
        <v>66</v>
      </c>
      <c r="AF111" s="112">
        <v>60.4</v>
      </c>
      <c r="AG111" s="113">
        <v>75</v>
      </c>
      <c r="AH111" s="47">
        <f t="shared" si="19"/>
        <v>66</v>
      </c>
      <c r="AI111" s="48">
        <f t="shared" si="20"/>
        <v>21.4</v>
      </c>
    </row>
    <row r="112" spans="1:37" x14ac:dyDescent="0.25">
      <c r="A112" s="102" t="s">
        <v>120</v>
      </c>
      <c r="B112" s="114">
        <v>67.3</v>
      </c>
      <c r="C112" s="114">
        <v>73.3</v>
      </c>
      <c r="D112" s="114">
        <v>42.3</v>
      </c>
      <c r="E112" s="114">
        <v>62.2</v>
      </c>
      <c r="F112" s="114">
        <v>60.1</v>
      </c>
      <c r="G112" s="114">
        <v>38</v>
      </c>
      <c r="H112" s="114">
        <v>68.599999999999994</v>
      </c>
      <c r="I112" s="114">
        <v>54.4</v>
      </c>
      <c r="J112" s="114">
        <v>59.2</v>
      </c>
      <c r="K112" s="114">
        <v>50.3</v>
      </c>
      <c r="L112" s="114">
        <v>69</v>
      </c>
      <c r="M112" s="114">
        <v>65.2</v>
      </c>
      <c r="N112" s="114">
        <v>56.7</v>
      </c>
      <c r="O112" s="114"/>
      <c r="P112" s="114">
        <v>35</v>
      </c>
      <c r="Q112" s="114">
        <v>52.6</v>
      </c>
      <c r="R112" s="114">
        <v>45</v>
      </c>
      <c r="S112" s="114">
        <v>38</v>
      </c>
      <c r="T112" s="114"/>
      <c r="U112" s="114">
        <v>43.4</v>
      </c>
      <c r="V112" s="114">
        <v>37.799999999999997</v>
      </c>
      <c r="W112" s="114">
        <v>37.799999999999997</v>
      </c>
      <c r="X112" s="114">
        <v>73.8</v>
      </c>
      <c r="Y112" s="114">
        <v>69.8</v>
      </c>
      <c r="Z112" s="114">
        <v>91.5</v>
      </c>
      <c r="AA112" s="114">
        <v>91</v>
      </c>
      <c r="AB112" s="114">
        <v>89.5</v>
      </c>
      <c r="AC112" s="114">
        <v>80.5</v>
      </c>
      <c r="AD112" s="114">
        <v>80.5</v>
      </c>
      <c r="AE112" s="114">
        <v>103.6</v>
      </c>
      <c r="AF112" s="114">
        <v>89</v>
      </c>
      <c r="AG112" s="113">
        <v>240</v>
      </c>
      <c r="AH112" s="47">
        <f t="shared" si="19"/>
        <v>103.6</v>
      </c>
      <c r="AI112" s="48">
        <f t="shared" si="20"/>
        <v>35</v>
      </c>
    </row>
    <row r="113" spans="1:37" x14ac:dyDescent="0.25">
      <c r="A113" s="102" t="s">
        <v>121</v>
      </c>
      <c r="B113" s="114">
        <v>-186</v>
      </c>
      <c r="C113" s="114">
        <v>-198.9</v>
      </c>
      <c r="D113" s="114">
        <v>-157</v>
      </c>
      <c r="E113" s="114">
        <f>-90.2-95.9</f>
        <v>-186.10000000000002</v>
      </c>
      <c r="F113" s="114">
        <f>-89.8-95.2</f>
        <v>-185</v>
      </c>
      <c r="G113" s="114">
        <f>-66.5-71.2</f>
        <v>-137.69999999999999</v>
      </c>
      <c r="H113" s="114">
        <f>-82.1-88.1</f>
        <v>-170.2</v>
      </c>
      <c r="I113" s="114">
        <f>-54-59.1</f>
        <v>-113.1</v>
      </c>
      <c r="J113" s="114">
        <f>-53.6-58.2</f>
        <v>-111.80000000000001</v>
      </c>
      <c r="K113" s="114">
        <f>-32.6-35.4</f>
        <v>-68</v>
      </c>
      <c r="L113" s="114">
        <f>-43.1-48.7</f>
        <v>-91.800000000000011</v>
      </c>
      <c r="M113" s="114">
        <f>-43.8-48.4</f>
        <v>-92.199999999999989</v>
      </c>
      <c r="N113" s="114">
        <f>-41-44</f>
        <v>-85</v>
      </c>
      <c r="O113" s="114"/>
      <c r="P113" s="114">
        <v>-39.9</v>
      </c>
      <c r="Q113" s="114">
        <f>-26.9-29.7</f>
        <v>-56.599999999999994</v>
      </c>
      <c r="R113" s="114">
        <v>-52.8</v>
      </c>
      <c r="S113" s="114">
        <v>-60</v>
      </c>
      <c r="T113" s="114"/>
      <c r="U113" s="114">
        <v>-54</v>
      </c>
      <c r="V113" s="114">
        <v>-100</v>
      </c>
      <c r="W113" s="114">
        <v>-100</v>
      </c>
      <c r="X113" s="114">
        <v>-110</v>
      </c>
      <c r="Y113" s="114">
        <v>-80</v>
      </c>
      <c r="Z113" s="114">
        <v>-87</v>
      </c>
      <c r="AA113" s="114">
        <v>-86</v>
      </c>
      <c r="AB113" s="114">
        <f>-43.8-48.8</f>
        <v>-92.6</v>
      </c>
      <c r="AC113" s="114">
        <v>-105</v>
      </c>
      <c r="AD113" s="114">
        <v>-105</v>
      </c>
      <c r="AE113" s="114">
        <v>-172</v>
      </c>
      <c r="AF113" s="114">
        <v>-182</v>
      </c>
      <c r="AG113" s="113">
        <v>240</v>
      </c>
      <c r="AH113" s="47">
        <f t="shared" si="19"/>
        <v>-39.9</v>
      </c>
      <c r="AI113" s="48">
        <f t="shared" si="20"/>
        <v>-198.9</v>
      </c>
    </row>
    <row r="114" spans="1:37" x14ac:dyDescent="0.25">
      <c r="A114" s="102" t="s">
        <v>122</v>
      </c>
      <c r="B114" s="114">
        <v>-9.1999999999999993</v>
      </c>
      <c r="C114" s="114">
        <v>-13.5</v>
      </c>
      <c r="D114" s="114">
        <v>-12</v>
      </c>
      <c r="E114" s="114">
        <v>-13.2</v>
      </c>
      <c r="F114" s="114">
        <v>-14.5</v>
      </c>
      <c r="G114" s="114">
        <v>-8.1999999999999993</v>
      </c>
      <c r="H114" s="114">
        <v>-10.7</v>
      </c>
      <c r="I114" s="114">
        <v>1.4</v>
      </c>
      <c r="J114" s="114">
        <v>2.1</v>
      </c>
      <c r="K114" s="114">
        <v>8.1999999999999993</v>
      </c>
      <c r="L114" s="114">
        <v>6</v>
      </c>
      <c r="M114" s="114">
        <v>6.2</v>
      </c>
      <c r="N114" s="114">
        <v>8.6</v>
      </c>
      <c r="O114" s="114"/>
      <c r="P114" s="114">
        <v>24.2</v>
      </c>
      <c r="Q114" s="114">
        <v>14.6</v>
      </c>
      <c r="R114" s="114">
        <v>13.6</v>
      </c>
      <c r="S114" s="114">
        <v>15</v>
      </c>
      <c r="T114" s="114"/>
      <c r="U114" s="114">
        <v>20</v>
      </c>
      <c r="V114" s="114">
        <v>11.7</v>
      </c>
      <c r="W114" s="114">
        <v>11.7</v>
      </c>
      <c r="X114" s="114">
        <v>13.4</v>
      </c>
      <c r="Y114" s="114">
        <v>9</v>
      </c>
      <c r="Z114" s="114">
        <v>9.5</v>
      </c>
      <c r="AA114" s="114">
        <v>18.399999999999999</v>
      </c>
      <c r="AB114" s="114">
        <v>12.2</v>
      </c>
      <c r="AC114" s="114">
        <v>12.3</v>
      </c>
      <c r="AD114" s="114">
        <v>12.3</v>
      </c>
      <c r="AE114" s="114">
        <v>-11.4</v>
      </c>
      <c r="AF114" s="114">
        <v>-12.4</v>
      </c>
      <c r="AG114" s="113">
        <v>60</v>
      </c>
      <c r="AH114" s="47">
        <f t="shared" si="19"/>
        <v>24.2</v>
      </c>
      <c r="AI114" s="48">
        <f t="shared" si="20"/>
        <v>-14.5</v>
      </c>
    </row>
    <row r="115" spans="1:37" x14ac:dyDescent="0.25">
      <c r="A115" s="115" t="s">
        <v>123</v>
      </c>
      <c r="B115" s="116">
        <v>69</v>
      </c>
      <c r="C115" s="116">
        <v>23.5</v>
      </c>
      <c r="D115" s="116">
        <v>24.5</v>
      </c>
      <c r="E115" s="116">
        <v>16.2</v>
      </c>
      <c r="F115" s="116">
        <v>16</v>
      </c>
      <c r="G115" s="116">
        <v>15.8</v>
      </c>
      <c r="H115" s="116">
        <v>15.5</v>
      </c>
      <c r="I115" s="116">
        <v>14.9</v>
      </c>
      <c r="J115" s="116">
        <v>14.9</v>
      </c>
      <c r="K115" s="116">
        <v>15.1</v>
      </c>
      <c r="L115" s="116">
        <v>36.6</v>
      </c>
      <c r="M115" s="116">
        <v>34.6</v>
      </c>
      <c r="N115" s="116">
        <v>35.700000000000003</v>
      </c>
      <c r="O115" s="116"/>
      <c r="P115" s="116">
        <v>35.5</v>
      </c>
      <c r="Q115" s="116">
        <v>36</v>
      </c>
      <c r="R115" s="116">
        <v>36</v>
      </c>
      <c r="S115" s="116">
        <v>36.4</v>
      </c>
      <c r="T115" s="116"/>
      <c r="U115" s="116">
        <v>100.5</v>
      </c>
      <c r="V115" s="116">
        <v>67.2</v>
      </c>
      <c r="W115" s="116">
        <v>67.2</v>
      </c>
      <c r="X115" s="116">
        <v>35</v>
      </c>
      <c r="Y115" s="116">
        <v>35</v>
      </c>
      <c r="Z115" s="116">
        <v>34.1</v>
      </c>
      <c r="AA115" s="116">
        <v>44</v>
      </c>
      <c r="AB115" s="116">
        <v>44</v>
      </c>
      <c r="AC115" s="116">
        <v>48</v>
      </c>
      <c r="AD115" s="116">
        <v>48</v>
      </c>
      <c r="AE115" s="116">
        <v>68.900000000000006</v>
      </c>
      <c r="AF115" s="116">
        <v>58.5</v>
      </c>
      <c r="AG115" s="117">
        <v>120</v>
      </c>
      <c r="AH115" s="47">
        <f t="shared" si="19"/>
        <v>100.5</v>
      </c>
      <c r="AI115" s="48">
        <f t="shared" si="20"/>
        <v>14.9</v>
      </c>
    </row>
    <row r="116" spans="1:37" x14ac:dyDescent="0.25">
      <c r="A116" s="115" t="s">
        <v>124</v>
      </c>
      <c r="B116" s="116">
        <v>72</v>
      </c>
      <c r="C116" s="116">
        <v>47.7</v>
      </c>
      <c r="D116" s="116">
        <v>60</v>
      </c>
      <c r="E116" s="116">
        <v>40</v>
      </c>
      <c r="F116" s="116">
        <v>48.2</v>
      </c>
      <c r="G116" s="116">
        <v>35.4</v>
      </c>
      <c r="H116" s="116">
        <v>36.299999999999997</v>
      </c>
      <c r="I116" s="116">
        <v>63.5</v>
      </c>
      <c r="J116" s="116">
        <v>64.5</v>
      </c>
      <c r="K116" s="116">
        <v>82.9</v>
      </c>
      <c r="L116" s="116">
        <v>81.099999999999994</v>
      </c>
      <c r="M116" s="116">
        <v>75.099999999999994</v>
      </c>
      <c r="N116" s="116">
        <v>101</v>
      </c>
      <c r="O116" s="116"/>
      <c r="P116" s="116">
        <v>90.9</v>
      </c>
      <c r="Q116" s="116">
        <v>93.2</v>
      </c>
      <c r="R116" s="116">
        <v>92.5</v>
      </c>
      <c r="S116" s="116">
        <v>96</v>
      </c>
      <c r="T116" s="116"/>
      <c r="U116" s="116">
        <v>91.5</v>
      </c>
      <c r="V116" s="116">
        <v>60.4</v>
      </c>
      <c r="W116" s="116">
        <v>60.4</v>
      </c>
      <c r="X116" s="116">
        <v>46.6</v>
      </c>
      <c r="Y116" s="116">
        <v>64.3</v>
      </c>
      <c r="Z116" s="116">
        <v>70.400000000000006</v>
      </c>
      <c r="AA116" s="116">
        <v>81.599999999999994</v>
      </c>
      <c r="AB116" s="116">
        <v>70.900000000000006</v>
      </c>
      <c r="AC116" s="116">
        <v>85.3</v>
      </c>
      <c r="AD116" s="116">
        <v>85.3</v>
      </c>
      <c r="AE116" s="116">
        <v>30.3</v>
      </c>
      <c r="AF116" s="116">
        <v>39.1</v>
      </c>
      <c r="AG116" s="117"/>
      <c r="AH116" s="47">
        <f t="shared" si="19"/>
        <v>101</v>
      </c>
      <c r="AI116" s="48">
        <f t="shared" si="20"/>
        <v>30.3</v>
      </c>
    </row>
    <row r="117" spans="1:37" x14ac:dyDescent="0.25">
      <c r="A117" s="115" t="s">
        <v>125</v>
      </c>
      <c r="B117" s="116">
        <v>48.5</v>
      </c>
      <c r="C117" s="116">
        <v>49.3</v>
      </c>
      <c r="D117" s="116">
        <v>39.9</v>
      </c>
      <c r="E117" s="116">
        <v>30.7</v>
      </c>
      <c r="F117" s="116">
        <v>22.4</v>
      </c>
      <c r="G117" s="116">
        <v>17.899999999999999</v>
      </c>
      <c r="H117" s="116">
        <v>21.6</v>
      </c>
      <c r="I117" s="116">
        <v>18.100000000000001</v>
      </c>
      <c r="J117" s="116">
        <v>7</v>
      </c>
      <c r="K117" s="116">
        <v>13.7</v>
      </c>
      <c r="L117" s="116">
        <v>-12.1</v>
      </c>
      <c r="M117" s="116">
        <v>-32.799999999999997</v>
      </c>
      <c r="N117" s="116">
        <v>-18.7</v>
      </c>
      <c r="O117" s="116"/>
      <c r="P117" s="116">
        <v>-18.8</v>
      </c>
      <c r="Q117" s="116">
        <v>-11.1</v>
      </c>
      <c r="R117" s="116">
        <v>-4.0999999999999996</v>
      </c>
      <c r="S117" s="116">
        <v>19</v>
      </c>
      <c r="T117" s="116"/>
      <c r="U117" s="116">
        <v>15.1</v>
      </c>
      <c r="V117" s="116">
        <v>27.4</v>
      </c>
      <c r="W117" s="116">
        <v>27.4</v>
      </c>
      <c r="X117" s="116">
        <v>25.8</v>
      </c>
      <c r="Y117" s="116">
        <v>26.4</v>
      </c>
      <c r="Z117" s="116">
        <v>25.6</v>
      </c>
      <c r="AA117" s="116">
        <v>19.600000000000001</v>
      </c>
      <c r="AB117" s="116">
        <v>28.9</v>
      </c>
      <c r="AC117" s="116">
        <v>30</v>
      </c>
      <c r="AD117" s="116">
        <v>30</v>
      </c>
      <c r="AE117" s="116">
        <v>20.100000000000001</v>
      </c>
      <c r="AF117" s="116">
        <v>12.2</v>
      </c>
      <c r="AG117" s="118"/>
      <c r="AH117" s="47">
        <f t="shared" si="19"/>
        <v>49.3</v>
      </c>
      <c r="AI117" s="48">
        <f t="shared" si="20"/>
        <v>-32.799999999999997</v>
      </c>
    </row>
    <row r="118" spans="1:37" x14ac:dyDescent="0.25">
      <c r="A118" s="119" t="s">
        <v>126</v>
      </c>
      <c r="B118" s="105">
        <v>36.5</v>
      </c>
      <c r="C118" s="105">
        <v>37.5</v>
      </c>
      <c r="D118" s="105">
        <v>39.200000000000003</v>
      </c>
      <c r="E118" s="105">
        <v>42.2</v>
      </c>
      <c r="F118" s="105">
        <v>39.299999999999997</v>
      </c>
      <c r="G118" s="105">
        <v>46.2</v>
      </c>
      <c r="H118" s="105">
        <v>51.1</v>
      </c>
      <c r="I118" s="105">
        <v>54.2</v>
      </c>
      <c r="J118" s="105">
        <v>52</v>
      </c>
      <c r="K118" s="105">
        <v>50.1</v>
      </c>
      <c r="L118" s="105">
        <v>46.5</v>
      </c>
      <c r="M118" s="105">
        <v>44.9</v>
      </c>
      <c r="N118" s="105">
        <v>44.9</v>
      </c>
      <c r="O118" s="105"/>
      <c r="P118" s="105">
        <v>50.5</v>
      </c>
      <c r="Q118" s="105">
        <v>49.8</v>
      </c>
      <c r="R118" s="105">
        <v>45.7</v>
      </c>
      <c r="S118" s="105">
        <v>20</v>
      </c>
      <c r="T118" s="105"/>
      <c r="U118" s="105">
        <v>34.700000000000003</v>
      </c>
      <c r="V118" s="105">
        <v>34.200000000000003</v>
      </c>
      <c r="W118" s="105">
        <v>34.200000000000003</v>
      </c>
      <c r="X118" s="105">
        <v>38.299999999999997</v>
      </c>
      <c r="Y118" s="105">
        <v>31.6</v>
      </c>
      <c r="Z118" s="105">
        <v>25.3</v>
      </c>
      <c r="AA118" s="105">
        <v>25.3</v>
      </c>
      <c r="AB118" s="105">
        <v>20</v>
      </c>
      <c r="AC118" s="105">
        <v>27.8</v>
      </c>
      <c r="AD118" s="105">
        <v>27.8</v>
      </c>
      <c r="AE118" s="105">
        <v>35.200000000000003</v>
      </c>
      <c r="AF118" s="105">
        <v>37.299999999999997</v>
      </c>
      <c r="AG118" s="118"/>
      <c r="AH118" s="47">
        <f t="shared" si="19"/>
        <v>54.2</v>
      </c>
      <c r="AI118" s="48">
        <f t="shared" si="20"/>
        <v>20</v>
      </c>
    </row>
    <row r="119" spans="1:37" x14ac:dyDescent="0.25">
      <c r="A119" s="120" t="s">
        <v>127</v>
      </c>
      <c r="B119" s="105">
        <v>73.900000000000006</v>
      </c>
      <c r="C119" s="105">
        <v>101.9</v>
      </c>
      <c r="D119" s="105">
        <v>82.8</v>
      </c>
      <c r="E119" s="105">
        <v>96</v>
      </c>
      <c r="F119" s="105">
        <v>93.9</v>
      </c>
      <c r="G119" s="105">
        <v>92.6</v>
      </c>
      <c r="H119" s="105">
        <v>85.5</v>
      </c>
      <c r="I119" s="105">
        <v>55.7</v>
      </c>
      <c r="J119" s="105">
        <v>57.3</v>
      </c>
      <c r="K119" s="105">
        <v>51.5</v>
      </c>
      <c r="L119" s="105">
        <v>74</v>
      </c>
      <c r="M119" s="105">
        <v>69.3</v>
      </c>
      <c r="N119" s="105">
        <v>75.900000000000006</v>
      </c>
      <c r="O119" s="105"/>
      <c r="P119" s="105">
        <v>69.900000000000006</v>
      </c>
      <c r="Q119" s="105">
        <v>71.5</v>
      </c>
      <c r="R119" s="105">
        <v>67.7</v>
      </c>
      <c r="S119" s="105">
        <v>66</v>
      </c>
      <c r="T119" s="105"/>
      <c r="U119" s="105">
        <v>75</v>
      </c>
      <c r="V119" s="105">
        <v>48.2</v>
      </c>
      <c r="W119" s="105">
        <v>48.2</v>
      </c>
      <c r="X119" s="105">
        <v>57.4</v>
      </c>
      <c r="Y119" s="105">
        <v>41.8</v>
      </c>
      <c r="Z119" s="105">
        <v>39.4</v>
      </c>
      <c r="AA119" s="105">
        <v>40.700000000000003</v>
      </c>
      <c r="AB119" s="105">
        <v>46.1</v>
      </c>
      <c r="AC119" s="105">
        <v>48.6</v>
      </c>
      <c r="AD119" s="105">
        <v>48.6</v>
      </c>
      <c r="AE119" s="105">
        <v>80.3</v>
      </c>
      <c r="AF119" s="105">
        <v>88.9</v>
      </c>
      <c r="AG119" s="118"/>
      <c r="AH119" s="47">
        <f t="shared" si="19"/>
        <v>101.9</v>
      </c>
      <c r="AI119" s="48">
        <f t="shared" si="20"/>
        <v>39.4</v>
      </c>
    </row>
    <row r="120" spans="1:37" ht="15.75" thickBot="1" x14ac:dyDescent="0.3">
      <c r="A120" s="119" t="s">
        <v>128</v>
      </c>
      <c r="B120" s="105">
        <v>44</v>
      </c>
      <c r="C120" s="105">
        <v>37</v>
      </c>
      <c r="D120" s="105">
        <v>36.700000000000003</v>
      </c>
      <c r="E120" s="105">
        <v>30.6</v>
      </c>
      <c r="F120" s="105">
        <v>32.6</v>
      </c>
      <c r="G120" s="105">
        <v>12.4</v>
      </c>
      <c r="H120" s="105">
        <v>3.7</v>
      </c>
      <c r="I120" s="105">
        <v>-4.0999999999999996</v>
      </c>
      <c r="J120" s="105">
        <v>-16.5</v>
      </c>
      <c r="K120" s="105">
        <v>-10.4</v>
      </c>
      <c r="L120" s="105">
        <v>-9.1999999999999993</v>
      </c>
      <c r="M120" s="105">
        <v>-7.1</v>
      </c>
      <c r="N120" s="105">
        <v>-9.6999999999999993</v>
      </c>
      <c r="O120" s="105"/>
      <c r="P120" s="105">
        <v>4.9000000000000004</v>
      </c>
      <c r="Q120" s="105"/>
      <c r="R120" s="105">
        <v>10.6</v>
      </c>
      <c r="S120" s="105">
        <v>21</v>
      </c>
      <c r="T120" s="105"/>
      <c r="U120" s="105">
        <v>19.399999999999999</v>
      </c>
      <c r="V120" s="105">
        <v>5.6</v>
      </c>
      <c r="W120" s="105">
        <v>5.6</v>
      </c>
      <c r="X120" s="105">
        <v>-2.2999999999999998</v>
      </c>
      <c r="Y120" s="105">
        <v>21.9</v>
      </c>
      <c r="Z120" s="105">
        <v>30</v>
      </c>
      <c r="AA120" s="105">
        <v>36</v>
      </c>
      <c r="AB120" s="105">
        <v>41.9</v>
      </c>
      <c r="AC120" s="105">
        <v>46.7</v>
      </c>
      <c r="AD120" s="105">
        <v>46.7</v>
      </c>
      <c r="AE120" s="105">
        <v>38.700000000000003</v>
      </c>
      <c r="AF120" s="105">
        <v>38.5</v>
      </c>
      <c r="AG120" s="118"/>
      <c r="AH120" s="47">
        <f t="shared" si="19"/>
        <v>46.7</v>
      </c>
      <c r="AI120" s="48">
        <f t="shared" si="20"/>
        <v>-16.5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46">SUM(B122:B226)</f>
        <v>0</v>
      </c>
      <c r="C227" s="136">
        <f t="shared" si="46"/>
        <v>0</v>
      </c>
      <c r="D227" s="136">
        <f t="shared" si="46"/>
        <v>0</v>
      </c>
      <c r="E227" s="136">
        <f t="shared" si="46"/>
        <v>0</v>
      </c>
      <c r="F227" s="136">
        <f t="shared" si="46"/>
        <v>0</v>
      </c>
      <c r="G227" s="136">
        <f t="shared" si="46"/>
        <v>0</v>
      </c>
      <c r="H227" s="136">
        <f t="shared" si="46"/>
        <v>0</v>
      </c>
      <c r="I227" s="136">
        <f t="shared" si="46"/>
        <v>0</v>
      </c>
      <c r="J227" s="136">
        <f t="shared" si="46"/>
        <v>0</v>
      </c>
      <c r="K227" s="136">
        <f t="shared" si="46"/>
        <v>0</v>
      </c>
      <c r="L227" s="136">
        <f t="shared" si="46"/>
        <v>0</v>
      </c>
      <c r="M227" s="136">
        <f t="shared" si="46"/>
        <v>0</v>
      </c>
      <c r="N227" s="136">
        <f t="shared" si="46"/>
        <v>0</v>
      </c>
      <c r="O227" s="136">
        <f t="shared" si="46"/>
        <v>0</v>
      </c>
      <c r="P227" s="136">
        <f t="shared" si="46"/>
        <v>0</v>
      </c>
      <c r="Q227" s="136">
        <f t="shared" si="46"/>
        <v>0</v>
      </c>
      <c r="R227" s="136">
        <f t="shared" si="46"/>
        <v>0</v>
      </c>
      <c r="S227" s="136">
        <f t="shared" si="46"/>
        <v>0</v>
      </c>
      <c r="T227" s="136">
        <f t="shared" si="46"/>
        <v>0</v>
      </c>
      <c r="U227" s="136">
        <f t="shared" si="46"/>
        <v>0</v>
      </c>
      <c r="V227" s="136">
        <f t="shared" si="46"/>
        <v>0</v>
      </c>
      <c r="W227" s="136">
        <f t="shared" si="46"/>
        <v>0</v>
      </c>
      <c r="X227" s="136">
        <f t="shared" si="46"/>
        <v>0</v>
      </c>
      <c r="Y227" s="136">
        <f t="shared" si="46"/>
        <v>0</v>
      </c>
      <c r="Z227" s="136">
        <f t="shared" si="46"/>
        <v>0</v>
      </c>
      <c r="AA227" s="136">
        <f t="shared" si="46"/>
        <v>0</v>
      </c>
      <c r="AB227" s="136">
        <f t="shared" si="46"/>
        <v>0</v>
      </c>
      <c r="AC227" s="136">
        <f t="shared" si="46"/>
        <v>0</v>
      </c>
      <c r="AD227" s="136">
        <f t="shared" si="46"/>
        <v>0</v>
      </c>
      <c r="AE227" s="136">
        <f t="shared" si="46"/>
        <v>0</v>
      </c>
      <c r="AF227" s="137">
        <f t="shared" si="46"/>
        <v>0</v>
      </c>
      <c r="AG227" s="138">
        <f t="shared" si="46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47">AF229</f>
        <v>0</v>
      </c>
      <c r="C229" s="140">
        <v>0.3</v>
      </c>
      <c r="D229" s="140">
        <f t="shared" ref="D229:P234" si="48">C229</f>
        <v>0.3</v>
      </c>
      <c r="E229" s="140">
        <f t="shared" si="48"/>
        <v>0.3</v>
      </c>
      <c r="F229" s="140">
        <f t="shared" si="48"/>
        <v>0.3</v>
      </c>
      <c r="G229" s="140">
        <f t="shared" si="48"/>
        <v>0.3</v>
      </c>
      <c r="H229" s="140">
        <f t="shared" si="48"/>
        <v>0.3</v>
      </c>
      <c r="I229" s="140">
        <f t="shared" si="48"/>
        <v>0.3</v>
      </c>
      <c r="J229" s="140">
        <f t="shared" si="48"/>
        <v>0.3</v>
      </c>
      <c r="K229" s="140">
        <f t="shared" si="48"/>
        <v>0.3</v>
      </c>
      <c r="L229" s="140">
        <f t="shared" si="48"/>
        <v>0.3</v>
      </c>
      <c r="M229" s="140">
        <f t="shared" si="48"/>
        <v>0.3</v>
      </c>
      <c r="N229" s="140">
        <f t="shared" si="48"/>
        <v>0.3</v>
      </c>
      <c r="O229" s="140">
        <f t="shared" si="48"/>
        <v>0.3</v>
      </c>
      <c r="P229" s="140">
        <f t="shared" si="48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47"/>
        <v>0</v>
      </c>
      <c r="C230" s="128">
        <v>0.4</v>
      </c>
      <c r="D230" s="128">
        <f t="shared" si="48"/>
        <v>0.4</v>
      </c>
      <c r="E230" s="128">
        <f t="shared" si="48"/>
        <v>0.4</v>
      </c>
      <c r="F230" s="128">
        <f t="shared" si="48"/>
        <v>0.4</v>
      </c>
      <c r="G230" s="128">
        <f t="shared" si="48"/>
        <v>0.4</v>
      </c>
      <c r="H230" s="128">
        <f t="shared" si="48"/>
        <v>0.4</v>
      </c>
      <c r="I230" s="128">
        <f t="shared" si="48"/>
        <v>0.4</v>
      </c>
      <c r="J230" s="128">
        <f t="shared" si="48"/>
        <v>0.4</v>
      </c>
      <c r="K230" s="128">
        <f t="shared" si="48"/>
        <v>0.4</v>
      </c>
      <c r="L230" s="128">
        <f t="shared" si="48"/>
        <v>0.4</v>
      </c>
      <c r="M230" s="128">
        <f t="shared" si="48"/>
        <v>0.4</v>
      </c>
      <c r="N230" s="128">
        <f t="shared" si="48"/>
        <v>0.4</v>
      </c>
      <c r="O230" s="128">
        <f t="shared" si="48"/>
        <v>0.4</v>
      </c>
      <c r="P230" s="128">
        <f t="shared" si="48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47"/>
        <v>0</v>
      </c>
      <c r="C231" s="128">
        <v>1.5</v>
      </c>
      <c r="D231" s="128">
        <f t="shared" si="48"/>
        <v>1.5</v>
      </c>
      <c r="E231" s="128">
        <f t="shared" si="48"/>
        <v>1.5</v>
      </c>
      <c r="F231" s="128">
        <f t="shared" si="48"/>
        <v>1.5</v>
      </c>
      <c r="G231" s="128">
        <f t="shared" si="48"/>
        <v>1.5</v>
      </c>
      <c r="H231" s="128">
        <f t="shared" si="48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48"/>
        <v>123.21900000000009</v>
      </c>
      <c r="K231" s="128">
        <f t="shared" ca="1" si="48"/>
        <v>123.21900000000009</v>
      </c>
      <c r="L231" s="128">
        <f t="shared" ca="1" si="48"/>
        <v>123.21900000000009</v>
      </c>
      <c r="M231" s="128">
        <f t="shared" ca="1" si="48"/>
        <v>119.19900000000008</v>
      </c>
      <c r="N231" s="128">
        <f t="shared" ca="1" si="48"/>
        <v>119.19900000000008</v>
      </c>
      <c r="O231" s="128">
        <f t="shared" ca="1" si="48"/>
        <v>119.19900000000008</v>
      </c>
      <c r="P231" s="128">
        <f t="shared" ca="1" si="48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47"/>
        <v>0</v>
      </c>
      <c r="C232" s="128">
        <v>0.3</v>
      </c>
      <c r="D232" s="128">
        <f t="shared" si="48"/>
        <v>0.3</v>
      </c>
      <c r="E232" s="128">
        <f t="shared" si="48"/>
        <v>0.3</v>
      </c>
      <c r="F232" s="128">
        <f t="shared" si="48"/>
        <v>0.3</v>
      </c>
      <c r="G232" s="128">
        <f t="shared" si="48"/>
        <v>0.3</v>
      </c>
      <c r="H232" s="128">
        <f t="shared" si="48"/>
        <v>0.3</v>
      </c>
      <c r="I232" s="128">
        <f t="shared" si="48"/>
        <v>0.3</v>
      </c>
      <c r="J232" s="128">
        <f t="shared" si="48"/>
        <v>0.3</v>
      </c>
      <c r="K232" s="128">
        <f t="shared" si="48"/>
        <v>0.3</v>
      </c>
      <c r="L232" s="128">
        <f t="shared" si="48"/>
        <v>0.3</v>
      </c>
      <c r="M232" s="128">
        <f t="shared" si="48"/>
        <v>0.3</v>
      </c>
      <c r="N232" s="128">
        <f t="shared" si="48"/>
        <v>0.3</v>
      </c>
      <c r="O232" s="128">
        <f t="shared" si="48"/>
        <v>0.3</v>
      </c>
      <c r="P232" s="128">
        <f t="shared" si="48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47"/>
        <v>0</v>
      </c>
      <c r="C233" s="128">
        <v>0.4</v>
      </c>
      <c r="D233" s="128">
        <f t="shared" si="48"/>
        <v>0.4</v>
      </c>
      <c r="E233" s="128">
        <f t="shared" si="48"/>
        <v>0.4</v>
      </c>
      <c r="F233" s="128">
        <f t="shared" si="48"/>
        <v>0.4</v>
      </c>
      <c r="G233" s="128">
        <f t="shared" si="48"/>
        <v>0.4</v>
      </c>
      <c r="H233" s="128">
        <f t="shared" si="48"/>
        <v>0.4</v>
      </c>
      <c r="I233" s="128">
        <f t="shared" si="48"/>
        <v>0.4</v>
      </c>
      <c r="J233" s="128">
        <f t="shared" si="48"/>
        <v>0.4</v>
      </c>
      <c r="K233" s="128">
        <f t="shared" si="48"/>
        <v>0.4</v>
      </c>
      <c r="L233" s="128">
        <f t="shared" si="48"/>
        <v>0.4</v>
      </c>
      <c r="M233" s="128">
        <f t="shared" si="48"/>
        <v>0.4</v>
      </c>
      <c r="N233" s="128">
        <f t="shared" si="48"/>
        <v>0.4</v>
      </c>
      <c r="O233" s="128">
        <f t="shared" si="48"/>
        <v>0.4</v>
      </c>
      <c r="P233" s="128">
        <f t="shared" si="48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47"/>
        <v>0</v>
      </c>
      <c r="C234" s="132">
        <v>0.64</v>
      </c>
      <c r="D234" s="132">
        <f t="shared" si="48"/>
        <v>0.64</v>
      </c>
      <c r="E234" s="132">
        <f t="shared" si="48"/>
        <v>0.64</v>
      </c>
      <c r="F234" s="132">
        <f t="shared" si="48"/>
        <v>0.64</v>
      </c>
      <c r="G234" s="132">
        <f t="shared" si="48"/>
        <v>0.64</v>
      </c>
      <c r="H234" s="132">
        <f t="shared" si="48"/>
        <v>0.64</v>
      </c>
      <c r="I234" s="132">
        <f t="shared" si="48"/>
        <v>0.64</v>
      </c>
      <c r="J234" s="132">
        <f t="shared" si="48"/>
        <v>0.64</v>
      </c>
      <c r="K234" s="132">
        <f t="shared" si="48"/>
        <v>0.64</v>
      </c>
      <c r="L234" s="132">
        <f t="shared" si="48"/>
        <v>0.64</v>
      </c>
      <c r="M234" s="132">
        <f t="shared" si="48"/>
        <v>0.64</v>
      </c>
      <c r="N234" s="132">
        <f t="shared" si="48"/>
        <v>0.64</v>
      </c>
      <c r="O234" s="132">
        <f t="shared" si="48"/>
        <v>0.64</v>
      </c>
      <c r="P234" s="132">
        <f t="shared" si="48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49">SUM(B229:B234)</f>
        <v>0</v>
      </c>
      <c r="C235" s="136">
        <f t="shared" si="49"/>
        <v>3.54</v>
      </c>
      <c r="D235" s="136">
        <f t="shared" si="49"/>
        <v>3.54</v>
      </c>
      <c r="E235" s="136">
        <f t="shared" si="49"/>
        <v>3.54</v>
      </c>
      <c r="F235" s="136">
        <f t="shared" si="49"/>
        <v>3.54</v>
      </c>
      <c r="G235" s="136">
        <f t="shared" si="49"/>
        <v>3.54</v>
      </c>
      <c r="H235" s="136">
        <f t="shared" si="49"/>
        <v>3.54</v>
      </c>
      <c r="I235" s="136">
        <f t="shared" ca="1" si="49"/>
        <v>121.23900000000009</v>
      </c>
      <c r="J235" s="136">
        <f t="shared" ca="1" si="49"/>
        <v>121.23900000000009</v>
      </c>
      <c r="K235" s="136">
        <f t="shared" ca="1" si="49"/>
        <v>121.23900000000009</v>
      </c>
      <c r="L235" s="136">
        <f t="shared" ca="1" si="49"/>
        <v>125.2590000000001</v>
      </c>
      <c r="M235" s="136">
        <f t="shared" ca="1" si="49"/>
        <v>121.23900000000009</v>
      </c>
      <c r="N235" s="136">
        <f t="shared" ca="1" si="49"/>
        <v>121.23900000000009</v>
      </c>
      <c r="O235" s="136">
        <f t="shared" ca="1" si="49"/>
        <v>121.23900000000009</v>
      </c>
      <c r="P235" s="136">
        <f t="shared" ca="1" si="49"/>
        <v>121.23900000000009</v>
      </c>
      <c r="Q235" s="136">
        <f t="shared" si="49"/>
        <v>0</v>
      </c>
      <c r="R235" s="136">
        <f t="shared" si="49"/>
        <v>0</v>
      </c>
      <c r="S235" s="136">
        <f t="shared" si="49"/>
        <v>0</v>
      </c>
      <c r="T235" s="136">
        <f t="shared" si="49"/>
        <v>0</v>
      </c>
      <c r="U235" s="136">
        <f t="shared" si="49"/>
        <v>0</v>
      </c>
      <c r="V235" s="136">
        <f t="shared" si="49"/>
        <v>0</v>
      </c>
      <c r="W235" s="136">
        <f t="shared" si="49"/>
        <v>0</v>
      </c>
      <c r="X235" s="136">
        <f t="shared" si="49"/>
        <v>0</v>
      </c>
      <c r="Y235" s="136">
        <f t="shared" si="49"/>
        <v>0</v>
      </c>
      <c r="Z235" s="136">
        <f t="shared" si="49"/>
        <v>0</v>
      </c>
      <c r="AA235" s="136">
        <f t="shared" si="49"/>
        <v>0</v>
      </c>
      <c r="AB235" s="136">
        <f t="shared" si="49"/>
        <v>0</v>
      </c>
      <c r="AC235" s="136">
        <f t="shared" si="49"/>
        <v>0</v>
      </c>
      <c r="AD235" s="136">
        <f t="shared" si="49"/>
        <v>0</v>
      </c>
      <c r="AE235" s="136">
        <f t="shared" si="49"/>
        <v>0</v>
      </c>
      <c r="AF235" s="136">
        <f t="shared" si="49"/>
        <v>0</v>
      </c>
      <c r="AG235" s="145">
        <f t="shared" si="49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1988.1400000000003</v>
      </c>
      <c r="C244" s="161">
        <f>INDEX(G9:N9,1,MATCH(MAX(G91:N91),G91:N91,0))</f>
        <v>0.22916666666666666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19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2080/04/19)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2080/04/19)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50">B91</f>
        <v>1988.44</v>
      </c>
      <c r="U249" s="170">
        <f t="shared" si="50"/>
        <v>1950.14</v>
      </c>
      <c r="V249" s="170">
        <f t="shared" si="50"/>
        <v>1977.24</v>
      </c>
      <c r="W249" s="170">
        <f t="shared" si="50"/>
        <v>1983.24</v>
      </c>
      <c r="X249" s="170">
        <f t="shared" si="50"/>
        <v>1975.8400000000001</v>
      </c>
      <c r="Y249" s="170">
        <f t="shared" si="50"/>
        <v>1976.8400000000001</v>
      </c>
      <c r="Z249" s="170">
        <f t="shared" si="50"/>
        <v>1988.1400000000003</v>
      </c>
      <c r="AA249" s="170">
        <f t="shared" si="50"/>
        <v>1988.1400000000003</v>
      </c>
      <c r="AB249" s="170">
        <f t="shared" si="50"/>
        <v>1961.24</v>
      </c>
      <c r="AC249" s="170">
        <f t="shared" si="50"/>
        <v>1958.34</v>
      </c>
      <c r="AD249" s="170">
        <f t="shared" si="50"/>
        <v>1981.44</v>
      </c>
      <c r="AE249" s="170">
        <f t="shared" si="50"/>
        <v>1949.2399999999998</v>
      </c>
      <c r="AF249" s="170">
        <f t="shared" si="50"/>
        <v>1933.4399999999998</v>
      </c>
      <c r="AG249" s="170">
        <f t="shared" si="50"/>
        <v>3.54</v>
      </c>
      <c r="AH249" s="170">
        <f t="shared" si="50"/>
        <v>1924.04</v>
      </c>
      <c r="AI249" s="170">
        <f t="shared" si="50"/>
        <v>1977.64</v>
      </c>
      <c r="AJ249" s="170">
        <f t="shared" si="50"/>
        <v>1981.8400000000001</v>
      </c>
      <c r="AK249" s="170">
        <f t="shared" si="50"/>
        <v>1981.8400000000001</v>
      </c>
      <c r="AL249" s="170">
        <f t="shared" si="50"/>
        <v>20.54</v>
      </c>
      <c r="AM249" s="170">
        <f t="shared" si="50"/>
        <v>1957.0400000000002</v>
      </c>
      <c r="AN249" s="170">
        <f t="shared" si="50"/>
        <v>1969.64</v>
      </c>
      <c r="AO249" s="170">
        <f t="shared" si="50"/>
        <v>1969.64</v>
      </c>
      <c r="AP249" s="170">
        <f t="shared" si="50"/>
        <v>1993.2400000000002</v>
      </c>
      <c r="AQ249" s="170">
        <f t="shared" si="50"/>
        <v>1976.2400000000002</v>
      </c>
      <c r="AR249" s="170">
        <f t="shared" si="50"/>
        <v>2032.7400000000002</v>
      </c>
      <c r="AS249" s="170">
        <f t="shared" si="50"/>
        <v>2106.0400000000004</v>
      </c>
      <c r="AT249" s="170">
        <f t="shared" si="50"/>
        <v>2119.5400000000004</v>
      </c>
      <c r="AU249" s="170">
        <f t="shared" si="50"/>
        <v>2140.9400000000005</v>
      </c>
      <c r="AV249" s="170">
        <f t="shared" si="50"/>
        <v>2120.2400000000007</v>
      </c>
      <c r="AW249" s="170">
        <f t="shared" si="50"/>
        <v>2079.7399999999998</v>
      </c>
      <c r="AX249" s="170">
        <f t="shared" si="50"/>
        <v>2020.3400000000004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51">C234</f>
        <v>0.64</v>
      </c>
      <c r="C270" s="173">
        <f t="shared" si="51"/>
        <v>0.64</v>
      </c>
      <c r="D270" s="173">
        <f t="shared" si="51"/>
        <v>0.64</v>
      </c>
      <c r="E270" s="173">
        <f t="shared" si="51"/>
        <v>0.64</v>
      </c>
      <c r="F270" s="173">
        <f t="shared" si="51"/>
        <v>0.64</v>
      </c>
      <c r="G270" s="173">
        <f t="shared" si="51"/>
        <v>0.64</v>
      </c>
      <c r="H270" s="173">
        <f t="shared" si="51"/>
        <v>0.64</v>
      </c>
      <c r="I270" s="173">
        <f t="shared" si="51"/>
        <v>0.64</v>
      </c>
      <c r="J270" s="173">
        <f t="shared" si="51"/>
        <v>0.64</v>
      </c>
      <c r="K270" s="173">
        <f t="shared" si="51"/>
        <v>0.64</v>
      </c>
      <c r="L270" s="173">
        <f t="shared" si="51"/>
        <v>0.64</v>
      </c>
      <c r="M270" s="173">
        <f t="shared" si="51"/>
        <v>0.64</v>
      </c>
      <c r="N270" s="173">
        <f t="shared" si="51"/>
        <v>0.64</v>
      </c>
      <c r="O270" s="173">
        <f t="shared" si="51"/>
        <v>0.64</v>
      </c>
      <c r="P270" s="173">
        <f t="shared" si="51"/>
        <v>0</v>
      </c>
      <c r="Q270" s="173">
        <f t="shared" si="51"/>
        <v>0</v>
      </c>
      <c r="R270" s="173">
        <f t="shared" si="51"/>
        <v>0</v>
      </c>
      <c r="S270" s="173">
        <f t="shared" si="51"/>
        <v>0</v>
      </c>
      <c r="T270" s="173">
        <f t="shared" si="51"/>
        <v>0</v>
      </c>
      <c r="U270" s="173">
        <f t="shared" si="51"/>
        <v>0</v>
      </c>
      <c r="V270" s="173">
        <f t="shared" si="51"/>
        <v>0</v>
      </c>
      <c r="W270" s="173">
        <f t="shared" si="51"/>
        <v>0</v>
      </c>
      <c r="X270" s="173">
        <f t="shared" si="51"/>
        <v>0</v>
      </c>
      <c r="Y270" s="173">
        <f t="shared" si="51"/>
        <v>0</v>
      </c>
      <c r="Z270" s="173">
        <f t="shared" si="51"/>
        <v>0</v>
      </c>
      <c r="AA270" s="173">
        <f t="shared" si="51"/>
        <v>0</v>
      </c>
      <c r="AB270" s="173">
        <f t="shared" si="51"/>
        <v>0</v>
      </c>
      <c r="AC270" s="173">
        <f t="shared" si="51"/>
        <v>0</v>
      </c>
      <c r="AD270" s="173">
        <f t="shared" si="51"/>
        <v>0</v>
      </c>
      <c r="AE270" s="173">
        <f t="shared" si="51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52">IF(B238&lt;100,"",B238-520)</f>
        <v/>
      </c>
      <c r="C271" s="174" t="str">
        <f t="shared" si="52"/>
        <v/>
      </c>
      <c r="D271" s="174" t="str">
        <f t="shared" si="52"/>
        <v/>
      </c>
      <c r="E271" s="174" t="str">
        <f t="shared" si="52"/>
        <v/>
      </c>
      <c r="F271" s="174" t="str">
        <f t="shared" si="52"/>
        <v/>
      </c>
      <c r="G271" s="174" t="str">
        <f t="shared" si="52"/>
        <v/>
      </c>
      <c r="H271" s="174" t="str">
        <f t="shared" si="52"/>
        <v/>
      </c>
      <c r="I271" s="174" t="str">
        <f t="shared" si="52"/>
        <v/>
      </c>
      <c r="J271" s="174" t="str">
        <f t="shared" si="52"/>
        <v/>
      </c>
      <c r="K271" s="174" t="str">
        <f t="shared" si="52"/>
        <v/>
      </c>
      <c r="L271" s="174" t="str">
        <f t="shared" si="52"/>
        <v/>
      </c>
      <c r="M271" s="174" t="str">
        <f t="shared" si="52"/>
        <v/>
      </c>
      <c r="N271" s="174" t="str">
        <f t="shared" si="52"/>
        <v/>
      </c>
      <c r="O271" s="174" t="str">
        <f t="shared" si="52"/>
        <v/>
      </c>
      <c r="P271" s="174" t="str">
        <f t="shared" si="52"/>
        <v/>
      </c>
      <c r="Q271" s="174" t="str">
        <f t="shared" si="52"/>
        <v/>
      </c>
      <c r="R271" s="174" t="str">
        <f t="shared" si="52"/>
        <v/>
      </c>
      <c r="S271" s="174" t="str">
        <f t="shared" si="52"/>
        <v/>
      </c>
      <c r="T271" s="174" t="str">
        <f t="shared" si="52"/>
        <v/>
      </c>
      <c r="U271" s="174" t="str">
        <f t="shared" si="52"/>
        <v/>
      </c>
      <c r="V271" s="174" t="str">
        <f t="shared" si="52"/>
        <v/>
      </c>
      <c r="W271" s="174" t="str">
        <f t="shared" si="52"/>
        <v/>
      </c>
      <c r="X271" s="174" t="str">
        <f t="shared" si="52"/>
        <v/>
      </c>
      <c r="Y271" s="174" t="str">
        <f t="shared" si="52"/>
        <v/>
      </c>
      <c r="Z271" s="174" t="str">
        <f t="shared" si="52"/>
        <v/>
      </c>
      <c r="AA271" s="174" t="str">
        <f t="shared" si="52"/>
        <v/>
      </c>
      <c r="AB271" s="174" t="str">
        <f t="shared" si="52"/>
        <v/>
      </c>
      <c r="AC271" s="174" t="str">
        <f t="shared" si="52"/>
        <v/>
      </c>
      <c r="AD271" s="174" t="str">
        <f t="shared" si="52"/>
        <v/>
      </c>
      <c r="AE271" s="174" t="str">
        <f t="shared" si="52"/>
        <v/>
      </c>
      <c r="AF271" s="174" t="str">
        <f t="shared" si="52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53">IF(B239&lt;100,"",B239-620)</f>
        <v/>
      </c>
      <c r="C272" s="174" t="str">
        <f t="shared" si="53"/>
        <v/>
      </c>
      <c r="D272" s="174" t="str">
        <f t="shared" si="53"/>
        <v/>
      </c>
      <c r="E272" s="174" t="str">
        <f t="shared" si="53"/>
        <v/>
      </c>
      <c r="F272" s="174" t="str">
        <f t="shared" si="53"/>
        <v/>
      </c>
      <c r="G272" s="174" t="str">
        <f t="shared" si="53"/>
        <v/>
      </c>
      <c r="H272" s="174" t="str">
        <f t="shared" si="53"/>
        <v/>
      </c>
      <c r="I272" s="174" t="str">
        <f t="shared" si="53"/>
        <v/>
      </c>
      <c r="J272" s="174" t="str">
        <f t="shared" si="53"/>
        <v/>
      </c>
      <c r="K272" s="174" t="str">
        <f t="shared" si="53"/>
        <v/>
      </c>
      <c r="L272" s="174" t="str">
        <f t="shared" si="53"/>
        <v/>
      </c>
      <c r="M272" s="174" t="str">
        <f t="shared" si="53"/>
        <v/>
      </c>
      <c r="N272" s="174" t="str">
        <f t="shared" si="53"/>
        <v/>
      </c>
      <c r="O272" s="174" t="str">
        <f t="shared" si="53"/>
        <v/>
      </c>
      <c r="P272" s="174" t="str">
        <f t="shared" si="53"/>
        <v/>
      </c>
      <c r="Q272" s="174" t="str">
        <f t="shared" si="53"/>
        <v/>
      </c>
      <c r="R272" s="174" t="str">
        <f t="shared" si="53"/>
        <v/>
      </c>
      <c r="S272" s="174" t="str">
        <f t="shared" si="53"/>
        <v/>
      </c>
      <c r="T272" s="174" t="str">
        <f t="shared" si="53"/>
        <v/>
      </c>
      <c r="U272" s="174" t="str">
        <f t="shared" si="53"/>
        <v/>
      </c>
      <c r="V272" s="174" t="str">
        <f t="shared" si="53"/>
        <v/>
      </c>
      <c r="W272" s="174" t="str">
        <f t="shared" si="53"/>
        <v/>
      </c>
      <c r="X272" s="174" t="str">
        <f t="shared" si="53"/>
        <v/>
      </c>
      <c r="Y272" s="174" t="str">
        <f t="shared" si="53"/>
        <v/>
      </c>
      <c r="Z272" s="174" t="str">
        <f t="shared" si="53"/>
        <v/>
      </c>
      <c r="AA272" s="174" t="str">
        <f t="shared" si="53"/>
        <v/>
      </c>
      <c r="AB272" s="174" t="str">
        <f t="shared" si="53"/>
        <v/>
      </c>
      <c r="AC272" s="174" t="str">
        <f t="shared" si="53"/>
        <v/>
      </c>
      <c r="AD272" s="174" t="str">
        <f t="shared" si="53"/>
        <v/>
      </c>
      <c r="AE272" s="174" t="str">
        <f t="shared" si="53"/>
        <v/>
      </c>
      <c r="AF272" s="174" t="str">
        <f t="shared" si="53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54">IF(B240&lt;100,"",B240-330)</f>
        <v/>
      </c>
      <c r="C273" s="174" t="str">
        <f t="shared" si="54"/>
        <v/>
      </c>
      <c r="D273" s="174" t="str">
        <f t="shared" si="54"/>
        <v/>
      </c>
      <c r="E273" s="174" t="str">
        <f t="shared" si="54"/>
        <v/>
      </c>
      <c r="F273" s="174" t="str">
        <f t="shared" si="54"/>
        <v/>
      </c>
      <c r="G273" s="174" t="str">
        <f t="shared" si="54"/>
        <v/>
      </c>
      <c r="H273" s="174" t="str">
        <f t="shared" si="54"/>
        <v/>
      </c>
      <c r="I273" s="174" t="str">
        <f t="shared" si="54"/>
        <v/>
      </c>
      <c r="J273" s="174" t="str">
        <f t="shared" si="54"/>
        <v/>
      </c>
      <c r="K273" s="174" t="str">
        <f t="shared" si="54"/>
        <v/>
      </c>
      <c r="L273" s="174" t="str">
        <f t="shared" si="54"/>
        <v/>
      </c>
      <c r="M273" s="174" t="str">
        <f t="shared" si="54"/>
        <v/>
      </c>
      <c r="N273" s="174" t="str">
        <f t="shared" si="54"/>
        <v/>
      </c>
      <c r="O273" s="174" t="str">
        <f t="shared" si="54"/>
        <v/>
      </c>
      <c r="P273" s="174" t="str">
        <f t="shared" si="54"/>
        <v/>
      </c>
      <c r="Q273" s="174" t="str">
        <f t="shared" si="54"/>
        <v/>
      </c>
      <c r="R273" s="174" t="str">
        <f t="shared" si="54"/>
        <v/>
      </c>
      <c r="S273" s="174" t="str">
        <f t="shared" si="54"/>
        <v/>
      </c>
      <c r="T273" s="174" t="str">
        <f t="shared" si="54"/>
        <v/>
      </c>
      <c r="U273" s="174" t="str">
        <f t="shared" si="54"/>
        <v/>
      </c>
      <c r="V273" s="174" t="str">
        <f t="shared" si="54"/>
        <v/>
      </c>
      <c r="W273" s="174" t="str">
        <f t="shared" si="54"/>
        <v/>
      </c>
      <c r="X273" s="174" t="str">
        <f t="shared" si="54"/>
        <v/>
      </c>
      <c r="Y273" s="174" t="str">
        <f t="shared" si="54"/>
        <v/>
      </c>
      <c r="Z273" s="174" t="str">
        <f t="shared" si="54"/>
        <v/>
      </c>
      <c r="AA273" s="174" t="str">
        <f t="shared" si="54"/>
        <v/>
      </c>
      <c r="AB273" s="174" t="str">
        <f t="shared" si="54"/>
        <v/>
      </c>
      <c r="AC273" s="174" t="str">
        <f t="shared" si="54"/>
        <v/>
      </c>
      <c r="AD273" s="174" t="str">
        <f t="shared" si="54"/>
        <v/>
      </c>
      <c r="AE273" s="174" t="str">
        <f t="shared" si="54"/>
        <v/>
      </c>
      <c r="AF273" s="174" t="str">
        <f t="shared" si="54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55">IF(B241&lt;100,"",B241-1500)</f>
        <v/>
      </c>
      <c r="C274" s="174" t="str">
        <f t="shared" si="55"/>
        <v/>
      </c>
      <c r="D274" s="174" t="str">
        <f t="shared" si="55"/>
        <v/>
      </c>
      <c r="E274" s="174" t="str">
        <f t="shared" si="55"/>
        <v/>
      </c>
      <c r="F274" s="174" t="str">
        <f t="shared" si="55"/>
        <v/>
      </c>
      <c r="G274" s="174" t="str">
        <f t="shared" si="55"/>
        <v/>
      </c>
      <c r="H274" s="174" t="str">
        <f t="shared" si="55"/>
        <v/>
      </c>
      <c r="I274" s="174" t="str">
        <f t="shared" si="55"/>
        <v/>
      </c>
      <c r="J274" s="174" t="str">
        <f t="shared" si="55"/>
        <v/>
      </c>
      <c r="K274" s="174" t="str">
        <f t="shared" si="55"/>
        <v/>
      </c>
      <c r="L274" s="174" t="str">
        <f t="shared" si="55"/>
        <v/>
      </c>
      <c r="M274" s="174" t="str">
        <f t="shared" si="55"/>
        <v/>
      </c>
      <c r="N274" s="174" t="str">
        <f t="shared" si="55"/>
        <v/>
      </c>
      <c r="O274" s="174" t="str">
        <f t="shared" si="55"/>
        <v/>
      </c>
      <c r="P274" s="174" t="str">
        <f t="shared" si="55"/>
        <v/>
      </c>
      <c r="Q274" s="174" t="str">
        <f t="shared" si="55"/>
        <v/>
      </c>
      <c r="R274" s="174" t="str">
        <f t="shared" si="55"/>
        <v/>
      </c>
      <c r="S274" s="174" t="str">
        <f t="shared" si="55"/>
        <v/>
      </c>
      <c r="T274" s="174" t="str">
        <f t="shared" si="55"/>
        <v/>
      </c>
      <c r="U274" s="174" t="str">
        <f t="shared" si="55"/>
        <v/>
      </c>
      <c r="V274" s="174" t="str">
        <f t="shared" si="55"/>
        <v/>
      </c>
      <c r="W274" s="174" t="str">
        <f t="shared" si="55"/>
        <v/>
      </c>
      <c r="X274" s="174" t="str">
        <f t="shared" si="55"/>
        <v/>
      </c>
      <c r="Y274" s="174" t="str">
        <f t="shared" si="55"/>
        <v/>
      </c>
      <c r="Z274" s="174" t="str">
        <f t="shared" si="55"/>
        <v/>
      </c>
      <c r="AA274" s="174" t="str">
        <f t="shared" si="55"/>
        <v/>
      </c>
      <c r="AB274" s="174" t="str">
        <f t="shared" si="55"/>
        <v/>
      </c>
      <c r="AC274" s="174" t="str">
        <f t="shared" si="55"/>
        <v/>
      </c>
      <c r="AD274" s="174" t="str">
        <f t="shared" si="55"/>
        <v/>
      </c>
      <c r="AE274" s="174" t="str">
        <f t="shared" si="55"/>
        <v/>
      </c>
      <c r="AF274" s="174" t="str">
        <f t="shared" si="55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931" priority="123">
      <formula>$AH11=0</formula>
    </cfRule>
  </conditionalFormatting>
  <conditionalFormatting sqref="B8 M8 S8 AB8">
    <cfRule type="expression" dxfId="930" priority="175">
      <formula>AND(C$9&gt;=8/24,C$9&lt;14/24)</formula>
    </cfRule>
    <cfRule type="expression" dxfId="929" priority="174">
      <formula>AND(C$9&gt;=14/24,C$9&lt;20/24)</formula>
    </cfRule>
    <cfRule type="expression" dxfId="928" priority="176">
      <formula>C$9&lt;8/24</formula>
    </cfRule>
  </conditionalFormatting>
  <conditionalFormatting sqref="B48:B66 C49:D66 E55:AF66">
    <cfRule type="expression" dxfId="927" priority="9">
      <formula>B48&gt;$AG48</formula>
    </cfRule>
  </conditionalFormatting>
  <conditionalFormatting sqref="B51:D60 W73:Z73 S73:V76 AA73:AF83 B73:R91 W74:X74 Z74 W75:Z83 V77 S77:T78 U78:V78 S79:V83 S84:AF91">
    <cfRule type="expression" dxfId="926" priority="14">
      <formula>B$9&gt;=20/24</formula>
    </cfRule>
    <cfRule type="expression" dxfId="925" priority="15">
      <formula>AND(B$9&gt;=14/24,B$9&lt;20/24)</formula>
    </cfRule>
    <cfRule type="expression" dxfId="924" priority="16">
      <formula>AND(B$9&gt;=8/24,B$9&lt;14/24)</formula>
    </cfRule>
    <cfRule type="expression" dxfId="923" priority="17">
      <formula>B$9&lt;8/24</formula>
    </cfRule>
  </conditionalFormatting>
  <conditionalFormatting sqref="B61:N66">
    <cfRule type="expression" dxfId="922" priority="12">
      <formula>AND(B$9&gt;=8/24,B$9&lt;14/24)</formula>
    </cfRule>
    <cfRule type="expression" dxfId="921" priority="10">
      <formula>B$9&gt;=20/24</formula>
    </cfRule>
    <cfRule type="expression" dxfId="920" priority="11">
      <formula>AND(B$9&gt;=14/24,B$9&lt;20/24)</formula>
    </cfRule>
    <cfRule type="expression" dxfId="919" priority="13">
      <formula>B$9&lt;8/24</formula>
    </cfRule>
  </conditionalFormatting>
  <conditionalFormatting sqref="B47:S47">
    <cfRule type="expression" dxfId="918" priority="36">
      <formula>B47&gt;$AG47</formula>
    </cfRule>
  </conditionalFormatting>
  <conditionalFormatting sqref="B9:AF45">
    <cfRule type="expression" dxfId="917" priority="28">
      <formula>AND(B$9&gt;=14/24,B$9&lt;20/24)</formula>
    </cfRule>
    <cfRule type="expression" dxfId="916" priority="30">
      <formula>B$9&lt;8/24</formula>
    </cfRule>
    <cfRule type="expression" dxfId="915" priority="29">
      <formula>AND(B$9&gt;=8/24,B$9&lt;14/24)</formula>
    </cfRule>
    <cfRule type="expression" dxfId="914" priority="27">
      <formula>B$9&gt;=20/24</formula>
    </cfRule>
  </conditionalFormatting>
  <conditionalFormatting sqref="B11:AF46">
    <cfRule type="expression" dxfId="913" priority="26">
      <formula>B11&gt;$AG11</formula>
    </cfRule>
  </conditionalFormatting>
  <conditionalFormatting sqref="B46:AF46">
    <cfRule type="expression" dxfId="912" priority="22">
      <formula>B$9&gt;=20/24</formula>
    </cfRule>
    <cfRule type="expression" dxfId="911" priority="23">
      <formula>AND(B$9&gt;=14/24,B$9&lt;20/24)</formula>
    </cfRule>
    <cfRule type="expression" dxfId="910" priority="24">
      <formula>AND(B$9&gt;=8/24,B$9&lt;14/24)</formula>
    </cfRule>
    <cfRule type="expression" dxfId="909" priority="25">
      <formula>B$9&lt;8/24</formula>
    </cfRule>
  </conditionalFormatting>
  <conditionalFormatting sqref="B61:AF66">
    <cfRule type="expression" dxfId="908" priority="37">
      <formula>B$9&gt;=20/24</formula>
    </cfRule>
    <cfRule type="expression" dxfId="907" priority="38">
      <formula>AND(B$9&gt;=14/24,B$9&lt;20/24)</formula>
    </cfRule>
    <cfRule type="expression" dxfId="906" priority="39">
      <formula>AND(B$9&gt;=8/24,B$9&lt;14/24)</formula>
    </cfRule>
    <cfRule type="expression" dxfId="905" priority="40">
      <formula>B$9&lt;8/24</formula>
    </cfRule>
  </conditionalFormatting>
  <conditionalFormatting sqref="B69:AF71">
    <cfRule type="expression" dxfId="904" priority="53">
      <formula>AND(B$9&gt;=8/24,B$9&lt;14/24)</formula>
    </cfRule>
    <cfRule type="expression" dxfId="903" priority="51">
      <formula>B$9&gt;=20/24</formula>
    </cfRule>
    <cfRule type="expression" dxfId="902" priority="52">
      <formula>AND(B$9&gt;=14/24,B$9&lt;20/24)</formula>
    </cfRule>
    <cfRule type="expression" dxfId="901" priority="50">
      <formula>B69&gt;$AG69</formula>
    </cfRule>
    <cfRule type="expression" dxfId="900" priority="54">
      <formula>B$9&lt;8/24</formula>
    </cfRule>
  </conditionalFormatting>
  <conditionalFormatting sqref="B111:AF120">
    <cfRule type="expression" dxfId="899" priority="18">
      <formula>B$9&gt;=20/24</formula>
    </cfRule>
    <cfRule type="expression" dxfId="898" priority="19">
      <formula>AND(B$9&gt;=14/24,B$9&lt;20/24)</formula>
    </cfRule>
    <cfRule type="expression" dxfId="897" priority="20">
      <formula>AND(B$9&gt;=8/24,B$9&lt;14/24)</formula>
    </cfRule>
    <cfRule type="expression" dxfId="896" priority="21">
      <formula>B$9&lt;8/24</formula>
    </cfRule>
  </conditionalFormatting>
  <conditionalFormatting sqref="B227:AF227 D229:AF230 B229:B235 D231:H231 J231:AF231 D232:AF235 U248:AF248">
    <cfRule type="expression" dxfId="895" priority="167">
      <formula>B$9&gt;=20/24</formula>
    </cfRule>
    <cfRule type="expression" dxfId="894" priority="168">
      <formula>AND(B$9&gt;=14/24,B$9&lt;20/24)</formula>
    </cfRule>
    <cfRule type="expression" dxfId="893" priority="169">
      <formula>AND(B$9&gt;=8/24,B$9&lt;14/24)</formula>
    </cfRule>
    <cfRule type="expression" dxfId="892" priority="170">
      <formula>B$9&lt;8/24</formula>
    </cfRule>
  </conditionalFormatting>
  <conditionalFormatting sqref="B67:AG68 B72:AG72">
    <cfRule type="expression" dxfId="891" priority="41">
      <formula>B67&gt;$AG67</formula>
    </cfRule>
  </conditionalFormatting>
  <conditionalFormatting sqref="B72:AG72 B93:AF109">
    <cfRule type="expression" dxfId="890" priority="42">
      <formula>B$9&gt;=20/24</formula>
    </cfRule>
    <cfRule type="expression" dxfId="889" priority="43">
      <formula>AND(B$9&gt;=14/24,B$9&lt;20/24)</formula>
    </cfRule>
    <cfRule type="expression" dxfId="888" priority="44">
      <formula>AND(B$9&gt;=8/24,B$9&lt;14/24)</formula>
    </cfRule>
    <cfRule type="expression" dxfId="887" priority="45">
      <formula>B$9&lt;8/24</formula>
    </cfRule>
  </conditionalFormatting>
  <conditionalFormatting sqref="C47:O48 B47:B49">
    <cfRule type="expression" dxfId="886" priority="35">
      <formula>B$9&lt;8/24</formula>
    </cfRule>
    <cfRule type="expression" dxfId="885" priority="34">
      <formula>AND(B$9&gt;=8/24,B$9&lt;14/24)</formula>
    </cfRule>
    <cfRule type="expression" dxfId="884" priority="33">
      <formula>AND(B$9&gt;=14/24,B$9&lt;20/24)</formula>
    </cfRule>
    <cfRule type="expression" dxfId="883" priority="32">
      <formula>B$9&gt;=20/24</formula>
    </cfRule>
  </conditionalFormatting>
  <conditionalFormatting sqref="C48:S48">
    <cfRule type="expression" dxfId="882" priority="31">
      <formula>C48&gt;$AG48</formula>
    </cfRule>
  </conditionalFormatting>
  <conditionalFormatting sqref="E55:L57">
    <cfRule type="expression" dxfId="881" priority="148">
      <formula>E$9&gt;=20/24</formula>
    </cfRule>
    <cfRule type="expression" dxfId="880" priority="151">
      <formula>E$9&lt;8/24</formula>
    </cfRule>
    <cfRule type="expression" dxfId="879" priority="150">
      <formula>AND(E$9&gt;=8/24,E$9&lt;14/24)</formula>
    </cfRule>
    <cfRule type="expression" dxfId="878" priority="149">
      <formula>AND(E$9&gt;=14/24,E$9&lt;20/24)</formula>
    </cfRule>
  </conditionalFormatting>
  <conditionalFormatting sqref="E60:S60">
    <cfRule type="expression" dxfId="877" priority="113">
      <formula>E$9&lt;8/24</formula>
    </cfRule>
    <cfRule type="expression" dxfId="876" priority="111">
      <formula>AND(E$9&gt;=14/24,E$9&lt;20/24)</formula>
    </cfRule>
    <cfRule type="expression" dxfId="875" priority="110">
      <formula>E$9&gt;=20/24</formula>
    </cfRule>
    <cfRule type="expression" dxfId="874" priority="112">
      <formula>AND(E$9&gt;=8/24,E$9&lt;14/24)</formula>
    </cfRule>
  </conditionalFormatting>
  <conditionalFormatting sqref="E51:AF53">
    <cfRule type="expression" dxfId="873" priority="109">
      <formula>E$9&lt;8/24</formula>
    </cfRule>
    <cfRule type="expression" dxfId="872" priority="108">
      <formula>AND(E$9&gt;=8/24,E$9&lt;14/24)</formula>
    </cfRule>
    <cfRule type="expression" dxfId="871" priority="107">
      <formula>AND(E$9&gt;=14/24,E$9&lt;20/24)</formula>
    </cfRule>
    <cfRule type="expression" dxfId="870" priority="106">
      <formula>E$9&gt;=20/24</formula>
    </cfRule>
  </conditionalFormatting>
  <conditionalFormatting sqref="E54:AG54">
    <cfRule type="expression" dxfId="869" priority="138">
      <formula>AND(E$9&gt;=8/24,E$9&lt;14/24)</formula>
    </cfRule>
    <cfRule type="expression" dxfId="868" priority="139">
      <formula>E$9&lt;8/24</formula>
    </cfRule>
    <cfRule type="expression" dxfId="867" priority="137">
      <formula>AND(E$9&gt;=14/24,E$9&lt;20/24)</formula>
    </cfRule>
    <cfRule type="expression" dxfId="866" priority="136">
      <formula>E$9&gt;=20/24</formula>
    </cfRule>
    <cfRule type="expression" dxfId="865" priority="135">
      <formula>E54&gt;$AG54</formula>
    </cfRule>
  </conditionalFormatting>
  <conditionalFormatting sqref="M55:S59">
    <cfRule type="expression" dxfId="864" priority="152">
      <formula>M$9&gt;=20/24</formula>
    </cfRule>
    <cfRule type="expression" dxfId="863" priority="153">
      <formula>AND(M$9&gt;=14/24,M$9&lt;20/24)</formula>
    </cfRule>
    <cfRule type="expression" dxfId="862" priority="154">
      <formula>AND(M$9&gt;=8/24,M$9&lt;14/24)</formula>
    </cfRule>
    <cfRule type="expression" dxfId="861" priority="155">
      <formula>M$9&lt;8/24</formula>
    </cfRule>
  </conditionalFormatting>
  <conditionalFormatting sqref="O3:P3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P47:S48">
    <cfRule type="expression" dxfId="860" priority="2">
      <formula>AND(P$9&gt;=14/24,P$9&lt;20/24)</formula>
    </cfRule>
    <cfRule type="expression" dxfId="859" priority="1">
      <formula>P$9&gt;=20/24</formula>
    </cfRule>
    <cfRule type="expression" dxfId="858" priority="4">
      <formula>P$9&lt;8/24</formula>
    </cfRule>
    <cfRule type="expression" dxfId="857" priority="3">
      <formula>AND(P$9&gt;=8/24,P$9&lt;14/24)</formula>
    </cfRule>
  </conditionalFormatting>
  <conditionalFormatting sqref="S8 AB8 B8 M8">
    <cfRule type="expression" dxfId="856" priority="173">
      <formula>C$9&gt;=20/24</formula>
    </cfRule>
  </conditionalFormatting>
  <conditionalFormatting sqref="S8">
    <cfRule type="expression" dxfId="855" priority="163">
      <formula>U$9&lt;8/24</formula>
    </cfRule>
    <cfRule type="expression" dxfId="854" priority="162">
      <formula>AND(U$9&gt;=8/24,U$9&lt;14/24)</formula>
    </cfRule>
    <cfRule type="expression" dxfId="853" priority="160">
      <formula>U$9&gt;=20/24</formula>
    </cfRule>
    <cfRule type="expression" dxfId="852" priority="161">
      <formula>AND(U$9&gt;=14/24,U$9&lt;20/24)</formula>
    </cfRule>
  </conditionalFormatting>
  <conditionalFormatting sqref="S55:AF60">
    <cfRule type="expression" dxfId="851" priority="70">
      <formula>AND(S$9&gt;=14/24,S$9&lt;20/24)</formula>
    </cfRule>
    <cfRule type="expression" dxfId="850" priority="69">
      <formula>S$9&gt;=20/24</formula>
    </cfRule>
    <cfRule type="expression" dxfId="849" priority="71">
      <formula>AND(S$9&gt;=8/24,S$9&lt;14/24)</formula>
    </cfRule>
    <cfRule type="expression" dxfId="848" priority="72">
      <formula>S$9&lt;8/24</formula>
    </cfRule>
  </conditionalFormatting>
  <conditionalFormatting sqref="T248">
    <cfRule type="expression" dxfId="847" priority="185">
      <formula>AX$9&gt;=20/24</formula>
    </cfRule>
    <cfRule type="expression" dxfId="846" priority="186">
      <formula>AND(AX$9&gt;=14/24,AX$9&lt;20/24)</formula>
    </cfRule>
    <cfRule type="expression" dxfId="845" priority="187">
      <formula>AND(AX$9&gt;=8/24,AX$9&lt;14/24)</formula>
    </cfRule>
    <cfRule type="expression" dxfId="844" priority="188">
      <formula>AX$9&lt;8/24</formula>
    </cfRule>
  </conditionalFormatting>
  <conditionalFormatting sqref="T47:AF47">
    <cfRule type="expression" dxfId="843" priority="91">
      <formula>T47&gt;$AG47</formula>
    </cfRule>
  </conditionalFormatting>
  <conditionalFormatting sqref="T47:AF49 C49:S49">
    <cfRule type="expression" dxfId="842" priority="88">
      <formula>AND(C$9&gt;=14/24,C$9&lt;20/24)</formula>
    </cfRule>
    <cfRule type="expression" dxfId="841" priority="87">
      <formula>C$9&gt;=20/24</formula>
    </cfRule>
    <cfRule type="expression" dxfId="840" priority="89">
      <formula>AND(C$9&gt;=8/24,C$9&lt;14/24)</formula>
    </cfRule>
    <cfRule type="expression" dxfId="839" priority="90">
      <formula>C$9&lt;8/24</formula>
    </cfRule>
  </conditionalFormatting>
  <conditionalFormatting sqref="T48:AF49 S49 E49:R53 S50:AF53">
    <cfRule type="expression" dxfId="838" priority="86">
      <formula>E48&gt;$AG48</formula>
    </cfRule>
  </conditionalFormatting>
  <conditionalFormatting sqref="U77 AH248:AX248">
    <cfRule type="expression" dxfId="837" priority="181">
      <formula>T$9&gt;=20/24</formula>
    </cfRule>
    <cfRule type="expression" dxfId="836" priority="182">
      <formula>AND(T$9&gt;=14/24,T$9&lt;20/24)</formula>
    </cfRule>
    <cfRule type="expression" dxfId="835" priority="184">
      <formula>T$9&lt;8/24</formula>
    </cfRule>
    <cfRule type="expression" dxfId="834" priority="183">
      <formula>AND(T$9&gt;=8/24,T$9&lt;14/24)</formula>
    </cfRule>
  </conditionalFormatting>
  <conditionalFormatting sqref="V3 AB3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833" priority="156">
      <formula>AD$9&gt;=20/24</formula>
    </cfRule>
    <cfRule type="expression" dxfId="832" priority="159">
      <formula>AD$9&lt;8/24</formula>
    </cfRule>
    <cfRule type="expression" dxfId="831" priority="158">
      <formula>AND(AD$9&gt;=8/24,AD$9&lt;14/24)</formula>
    </cfRule>
    <cfRule type="expression" dxfId="830" priority="157">
      <formula>AND(AD$9&gt;=14/24,AD$9&lt;20/24)</formula>
    </cfRule>
  </conditionalFormatting>
  <conditionalFormatting sqref="AG50">
    <cfRule type="expression" dxfId="829" priority="143">
      <formula>AG50&gt;$AG50</formula>
    </cfRule>
  </conditionalFormatting>
  <conditionalFormatting sqref="AG89">
    <cfRule type="expression" dxfId="828" priority="145">
      <formula>AND(AG$9&gt;=14/24,AG$9&lt;20/24)</formula>
    </cfRule>
    <cfRule type="expression" dxfId="827" priority="147">
      <formula>AG$9&lt;8/24</formula>
    </cfRule>
    <cfRule type="expression" dxfId="826" priority="146">
      <formula>AND(AG$9&gt;=8/24,AG$9&lt;14/24)</formula>
    </cfRule>
    <cfRule type="expression" dxfId="825" priority="144">
      <formula>AG$9&gt;=20/24</formula>
    </cfRule>
  </conditionalFormatting>
  <conditionalFormatting sqref="AG248">
    <cfRule type="expression" dxfId="824" priority="177">
      <formula>B$9&gt;=20/24</formula>
    </cfRule>
    <cfRule type="expression" dxfId="823" priority="178">
      <formula>AND(B$9&gt;=14/24,B$9&lt;20/24)</formula>
    </cfRule>
    <cfRule type="expression" dxfId="822" priority="179">
      <formula>AND(B$9&gt;=8/24,B$9&lt;14/24)</formula>
    </cfRule>
    <cfRule type="expression" dxfId="821" priority="180">
      <formula>B$9&lt;8/24</formula>
    </cfRule>
  </conditionalFormatting>
  <conditionalFormatting sqref="AL4:AL6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65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820" priority="190">
      <formula>AJ$9&gt;=20/24</formula>
    </cfRule>
    <cfRule type="expression" dxfId="819" priority="191">
      <formula>AND(AJ$9&gt;=14/24,AJ$9&lt;20/24)</formula>
    </cfRule>
    <cfRule type="expression" dxfId="818" priority="192">
      <formula>AND(AJ$9&gt;=8/24,AJ$9&lt;14/24)</formula>
    </cfRule>
    <cfRule type="expression" dxfId="817" priority="193">
      <formula>AJ$9&lt;8/24</formula>
    </cfRule>
  </conditionalFormatting>
  <conditionalFormatting sqref="AL80:AN80 AL86:AN86">
    <cfRule type="expression" dxfId="816" priority="131">
      <formula>AL$9&gt;=20/24</formula>
    </cfRule>
    <cfRule type="expression" dxfId="815" priority="132">
      <formula>AND(AL$9&gt;=14/24,AL$9&lt;20/24)</formula>
    </cfRule>
    <cfRule type="expression" dxfId="814" priority="133">
      <formula>AND(AL$9&gt;=8/24,AL$9&lt;14/24)</formula>
    </cfRule>
    <cfRule type="expression" dxfId="813" priority="134">
      <formula>AL$9&lt;8/24</formula>
    </cfRule>
  </conditionalFormatting>
  <conditionalFormatting sqref="AN81:AN84">
    <cfRule type="expression" dxfId="812" priority="130">
      <formula>AN$9&lt;8/24</formula>
    </cfRule>
    <cfRule type="expression" dxfId="811" priority="127">
      <formula>AN$9&gt;=20/24</formula>
    </cfRule>
    <cfRule type="expression" dxfId="810" priority="128">
      <formula>AND(AN$9&gt;=14/24,AN$9&lt;20/24)</formula>
    </cfRule>
    <cfRule type="expression" dxfId="809" priority="129">
      <formula>AND(AN$9&gt;=8/24,AN$9&lt;14/24)</formula>
    </cfRule>
  </conditionalFormatting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8979-0DE8-4362-9AC3-07C9B8ABE32F}">
  <dimension ref="A1:CJ281"/>
  <sheetViews>
    <sheetView zoomScale="96" zoomScaleNormal="96" workbookViewId="0">
      <pane xSplit="1" ySplit="10" topLeftCell="B55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B73" sqref="B73:F7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2080/04/20</v>
      </c>
      <c r="C4" s="203"/>
      <c r="D4" s="203"/>
      <c r="E4" s="204" t="str">
        <f ca="1">"2079/"&amp;"12/"&amp;INT(MID(CELL("filename",G6),FIND("]",CELL("filename",G6))+1,200))</f>
        <v>2079/12/20</v>
      </c>
      <c r="F4" s="204"/>
      <c r="G4" s="204"/>
      <c r="H4" s="204" t="str">
        <f ca="1">TEXT(E4,"dddd")</f>
        <v>Wednesday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9.5</v>
      </c>
      <c r="C5" s="30">
        <f t="shared" si="0"/>
        <v>5</v>
      </c>
      <c r="D5" s="30">
        <f t="shared" si="0"/>
        <v>7.7</v>
      </c>
      <c r="E5" s="30">
        <f t="shared" si="0"/>
        <v>7.7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13.6</v>
      </c>
      <c r="AA5" s="30">
        <f t="shared" si="0"/>
        <v>0</v>
      </c>
      <c r="AB5" s="30">
        <f t="shared" si="0"/>
        <v>0</v>
      </c>
      <c r="AC5" s="30">
        <f t="shared" si="0"/>
        <v>20</v>
      </c>
      <c r="AD5" s="30">
        <f t="shared" si="0"/>
        <v>0</v>
      </c>
      <c r="AE5" s="30">
        <f t="shared" si="0"/>
        <v>0</v>
      </c>
      <c r="AF5" s="30">
        <f>B84</f>
        <v>10.5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2009MW at 5:30hr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Load=1849</v>
      </c>
      <c r="B7" s="35">
        <f t="shared" ref="B7:AF7" si="1">B91</f>
        <v>2009.0400000000002</v>
      </c>
      <c r="C7" s="35">
        <f t="shared" si="1"/>
        <v>1997.5400000000002</v>
      </c>
      <c r="D7" s="35">
        <f t="shared" si="1"/>
        <v>1849.14</v>
      </c>
      <c r="E7" s="35">
        <f t="shared" si="1"/>
        <v>1874.94</v>
      </c>
      <c r="F7" s="35">
        <f t="shared" si="1"/>
        <v>1883.2400000000002</v>
      </c>
      <c r="G7" s="35">
        <f t="shared" si="1"/>
        <v>1958.8400000000001</v>
      </c>
      <c r="H7" s="35">
        <f t="shared" si="1"/>
        <v>2009.3400000000001</v>
      </c>
      <c r="I7" s="35">
        <f t="shared" si="1"/>
        <v>1989.4400000000003</v>
      </c>
      <c r="J7" s="35">
        <f t="shared" si="1"/>
        <v>1996.8400000000001</v>
      </c>
      <c r="K7" s="35">
        <f t="shared" si="1"/>
        <v>1944.1399999999999</v>
      </c>
      <c r="L7" s="35">
        <f t="shared" si="1"/>
        <v>1944.1399999999999</v>
      </c>
      <c r="M7" s="35">
        <f t="shared" si="1"/>
        <v>1952.7400000000002</v>
      </c>
      <c r="N7" s="35">
        <f>N91</f>
        <v>1955.7400000000002</v>
      </c>
      <c r="O7" s="35">
        <f t="shared" si="1"/>
        <v>1941.7400000000002</v>
      </c>
      <c r="P7" s="35">
        <f t="shared" si="1"/>
        <v>1954.6399999999999</v>
      </c>
      <c r="Q7" s="35">
        <f t="shared" si="1"/>
        <v>1941.6399999999999</v>
      </c>
      <c r="R7" s="35">
        <f t="shared" si="1"/>
        <v>1941.6399999999999</v>
      </c>
      <c r="S7" s="35">
        <f t="shared" si="1"/>
        <v>1884.0400000000002</v>
      </c>
      <c r="T7" s="35">
        <f t="shared" si="1"/>
        <v>1873.7400000000002</v>
      </c>
      <c r="U7" s="35">
        <f t="shared" si="1"/>
        <v>1873.7400000000002</v>
      </c>
      <c r="V7" s="35">
        <f t="shared" si="1"/>
        <v>1873.7400000000002</v>
      </c>
      <c r="W7" s="35">
        <f t="shared" si="1"/>
        <v>1887.44</v>
      </c>
      <c r="X7" s="35">
        <f t="shared" si="1"/>
        <v>1887.44</v>
      </c>
      <c r="Y7" s="35">
        <f t="shared" si="1"/>
        <v>2060.44</v>
      </c>
      <c r="Z7" s="35">
        <f t="shared" si="1"/>
        <v>2066.64</v>
      </c>
      <c r="AA7" s="35">
        <f t="shared" si="1"/>
        <v>2038.8400000000001</v>
      </c>
      <c r="AB7" s="35">
        <f t="shared" si="1"/>
        <v>2028.54</v>
      </c>
      <c r="AC7" s="35">
        <f t="shared" si="1"/>
        <v>2018.54</v>
      </c>
      <c r="AD7" s="35">
        <f t="shared" si="1"/>
        <v>2036.04</v>
      </c>
      <c r="AE7" s="35">
        <f t="shared" si="1"/>
        <v>2018.94</v>
      </c>
      <c r="AF7" s="35">
        <f t="shared" si="1"/>
        <v>1991.44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</v>
      </c>
      <c r="C11" s="45">
        <v>90</v>
      </c>
      <c r="D11" s="45">
        <v>0</v>
      </c>
      <c r="E11" s="45">
        <v>0</v>
      </c>
      <c r="F11" s="45">
        <v>0</v>
      </c>
      <c r="G11" s="45">
        <v>60.3</v>
      </c>
      <c r="H11" s="45">
        <v>89.8</v>
      </c>
      <c r="I11" s="45">
        <v>89.8</v>
      </c>
      <c r="J11" s="45">
        <v>89.9</v>
      </c>
      <c r="K11" s="45">
        <v>89.9</v>
      </c>
      <c r="L11" s="45">
        <v>89.9</v>
      </c>
      <c r="M11" s="45">
        <v>90</v>
      </c>
      <c r="N11" s="45">
        <v>90</v>
      </c>
      <c r="O11" s="45">
        <v>90</v>
      </c>
      <c r="P11" s="45">
        <v>86.1</v>
      </c>
      <c r="Q11" s="45">
        <v>86.1</v>
      </c>
      <c r="R11" s="45">
        <v>86.1</v>
      </c>
      <c r="S11" s="45">
        <v>86.1</v>
      </c>
      <c r="T11" s="45">
        <v>86.1</v>
      </c>
      <c r="U11" s="45">
        <v>86.1</v>
      </c>
      <c r="V11" s="45">
        <v>86.1</v>
      </c>
      <c r="W11" s="45">
        <v>86.1</v>
      </c>
      <c r="X11" s="45">
        <v>86.1</v>
      </c>
      <c r="Y11" s="45">
        <v>90</v>
      </c>
      <c r="Z11" s="45">
        <v>90</v>
      </c>
      <c r="AA11" s="45">
        <v>90</v>
      </c>
      <c r="AB11" s="45">
        <v>90</v>
      </c>
      <c r="AC11" s="45">
        <v>90</v>
      </c>
      <c r="AD11" s="45">
        <v>90</v>
      </c>
      <c r="AE11" s="45">
        <v>90</v>
      </c>
      <c r="AF11" s="45">
        <v>90</v>
      </c>
      <c r="AG11" s="46">
        <v>86</v>
      </c>
      <c r="AH11" s="47">
        <f t="shared" ref="AH11:AH76" si="2">MAX(B11:AF11)</f>
        <v>90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26</v>
      </c>
      <c r="C12" s="45">
        <v>26</v>
      </c>
      <c r="D12" s="45">
        <v>26</v>
      </c>
      <c r="E12" s="45">
        <v>26</v>
      </c>
      <c r="F12" s="45">
        <v>26</v>
      </c>
      <c r="G12" s="45">
        <v>26</v>
      </c>
      <c r="H12" s="45">
        <v>26</v>
      </c>
      <c r="I12" s="45">
        <v>26</v>
      </c>
      <c r="J12" s="45">
        <v>26</v>
      </c>
      <c r="K12" s="45">
        <v>9</v>
      </c>
      <c r="L12" s="45">
        <v>9</v>
      </c>
      <c r="M12" s="45">
        <v>0</v>
      </c>
      <c r="N12" s="45">
        <v>0</v>
      </c>
      <c r="O12" s="45">
        <v>8</v>
      </c>
      <c r="P12" s="45">
        <v>8</v>
      </c>
      <c r="Q12" s="45">
        <v>8</v>
      </c>
      <c r="R12" s="45">
        <v>8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26</v>
      </c>
      <c r="Z12" s="45">
        <v>26</v>
      </c>
      <c r="AA12" s="45">
        <v>26</v>
      </c>
      <c r="AB12" s="45">
        <v>26</v>
      </c>
      <c r="AC12" s="45">
        <v>26</v>
      </c>
      <c r="AD12" s="45">
        <v>26</v>
      </c>
      <c r="AE12" s="45">
        <v>26</v>
      </c>
      <c r="AF12" s="45">
        <v>18</v>
      </c>
      <c r="AG12" s="49">
        <v>54</v>
      </c>
      <c r="AH12" s="47">
        <f t="shared" si="2"/>
        <v>26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54.8</v>
      </c>
      <c r="C13" s="45">
        <v>54.8</v>
      </c>
      <c r="D13" s="45">
        <v>54.8</v>
      </c>
      <c r="E13" s="45">
        <v>54.8</v>
      </c>
      <c r="F13" s="45">
        <v>54.8</v>
      </c>
      <c r="G13" s="45">
        <v>54.8</v>
      </c>
      <c r="H13" s="45">
        <v>54.8</v>
      </c>
      <c r="I13" s="45">
        <v>54.8</v>
      </c>
      <c r="J13" s="45">
        <v>54.8</v>
      </c>
      <c r="K13" s="45">
        <v>54.8</v>
      </c>
      <c r="L13" s="45">
        <v>54.8</v>
      </c>
      <c r="M13" s="45">
        <v>54.8</v>
      </c>
      <c r="N13" s="45">
        <v>54.8</v>
      </c>
      <c r="O13" s="45">
        <v>54.8</v>
      </c>
      <c r="P13" s="45">
        <v>54.2</v>
      </c>
      <c r="Q13" s="45">
        <v>54.2</v>
      </c>
      <c r="R13" s="45">
        <v>54.2</v>
      </c>
      <c r="S13" s="45">
        <v>54.2</v>
      </c>
      <c r="T13" s="45">
        <v>54.2</v>
      </c>
      <c r="U13" s="45">
        <v>54.2</v>
      </c>
      <c r="V13" s="45">
        <v>54.2</v>
      </c>
      <c r="W13" s="45">
        <v>54.2</v>
      </c>
      <c r="X13" s="45">
        <v>54.2</v>
      </c>
      <c r="Y13" s="45">
        <v>54.8</v>
      </c>
      <c r="Z13" s="45">
        <v>54.8</v>
      </c>
      <c r="AA13" s="45">
        <v>55</v>
      </c>
      <c r="AB13" s="45">
        <v>55</v>
      </c>
      <c r="AC13" s="45">
        <v>55</v>
      </c>
      <c r="AD13" s="45">
        <v>55</v>
      </c>
      <c r="AE13" s="45">
        <v>55</v>
      </c>
      <c r="AF13" s="45">
        <v>55</v>
      </c>
      <c r="AG13" s="46">
        <v>52.4</v>
      </c>
      <c r="AH13" s="47">
        <f t="shared" si="2"/>
        <v>55</v>
      </c>
      <c r="AI13" s="48">
        <f t="shared" si="3"/>
        <v>54.2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50.3</v>
      </c>
      <c r="C14" s="58">
        <v>50.3</v>
      </c>
      <c r="D14" s="58">
        <v>50.3</v>
      </c>
      <c r="E14" s="58">
        <v>50.3</v>
      </c>
      <c r="F14" s="58">
        <v>50.3</v>
      </c>
      <c r="G14" s="58">
        <v>50.3</v>
      </c>
      <c r="H14" s="58">
        <v>50.3</v>
      </c>
      <c r="I14" s="58">
        <v>50.3</v>
      </c>
      <c r="J14" s="58">
        <v>50.3</v>
      </c>
      <c r="K14" s="58">
        <v>50.3</v>
      </c>
      <c r="L14" s="58">
        <v>50.3</v>
      </c>
      <c r="M14" s="58">
        <v>50.3</v>
      </c>
      <c r="N14" s="58">
        <v>50.3</v>
      </c>
      <c r="O14" s="58">
        <v>50.3</v>
      </c>
      <c r="P14" s="58">
        <v>50.5</v>
      </c>
      <c r="Q14" s="58">
        <v>50.5</v>
      </c>
      <c r="R14" s="58">
        <v>50.5</v>
      </c>
      <c r="S14" s="58">
        <v>50.5</v>
      </c>
      <c r="T14" s="58">
        <v>50.5</v>
      </c>
      <c r="U14" s="58">
        <v>50.5</v>
      </c>
      <c r="V14" s="58">
        <v>50.5</v>
      </c>
      <c r="W14" s="58">
        <v>50.5</v>
      </c>
      <c r="X14" s="58">
        <v>50.5</v>
      </c>
      <c r="Y14" s="45">
        <v>50.3</v>
      </c>
      <c r="Z14" s="45">
        <v>50.3</v>
      </c>
      <c r="AA14" s="45">
        <v>50.3</v>
      </c>
      <c r="AB14" s="45">
        <v>50.3</v>
      </c>
      <c r="AC14" s="45">
        <v>50.3</v>
      </c>
      <c r="AD14" s="45">
        <v>50.3</v>
      </c>
      <c r="AE14" s="45">
        <v>50.3</v>
      </c>
      <c r="AF14" s="45">
        <v>50.3</v>
      </c>
      <c r="AG14" s="49">
        <v>50</v>
      </c>
      <c r="AH14" s="47">
        <f t="shared" si="2"/>
        <v>50.5</v>
      </c>
      <c r="AI14" s="48">
        <f t="shared" si="3"/>
        <v>50.3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46.2</v>
      </c>
      <c r="C15" s="45">
        <v>46.2</v>
      </c>
      <c r="D15" s="45">
        <v>46.2</v>
      </c>
      <c r="E15" s="45">
        <v>46.2</v>
      </c>
      <c r="F15" s="45">
        <v>46.2</v>
      </c>
      <c r="G15" s="45">
        <v>46.2</v>
      </c>
      <c r="H15" s="45">
        <v>46.2</v>
      </c>
      <c r="I15" s="45">
        <v>46.2</v>
      </c>
      <c r="J15" s="45">
        <v>46.2</v>
      </c>
      <c r="K15" s="45">
        <v>46.2</v>
      </c>
      <c r="L15" s="45">
        <v>46.2</v>
      </c>
      <c r="M15" s="45">
        <v>46.1</v>
      </c>
      <c r="N15" s="45">
        <v>46.1</v>
      </c>
      <c r="O15" s="45">
        <v>46.1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45.9</v>
      </c>
      <c r="Z15" s="45">
        <v>45.9</v>
      </c>
      <c r="AA15" s="45">
        <v>46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46.2</v>
      </c>
      <c r="AI15" s="48">
        <f t="shared" si="3"/>
        <v>45.9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30</v>
      </c>
      <c r="C17" s="45">
        <v>30</v>
      </c>
      <c r="D17" s="45">
        <v>30</v>
      </c>
      <c r="E17" s="45">
        <v>30</v>
      </c>
      <c r="F17" s="45">
        <v>30</v>
      </c>
      <c r="G17" s="45">
        <v>30</v>
      </c>
      <c r="H17" s="45">
        <v>30</v>
      </c>
      <c r="I17" s="45">
        <v>30</v>
      </c>
      <c r="J17" s="45">
        <v>30</v>
      </c>
      <c r="K17" s="45">
        <v>30</v>
      </c>
      <c r="L17" s="45">
        <v>30</v>
      </c>
      <c r="M17" s="45">
        <v>30</v>
      </c>
      <c r="N17" s="45">
        <v>30</v>
      </c>
      <c r="O17" s="45">
        <v>35</v>
      </c>
      <c r="P17" s="45">
        <v>29</v>
      </c>
      <c r="Q17" s="45">
        <v>29</v>
      </c>
      <c r="R17" s="45">
        <v>29</v>
      </c>
      <c r="S17" s="45">
        <v>29</v>
      </c>
      <c r="T17" s="45">
        <v>29</v>
      </c>
      <c r="U17" s="45">
        <v>29</v>
      </c>
      <c r="V17" s="45">
        <v>29</v>
      </c>
      <c r="W17" s="45">
        <v>29</v>
      </c>
      <c r="X17" s="45">
        <v>29</v>
      </c>
      <c r="Y17" s="45">
        <v>30</v>
      </c>
      <c r="Z17" s="45">
        <v>30</v>
      </c>
      <c r="AA17" s="45">
        <v>41</v>
      </c>
      <c r="AB17" s="45">
        <v>41</v>
      </c>
      <c r="AC17" s="45">
        <v>31</v>
      </c>
      <c r="AD17" s="45">
        <v>31</v>
      </c>
      <c r="AE17" s="45">
        <v>31</v>
      </c>
      <c r="AF17" s="45">
        <v>31</v>
      </c>
      <c r="AG17" s="49">
        <v>42</v>
      </c>
      <c r="AH17" s="47">
        <f t="shared" si="2"/>
        <v>41</v>
      </c>
      <c r="AI17" s="48">
        <f t="shared" si="3"/>
        <v>29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28</v>
      </c>
      <c r="Q18" s="45">
        <v>28</v>
      </c>
      <c r="R18" s="45">
        <v>28</v>
      </c>
      <c r="S18" s="45">
        <v>28</v>
      </c>
      <c r="T18" s="45">
        <v>28</v>
      </c>
      <c r="U18" s="45">
        <v>28</v>
      </c>
      <c r="V18" s="45">
        <v>28</v>
      </c>
      <c r="W18" s="45">
        <v>28</v>
      </c>
      <c r="X18" s="45">
        <v>28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28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0</v>
      </c>
      <c r="C19" s="45">
        <v>0</v>
      </c>
      <c r="D19" s="45">
        <v>0</v>
      </c>
      <c r="E19" s="45">
        <v>0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0</v>
      </c>
      <c r="P19" s="45">
        <v>28</v>
      </c>
      <c r="Q19" s="45">
        <v>28</v>
      </c>
      <c r="R19" s="45">
        <v>28</v>
      </c>
      <c r="S19" s="45">
        <v>28</v>
      </c>
      <c r="T19" s="45">
        <v>28</v>
      </c>
      <c r="U19" s="45">
        <v>28</v>
      </c>
      <c r="V19" s="45">
        <v>28</v>
      </c>
      <c r="W19" s="45">
        <v>28</v>
      </c>
      <c r="X19" s="45">
        <v>28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15</v>
      </c>
      <c r="D20" s="45">
        <v>15</v>
      </c>
      <c r="E20" s="45">
        <v>25.6</v>
      </c>
      <c r="F20" s="45">
        <v>20.399999999999999</v>
      </c>
      <c r="G20" s="45">
        <v>30.1</v>
      </c>
      <c r="H20" s="45">
        <v>30.1</v>
      </c>
      <c r="I20" s="45">
        <v>15.6</v>
      </c>
      <c r="J20" s="45">
        <v>15.6</v>
      </c>
      <c r="K20" s="45">
        <v>5.4</v>
      </c>
      <c r="L20" s="45">
        <v>5.4</v>
      </c>
      <c r="M20" s="45">
        <v>0</v>
      </c>
      <c r="N20" s="45">
        <v>0</v>
      </c>
      <c r="O20" s="45">
        <v>0</v>
      </c>
      <c r="P20" s="45">
        <v>5.2</v>
      </c>
      <c r="Q20" s="45">
        <v>5.2</v>
      </c>
      <c r="R20" s="45">
        <v>5.2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30</v>
      </c>
      <c r="Z20" s="45">
        <v>30</v>
      </c>
      <c r="AA20" s="45">
        <v>5.7</v>
      </c>
      <c r="AB20" s="45">
        <v>15</v>
      </c>
      <c r="AC20" s="45">
        <v>15</v>
      </c>
      <c r="AD20" s="45">
        <v>15</v>
      </c>
      <c r="AE20" s="45">
        <v>15</v>
      </c>
      <c r="AF20" s="45">
        <v>15</v>
      </c>
      <c r="AG20" s="51">
        <v>30</v>
      </c>
      <c r="AH20" s="47">
        <f t="shared" si="2"/>
        <v>30.1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33</v>
      </c>
      <c r="C21" s="45">
        <v>33</v>
      </c>
      <c r="D21" s="45">
        <v>33</v>
      </c>
      <c r="E21" s="45">
        <v>33</v>
      </c>
      <c r="F21" s="45">
        <v>24.6</v>
      </c>
      <c r="G21" s="45">
        <v>24.6</v>
      </c>
      <c r="H21" s="45">
        <v>24.6</v>
      </c>
      <c r="I21" s="45">
        <v>24.6</v>
      </c>
      <c r="J21" s="45">
        <v>24.6</v>
      </c>
      <c r="K21" s="45">
        <v>24.6</v>
      </c>
      <c r="L21" s="45">
        <v>24.6</v>
      </c>
      <c r="M21" s="45">
        <v>25.3</v>
      </c>
      <c r="N21" s="45">
        <v>25.3</v>
      </c>
      <c r="O21" s="45">
        <v>25.3</v>
      </c>
      <c r="P21" s="45">
        <v>25</v>
      </c>
      <c r="Q21" s="45">
        <v>25</v>
      </c>
      <c r="R21" s="45">
        <v>25</v>
      </c>
      <c r="S21" s="45">
        <v>25</v>
      </c>
      <c r="T21" s="45">
        <v>25</v>
      </c>
      <c r="U21" s="45">
        <v>25</v>
      </c>
      <c r="V21" s="45">
        <v>25</v>
      </c>
      <c r="W21" s="45">
        <v>25</v>
      </c>
      <c r="X21" s="45">
        <v>25</v>
      </c>
      <c r="Y21" s="45">
        <v>20.7</v>
      </c>
      <c r="Z21" s="45">
        <v>20.7</v>
      </c>
      <c r="AA21" s="45">
        <v>20.7</v>
      </c>
      <c r="AB21" s="45">
        <v>20.7</v>
      </c>
      <c r="AC21" s="45">
        <v>20.7</v>
      </c>
      <c r="AD21" s="45">
        <v>20.7</v>
      </c>
      <c r="AE21" s="45">
        <v>20.7</v>
      </c>
      <c r="AF21" s="45">
        <v>20.7</v>
      </c>
      <c r="AG21" s="49">
        <v>24.2</v>
      </c>
      <c r="AH21" s="47">
        <f t="shared" si="2"/>
        <v>33</v>
      </c>
      <c r="AI21" s="48">
        <f t="shared" si="3"/>
        <v>20.7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28.5</v>
      </c>
      <c r="C22" s="45">
        <v>28.5</v>
      </c>
      <c r="D22" s="45">
        <v>28.5</v>
      </c>
      <c r="E22" s="45">
        <v>28.5</v>
      </c>
      <c r="F22" s="45">
        <v>28.5</v>
      </c>
      <c r="G22" s="45">
        <v>28.5</v>
      </c>
      <c r="H22" s="45">
        <v>28.5</v>
      </c>
      <c r="I22" s="45">
        <v>28.5</v>
      </c>
      <c r="J22" s="45">
        <v>28.5</v>
      </c>
      <c r="K22" s="45">
        <v>28.5</v>
      </c>
      <c r="L22" s="45">
        <v>28.5</v>
      </c>
      <c r="M22" s="45">
        <v>28.5</v>
      </c>
      <c r="N22" s="45">
        <v>28.5</v>
      </c>
      <c r="O22" s="45">
        <v>28.5</v>
      </c>
      <c r="P22" s="45">
        <v>28.5</v>
      </c>
      <c r="Q22" s="45">
        <v>28.5</v>
      </c>
      <c r="R22" s="45">
        <v>28.5</v>
      </c>
      <c r="S22" s="45">
        <v>28.5</v>
      </c>
      <c r="T22" s="45">
        <v>28.5</v>
      </c>
      <c r="U22" s="45">
        <v>28.5</v>
      </c>
      <c r="V22" s="45">
        <v>28.5</v>
      </c>
      <c r="W22" s="45">
        <v>28.5</v>
      </c>
      <c r="X22" s="45">
        <v>28.5</v>
      </c>
      <c r="Y22" s="45">
        <v>20.6</v>
      </c>
      <c r="Z22" s="45">
        <v>20.6</v>
      </c>
      <c r="AA22" s="45">
        <v>28.5</v>
      </c>
      <c r="AB22" s="45">
        <v>28.5</v>
      </c>
      <c r="AC22" s="45">
        <v>28.5</v>
      </c>
      <c r="AD22" s="45">
        <v>28.5</v>
      </c>
      <c r="AE22" s="45">
        <v>28.5</v>
      </c>
      <c r="AF22" s="45">
        <v>20</v>
      </c>
      <c r="AG22" s="49">
        <v>28</v>
      </c>
      <c r="AH22" s="47">
        <f t="shared" si="2"/>
        <v>28.5</v>
      </c>
      <c r="AI22" s="48">
        <f t="shared" si="3"/>
        <v>20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14</v>
      </c>
      <c r="C23" s="45">
        <v>14</v>
      </c>
      <c r="D23" s="45">
        <v>14</v>
      </c>
      <c r="E23" s="45">
        <v>18</v>
      </c>
      <c r="F23" s="45">
        <v>18</v>
      </c>
      <c r="G23" s="45">
        <v>18</v>
      </c>
      <c r="H23" s="45">
        <v>18</v>
      </c>
      <c r="I23" s="45">
        <v>13.5</v>
      </c>
      <c r="J23" s="45">
        <v>13.5</v>
      </c>
      <c r="K23" s="45">
        <v>4.5</v>
      </c>
      <c r="L23" s="45">
        <v>4.5</v>
      </c>
      <c r="M23" s="45">
        <v>0</v>
      </c>
      <c r="N23" s="45">
        <v>0</v>
      </c>
      <c r="O23" s="45">
        <v>3</v>
      </c>
      <c r="P23" s="45">
        <v>4</v>
      </c>
      <c r="Q23" s="45">
        <v>4</v>
      </c>
      <c r="R23" s="45">
        <v>4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18</v>
      </c>
      <c r="Z23" s="45">
        <v>18</v>
      </c>
      <c r="AA23" s="45">
        <v>13.5</v>
      </c>
      <c r="AB23" s="45">
        <v>13.5</v>
      </c>
      <c r="AC23" s="45">
        <v>13.5</v>
      </c>
      <c r="AD23" s="45">
        <v>13.5</v>
      </c>
      <c r="AE23" s="45">
        <v>13.5</v>
      </c>
      <c r="AF23" s="45">
        <v>9</v>
      </c>
      <c r="AG23" s="51">
        <v>30</v>
      </c>
      <c r="AH23" s="47">
        <f t="shared" si="2"/>
        <v>18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26.1</v>
      </c>
      <c r="C24" s="45">
        <v>26.1</v>
      </c>
      <c r="D24" s="45">
        <v>26.1</v>
      </c>
      <c r="E24" s="45">
        <v>26.1</v>
      </c>
      <c r="F24" s="45">
        <v>26.1</v>
      </c>
      <c r="G24" s="45">
        <v>26.1</v>
      </c>
      <c r="H24" s="45">
        <v>26.1</v>
      </c>
      <c r="I24" s="45">
        <v>26.1</v>
      </c>
      <c r="J24" s="45">
        <v>26.1</v>
      </c>
      <c r="K24" s="45">
        <v>26.1</v>
      </c>
      <c r="L24" s="45">
        <v>26.1</v>
      </c>
      <c r="M24" s="45">
        <v>26</v>
      </c>
      <c r="N24" s="45">
        <v>26</v>
      </c>
      <c r="O24" s="45">
        <v>26</v>
      </c>
      <c r="P24" s="45">
        <v>24.4</v>
      </c>
      <c r="Q24" s="45">
        <v>24.4</v>
      </c>
      <c r="R24" s="45">
        <v>24.4</v>
      </c>
      <c r="S24" s="45">
        <v>24.4</v>
      </c>
      <c r="T24" s="45">
        <v>24.4</v>
      </c>
      <c r="U24" s="45">
        <v>24.4</v>
      </c>
      <c r="V24" s="45">
        <v>24.4</v>
      </c>
      <c r="W24" s="45">
        <v>24.4</v>
      </c>
      <c r="X24" s="45">
        <v>24.4</v>
      </c>
      <c r="Y24" s="45">
        <v>24.2</v>
      </c>
      <c r="Z24" s="45">
        <v>24.2</v>
      </c>
      <c r="AA24" s="45">
        <v>24.2</v>
      </c>
      <c r="AB24" s="45">
        <v>24.2</v>
      </c>
      <c r="AC24" s="45">
        <v>24.2</v>
      </c>
      <c r="AD24" s="45">
        <v>24.2</v>
      </c>
      <c r="AE24" s="45">
        <v>24.2</v>
      </c>
      <c r="AF24" s="45">
        <v>24.2</v>
      </c>
      <c r="AG24" s="49">
        <v>25</v>
      </c>
      <c r="AH24" s="47">
        <f t="shared" si="2"/>
        <v>26.1</v>
      </c>
      <c r="AI24" s="48">
        <f t="shared" si="3"/>
        <v>24.2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12.5</v>
      </c>
      <c r="C27" s="45">
        <v>12.5</v>
      </c>
      <c r="D27" s="45">
        <v>12.5</v>
      </c>
      <c r="E27" s="45">
        <v>21</v>
      </c>
      <c r="F27" s="45">
        <v>17</v>
      </c>
      <c r="G27" s="45">
        <v>25</v>
      </c>
      <c r="H27" s="45">
        <v>25</v>
      </c>
      <c r="I27" s="45">
        <v>12.5</v>
      </c>
      <c r="J27" s="45">
        <v>12.5</v>
      </c>
      <c r="K27" s="45">
        <v>4</v>
      </c>
      <c r="L27" s="45">
        <v>4</v>
      </c>
      <c r="M27" s="45">
        <v>0</v>
      </c>
      <c r="N27" s="45">
        <v>0</v>
      </c>
      <c r="O27" s="45">
        <v>3</v>
      </c>
      <c r="P27" s="45">
        <v>4</v>
      </c>
      <c r="Q27" s="45">
        <v>4</v>
      </c>
      <c r="R27" s="45">
        <v>4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25</v>
      </c>
      <c r="Z27" s="45">
        <v>25</v>
      </c>
      <c r="AA27" s="45">
        <v>12.5</v>
      </c>
      <c r="AB27" s="45">
        <v>12.5</v>
      </c>
      <c r="AC27" s="45">
        <v>12.5</v>
      </c>
      <c r="AD27" s="45">
        <v>12.5</v>
      </c>
      <c r="AE27" s="45">
        <v>12.5</v>
      </c>
      <c r="AF27" s="45">
        <v>8</v>
      </c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24.9</v>
      </c>
      <c r="C28" s="45">
        <v>24.9</v>
      </c>
      <c r="D28" s="45">
        <v>24.9</v>
      </c>
      <c r="E28" s="45">
        <v>24.9</v>
      </c>
      <c r="F28" s="45">
        <v>24.9</v>
      </c>
      <c r="G28" s="45">
        <v>24.9</v>
      </c>
      <c r="H28" s="45">
        <v>24.9</v>
      </c>
      <c r="I28" s="45">
        <v>24.9</v>
      </c>
      <c r="J28" s="45">
        <v>24.9</v>
      </c>
      <c r="K28" s="45">
        <v>24.9</v>
      </c>
      <c r="L28" s="45">
        <v>24.9</v>
      </c>
      <c r="M28" s="45">
        <v>24.8</v>
      </c>
      <c r="N28" s="45">
        <v>24.8</v>
      </c>
      <c r="O28" s="45">
        <v>24.8</v>
      </c>
      <c r="P28" s="45">
        <v>23.5</v>
      </c>
      <c r="Q28" s="45">
        <v>23.5</v>
      </c>
      <c r="R28" s="45">
        <v>23.5</v>
      </c>
      <c r="S28" s="45">
        <v>23.5</v>
      </c>
      <c r="T28" s="45">
        <v>23.5</v>
      </c>
      <c r="U28" s="45">
        <v>23.5</v>
      </c>
      <c r="V28" s="45">
        <v>23.5</v>
      </c>
      <c r="W28" s="45">
        <v>23.5</v>
      </c>
      <c r="X28" s="45">
        <v>23.5</v>
      </c>
      <c r="Y28" s="45">
        <v>24.9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24.9</v>
      </c>
      <c r="AF28" s="45">
        <v>24.9</v>
      </c>
      <c r="AG28" s="49">
        <v>23.5</v>
      </c>
      <c r="AH28" s="47">
        <f t="shared" si="2"/>
        <v>24.9</v>
      </c>
      <c r="AI28" s="48">
        <f t="shared" si="3"/>
        <v>23.5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7</v>
      </c>
      <c r="C33" s="45">
        <v>7</v>
      </c>
      <c r="D33" s="45">
        <v>7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10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5</v>
      </c>
      <c r="AF33" s="45">
        <v>5</v>
      </c>
      <c r="AG33" s="49">
        <v>20</v>
      </c>
      <c r="AH33" s="47">
        <f t="shared" si="2"/>
        <v>10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6</v>
      </c>
      <c r="C34" s="45">
        <v>6</v>
      </c>
      <c r="D34" s="45">
        <v>6</v>
      </c>
      <c r="E34" s="45">
        <v>4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9</v>
      </c>
      <c r="Z34" s="45">
        <v>9</v>
      </c>
      <c r="AA34" s="45">
        <v>5</v>
      </c>
      <c r="AB34" s="45">
        <v>5</v>
      </c>
      <c r="AC34" s="45">
        <v>5</v>
      </c>
      <c r="AD34" s="45">
        <v>5</v>
      </c>
      <c r="AE34" s="45">
        <v>5</v>
      </c>
      <c r="AF34" s="45">
        <v>5</v>
      </c>
      <c r="AG34" s="49">
        <v>18</v>
      </c>
      <c r="AH34" s="47">
        <f t="shared" si="2"/>
        <v>9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6</v>
      </c>
      <c r="C39" s="45">
        <v>6</v>
      </c>
      <c r="D39" s="45">
        <v>6</v>
      </c>
      <c r="E39" s="45">
        <v>10</v>
      </c>
      <c r="F39" s="45">
        <v>8</v>
      </c>
      <c r="G39" s="45">
        <v>12</v>
      </c>
      <c r="H39" s="45">
        <v>12</v>
      </c>
      <c r="I39" s="45">
        <v>6</v>
      </c>
      <c r="J39" s="45">
        <v>6</v>
      </c>
      <c r="K39" s="45">
        <v>2</v>
      </c>
      <c r="L39" s="45">
        <v>2</v>
      </c>
      <c r="M39" s="45">
        <v>0</v>
      </c>
      <c r="N39" s="45">
        <v>0</v>
      </c>
      <c r="O39" s="45">
        <v>3</v>
      </c>
      <c r="P39" s="45">
        <v>2</v>
      </c>
      <c r="Q39" s="45">
        <v>2</v>
      </c>
      <c r="R39" s="45">
        <v>2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12</v>
      </c>
      <c r="Z39" s="45">
        <v>12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4</v>
      </c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6</v>
      </c>
      <c r="C41" s="45">
        <v>6</v>
      </c>
      <c r="D41" s="45">
        <v>6</v>
      </c>
      <c r="E41" s="45">
        <v>6</v>
      </c>
      <c r="F41" s="45">
        <v>3.5</v>
      </c>
      <c r="G41" s="45">
        <v>3.5</v>
      </c>
      <c r="H41" s="45">
        <v>3.5</v>
      </c>
      <c r="I41" s="45">
        <v>3.5</v>
      </c>
      <c r="J41" s="45">
        <v>3.5</v>
      </c>
      <c r="K41" s="45">
        <v>3.5</v>
      </c>
      <c r="L41" s="45">
        <v>3.5</v>
      </c>
      <c r="M41" s="45">
        <v>3.5</v>
      </c>
      <c r="N41" s="45">
        <v>3.5</v>
      </c>
      <c r="O41" s="45">
        <v>3.5</v>
      </c>
      <c r="P41" s="45">
        <v>3.5</v>
      </c>
      <c r="Q41" s="45">
        <v>3.5</v>
      </c>
      <c r="R41" s="45">
        <v>3.5</v>
      </c>
      <c r="S41" s="45">
        <v>3.5</v>
      </c>
      <c r="T41" s="45">
        <v>3.5</v>
      </c>
      <c r="U41" s="45">
        <v>3.5</v>
      </c>
      <c r="V41" s="45">
        <v>3.5</v>
      </c>
      <c r="W41" s="45">
        <v>3.5</v>
      </c>
      <c r="X41" s="45">
        <v>3.5</v>
      </c>
      <c r="Y41" s="45">
        <v>12</v>
      </c>
      <c r="Z41" s="45">
        <v>12</v>
      </c>
      <c r="AA41" s="45">
        <v>12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2"/>
        <v>12</v>
      </c>
      <c r="AI41" s="48">
        <f t="shared" si="3"/>
        <v>3.5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11.9</v>
      </c>
      <c r="C43" s="45">
        <v>11.9</v>
      </c>
      <c r="D43" s="45">
        <v>11.9</v>
      </c>
      <c r="E43" s="45">
        <v>11.9</v>
      </c>
      <c r="F43" s="45">
        <v>11.9</v>
      </c>
      <c r="G43" s="45">
        <v>11.9</v>
      </c>
      <c r="H43" s="45">
        <v>11.9</v>
      </c>
      <c r="I43" s="45">
        <v>11.9</v>
      </c>
      <c r="J43" s="45">
        <v>11.9</v>
      </c>
      <c r="K43" s="45">
        <v>11.9</v>
      </c>
      <c r="L43" s="45">
        <v>11.9</v>
      </c>
      <c r="M43" s="45">
        <v>11.9</v>
      </c>
      <c r="N43" s="45">
        <v>11.9</v>
      </c>
      <c r="O43" s="45">
        <v>11.9</v>
      </c>
      <c r="P43" s="45">
        <v>11</v>
      </c>
      <c r="Q43" s="45">
        <v>11</v>
      </c>
      <c r="R43" s="45">
        <v>11</v>
      </c>
      <c r="S43" s="45">
        <v>11</v>
      </c>
      <c r="T43" s="45">
        <v>11</v>
      </c>
      <c r="U43" s="45">
        <v>11</v>
      </c>
      <c r="V43" s="45">
        <v>11</v>
      </c>
      <c r="W43" s="45">
        <v>11</v>
      </c>
      <c r="X43" s="45">
        <v>11</v>
      </c>
      <c r="Y43" s="45">
        <v>11.9</v>
      </c>
      <c r="Z43" s="45">
        <v>11.9</v>
      </c>
      <c r="AA43" s="45">
        <v>11.9</v>
      </c>
      <c r="AB43" s="45">
        <v>11.9</v>
      </c>
      <c r="AC43" s="45">
        <v>11.9</v>
      </c>
      <c r="AD43" s="45">
        <v>11.9</v>
      </c>
      <c r="AE43" s="45">
        <v>11.9</v>
      </c>
      <c r="AF43" s="45">
        <v>11.9</v>
      </c>
      <c r="AG43" s="51">
        <v>11.88</v>
      </c>
      <c r="AH43" s="47">
        <f t="shared" si="2"/>
        <v>11.9</v>
      </c>
      <c r="AI43" s="48">
        <f t="shared" si="3"/>
        <v>11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10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358</v>
      </c>
      <c r="C48" s="56">
        <v>358</v>
      </c>
      <c r="D48" s="56">
        <v>358</v>
      </c>
      <c r="E48" s="56">
        <v>358</v>
      </c>
      <c r="F48" s="56">
        <v>358</v>
      </c>
      <c r="G48" s="56">
        <v>358</v>
      </c>
      <c r="H48" s="56">
        <v>358</v>
      </c>
      <c r="I48" s="56">
        <v>358</v>
      </c>
      <c r="J48" s="56">
        <v>358</v>
      </c>
      <c r="K48" s="56">
        <v>358</v>
      </c>
      <c r="L48" s="56">
        <v>358</v>
      </c>
      <c r="M48" s="56">
        <v>358</v>
      </c>
      <c r="N48" s="56">
        <v>358</v>
      </c>
      <c r="O48" s="56">
        <v>358</v>
      </c>
      <c r="P48" s="56">
        <v>360</v>
      </c>
      <c r="Q48" s="56">
        <v>360</v>
      </c>
      <c r="R48" s="56">
        <v>360</v>
      </c>
      <c r="S48" s="56">
        <v>360</v>
      </c>
      <c r="T48" s="56">
        <v>360</v>
      </c>
      <c r="U48" s="56">
        <v>360</v>
      </c>
      <c r="V48" s="56">
        <v>360</v>
      </c>
      <c r="W48" s="56">
        <v>360</v>
      </c>
      <c r="X48" s="56">
        <v>360</v>
      </c>
      <c r="Y48" s="45">
        <v>358</v>
      </c>
      <c r="Z48" s="45">
        <v>358</v>
      </c>
      <c r="AA48" s="56">
        <v>358</v>
      </c>
      <c r="AB48" s="56">
        <v>358</v>
      </c>
      <c r="AC48" s="56">
        <v>358</v>
      </c>
      <c r="AD48" s="56">
        <v>358</v>
      </c>
      <c r="AE48" s="56">
        <v>358</v>
      </c>
      <c r="AF48" s="56">
        <v>358</v>
      </c>
      <c r="AG48" s="54">
        <v>85</v>
      </c>
      <c r="AH48" s="47">
        <f t="shared" si="2"/>
        <v>360</v>
      </c>
      <c r="AI48" s="48">
        <f t="shared" si="3"/>
        <v>358</v>
      </c>
      <c r="AK48" s="50"/>
    </row>
    <row r="49" spans="1:41" ht="15.75" thickBot="1" x14ac:dyDescent="0.3">
      <c r="A49" s="57" t="s">
        <v>57</v>
      </c>
      <c r="B49" s="58">
        <v>104.1</v>
      </c>
      <c r="C49" s="58">
        <v>104.1</v>
      </c>
      <c r="D49" s="58">
        <v>104.1</v>
      </c>
      <c r="E49" s="58">
        <v>104.1</v>
      </c>
      <c r="F49" s="58">
        <v>104.1</v>
      </c>
      <c r="G49" s="58">
        <v>104.1</v>
      </c>
      <c r="H49" s="58">
        <f t="shared" ref="H49:O49" si="4">24.9+84.9</f>
        <v>109.80000000000001</v>
      </c>
      <c r="I49" s="58">
        <f t="shared" si="4"/>
        <v>109.80000000000001</v>
      </c>
      <c r="J49" s="58">
        <f t="shared" si="4"/>
        <v>109.80000000000001</v>
      </c>
      <c r="K49" s="58">
        <f t="shared" si="4"/>
        <v>109.80000000000001</v>
      </c>
      <c r="L49" s="58">
        <f t="shared" si="4"/>
        <v>109.80000000000001</v>
      </c>
      <c r="M49" s="58">
        <f t="shared" si="4"/>
        <v>109.80000000000001</v>
      </c>
      <c r="N49" s="58">
        <f t="shared" si="4"/>
        <v>109.80000000000001</v>
      </c>
      <c r="O49" s="58">
        <f t="shared" si="4"/>
        <v>109.80000000000001</v>
      </c>
      <c r="P49" s="58">
        <v>98.7</v>
      </c>
      <c r="Q49" s="58">
        <v>98.7</v>
      </c>
      <c r="R49" s="58">
        <v>98.7</v>
      </c>
      <c r="S49" s="58">
        <v>98.7</v>
      </c>
      <c r="T49" s="58">
        <v>98.7</v>
      </c>
      <c r="U49" s="58">
        <v>98.7</v>
      </c>
      <c r="V49" s="58">
        <v>98.7</v>
      </c>
      <c r="W49" s="58">
        <v>98.7</v>
      </c>
      <c r="X49" s="58">
        <v>104</v>
      </c>
      <c r="Y49" s="45">
        <v>104.1</v>
      </c>
      <c r="Z49" s="45">
        <v>104.1</v>
      </c>
      <c r="AA49" s="56">
        <v>104.1</v>
      </c>
      <c r="AB49" s="56">
        <v>104.1</v>
      </c>
      <c r="AC49" s="56">
        <v>104.1</v>
      </c>
      <c r="AD49" s="56">
        <v>104.1</v>
      </c>
      <c r="AE49" s="56">
        <v>104.1</v>
      </c>
      <c r="AF49" s="56">
        <v>104.1</v>
      </c>
      <c r="AG49" s="54">
        <v>240</v>
      </c>
      <c r="AH49" s="47">
        <f t="shared" si="2"/>
        <v>109.80000000000001</v>
      </c>
      <c r="AI49" s="48">
        <f t="shared" si="3"/>
        <v>98.7</v>
      </c>
      <c r="AK49" s="50"/>
    </row>
    <row r="50" spans="1:41" ht="15.75" thickBot="1" x14ac:dyDescent="0.3">
      <c r="A50" s="59" t="s">
        <v>58</v>
      </c>
      <c r="B50" s="60">
        <f t="shared" ref="B50:AD50" si="5">SUM(B11:B48)</f>
        <v>1066.9000000000001</v>
      </c>
      <c r="C50" s="60">
        <f t="shared" si="5"/>
        <v>1066.9000000000001</v>
      </c>
      <c r="D50" s="60">
        <f t="shared" si="5"/>
        <v>976.9</v>
      </c>
      <c r="E50" s="60">
        <f>SUM(E11:E48)</f>
        <v>1000.0000000000001</v>
      </c>
      <c r="F50" s="60">
        <f t="shared" si="5"/>
        <v>1009.9</v>
      </c>
      <c r="G50" s="60">
        <f t="shared" si="5"/>
        <v>1091.9000000000001</v>
      </c>
      <c r="H50" s="60">
        <f t="shared" si="5"/>
        <v>1143.4000000000001</v>
      </c>
      <c r="I50" s="60">
        <f t="shared" si="5"/>
        <v>1105.9000000000001</v>
      </c>
      <c r="J50" s="60">
        <f t="shared" si="5"/>
        <v>1106</v>
      </c>
      <c r="K50" s="60">
        <f t="shared" si="5"/>
        <v>1057.3</v>
      </c>
      <c r="L50" s="60">
        <f t="shared" si="5"/>
        <v>1057.3</v>
      </c>
      <c r="M50" s="60">
        <f t="shared" si="5"/>
        <v>1032.9000000000001</v>
      </c>
      <c r="N50" s="60">
        <f t="shared" si="5"/>
        <v>1032.9000000000001</v>
      </c>
      <c r="O50" s="60">
        <f t="shared" si="5"/>
        <v>1018.9000000000001</v>
      </c>
      <c r="P50" s="60">
        <f t="shared" si="5"/>
        <v>1030.5999999999999</v>
      </c>
      <c r="Q50" s="60">
        <f t="shared" si="5"/>
        <v>1030.5999999999999</v>
      </c>
      <c r="R50" s="60">
        <f t="shared" si="5"/>
        <v>1030.5999999999999</v>
      </c>
      <c r="S50" s="60">
        <f t="shared" si="5"/>
        <v>1002.4000000000001</v>
      </c>
      <c r="T50" s="60">
        <f t="shared" si="5"/>
        <v>1002.4000000000001</v>
      </c>
      <c r="U50" s="60">
        <f t="shared" si="5"/>
        <v>1002.4000000000001</v>
      </c>
      <c r="V50" s="60">
        <f t="shared" si="5"/>
        <v>1002.4000000000001</v>
      </c>
      <c r="W50" s="60">
        <f t="shared" ref="W50:Y50" si="6">SUM(W11:W48)</f>
        <v>1002.4000000000001</v>
      </c>
      <c r="X50" s="60">
        <f t="shared" si="6"/>
        <v>1002.4000000000001</v>
      </c>
      <c r="Y50" s="60">
        <f t="shared" si="6"/>
        <v>1152</v>
      </c>
      <c r="Z50" s="60">
        <f t="shared" si="5"/>
        <v>1152</v>
      </c>
      <c r="AA50" s="60">
        <v>1107.9000000000001</v>
      </c>
      <c r="AB50" s="60">
        <f t="shared" si="5"/>
        <v>1124.2</v>
      </c>
      <c r="AC50" s="60">
        <f t="shared" si="5"/>
        <v>1114.2</v>
      </c>
      <c r="AD50" s="60">
        <f t="shared" si="5"/>
        <v>1114.2</v>
      </c>
      <c r="AE50" s="60">
        <f t="shared" ref="AE50:AF50" si="7">SUM(AE11:AE48)</f>
        <v>1109.2</v>
      </c>
      <c r="AF50" s="60">
        <f t="shared" si="7"/>
        <v>1081.7</v>
      </c>
      <c r="AG50" s="61">
        <f>SUM(AG13:AG48)</f>
        <v>922.14</v>
      </c>
      <c r="AH50" s="47">
        <f t="shared" si="2"/>
        <v>1152</v>
      </c>
      <c r="AI50" s="48">
        <f t="shared" si="3"/>
        <v>976.9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60</v>
      </c>
      <c r="C52" s="64">
        <v>60</v>
      </c>
      <c r="D52" s="64">
        <v>60</v>
      </c>
      <c r="E52" s="64">
        <v>60</v>
      </c>
      <c r="F52" s="64">
        <v>60</v>
      </c>
      <c r="G52" s="64">
        <v>60</v>
      </c>
      <c r="H52" s="64">
        <v>60</v>
      </c>
      <c r="I52" s="64">
        <v>60</v>
      </c>
      <c r="J52" s="64">
        <v>60</v>
      </c>
      <c r="K52" s="64">
        <v>60</v>
      </c>
      <c r="L52" s="64">
        <v>60</v>
      </c>
      <c r="M52" s="64">
        <v>60</v>
      </c>
      <c r="N52" s="64">
        <v>60</v>
      </c>
      <c r="O52" s="64">
        <v>60</v>
      </c>
      <c r="P52" s="64">
        <v>60</v>
      </c>
      <c r="Q52" s="64">
        <v>60</v>
      </c>
      <c r="R52" s="64">
        <v>60</v>
      </c>
      <c r="S52" s="64">
        <v>60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22.4</v>
      </c>
      <c r="N53" s="66">
        <v>22.4</v>
      </c>
      <c r="O53" s="66">
        <v>22.4</v>
      </c>
      <c r="P53" s="66">
        <v>22.4</v>
      </c>
      <c r="Q53" s="66">
        <v>22.4</v>
      </c>
      <c r="R53" s="66">
        <v>22.4</v>
      </c>
      <c r="S53" s="66">
        <v>22.4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22.5</v>
      </c>
      <c r="AI53" s="48">
        <f t="shared" si="3"/>
        <v>22.4</v>
      </c>
      <c r="AK53" s="50"/>
    </row>
    <row r="54" spans="1:41" ht="15.75" thickBot="1" x14ac:dyDescent="0.3">
      <c r="A54" s="68" t="s">
        <v>62</v>
      </c>
      <c r="B54" s="60">
        <f t="shared" ref="B54:AG54" si="8">SUM(B51:B53)</f>
        <v>538.5</v>
      </c>
      <c r="C54" s="60">
        <f t="shared" si="8"/>
        <v>538.5</v>
      </c>
      <c r="D54" s="60">
        <f t="shared" si="8"/>
        <v>538.5</v>
      </c>
      <c r="E54" s="60">
        <f>SUM(E51:E53)</f>
        <v>538.5</v>
      </c>
      <c r="F54" s="60">
        <f t="shared" si="8"/>
        <v>538.5</v>
      </c>
      <c r="G54" s="60">
        <f t="shared" si="8"/>
        <v>538.5</v>
      </c>
      <c r="H54" s="60">
        <f t="shared" si="8"/>
        <v>538.4</v>
      </c>
      <c r="I54" s="60">
        <f t="shared" si="8"/>
        <v>538.4</v>
      </c>
      <c r="J54" s="60">
        <f t="shared" si="8"/>
        <v>538.4</v>
      </c>
      <c r="K54" s="60">
        <f t="shared" si="8"/>
        <v>538.4</v>
      </c>
      <c r="L54" s="60">
        <f t="shared" si="8"/>
        <v>538.4</v>
      </c>
      <c r="M54" s="60">
        <f t="shared" si="8"/>
        <v>538.4</v>
      </c>
      <c r="N54" s="60">
        <f t="shared" si="8"/>
        <v>538.4</v>
      </c>
      <c r="O54" s="60">
        <f t="shared" si="8"/>
        <v>538.4</v>
      </c>
      <c r="P54" s="60">
        <f t="shared" si="8"/>
        <v>538.4</v>
      </c>
      <c r="Q54" s="60">
        <f t="shared" si="8"/>
        <v>538.4</v>
      </c>
      <c r="R54" s="60">
        <f t="shared" si="8"/>
        <v>538.4</v>
      </c>
      <c r="S54" s="60">
        <f t="shared" si="8"/>
        <v>538.4</v>
      </c>
      <c r="T54" s="60">
        <f t="shared" si="8"/>
        <v>538.4</v>
      </c>
      <c r="U54" s="60">
        <f t="shared" si="8"/>
        <v>538.4</v>
      </c>
      <c r="V54" s="60">
        <f t="shared" si="8"/>
        <v>538.4</v>
      </c>
      <c r="W54" s="60">
        <f t="shared" ref="W54:Y54" si="9">SUM(W51:W53)</f>
        <v>538.4</v>
      </c>
      <c r="X54" s="60">
        <f t="shared" si="9"/>
        <v>538.4</v>
      </c>
      <c r="Y54" s="60">
        <f t="shared" si="9"/>
        <v>538.4</v>
      </c>
      <c r="Z54" s="60">
        <f t="shared" si="8"/>
        <v>538.4</v>
      </c>
      <c r="AA54" s="60">
        <v>533.4</v>
      </c>
      <c r="AB54" s="60">
        <f t="shared" si="8"/>
        <v>533.4</v>
      </c>
      <c r="AC54" s="60">
        <f t="shared" si="8"/>
        <v>533.4</v>
      </c>
      <c r="AD54" s="60">
        <f t="shared" si="8"/>
        <v>533.4</v>
      </c>
      <c r="AE54" s="60">
        <f t="shared" ref="AE54:AF54" si="10">SUM(AE51:AE53)</f>
        <v>533.4</v>
      </c>
      <c r="AF54" s="60">
        <f t="shared" si="10"/>
        <v>533.4</v>
      </c>
      <c r="AG54" s="61">
        <f t="shared" si="8"/>
        <v>538.1</v>
      </c>
      <c r="AH54" s="47">
        <f t="shared" si="2"/>
        <v>538.5</v>
      </c>
      <c r="AI54" s="48">
        <f t="shared" si="3"/>
        <v>533.4</v>
      </c>
      <c r="AK54" s="50"/>
    </row>
    <row r="55" spans="1:41" x14ac:dyDescent="0.25">
      <c r="A55" s="44" t="s">
        <v>63</v>
      </c>
      <c r="B55" s="45">
        <v>136.5</v>
      </c>
      <c r="C55" s="45">
        <v>136.5</v>
      </c>
      <c r="D55" s="45">
        <v>136.5</v>
      </c>
      <c r="E55" s="45">
        <v>136.5</v>
      </c>
      <c r="F55" s="45">
        <v>134.69999999999999</v>
      </c>
      <c r="G55" s="45">
        <v>135.1</v>
      </c>
      <c r="H55" s="45">
        <v>134.9</v>
      </c>
      <c r="I55" s="45">
        <v>135.6</v>
      </c>
      <c r="J55" s="45">
        <v>135.19999999999999</v>
      </c>
      <c r="K55" s="45">
        <v>132.30000000000001</v>
      </c>
      <c r="L55" s="45">
        <v>132.30000000000001</v>
      </c>
      <c r="M55" s="45">
        <v>132.30000000000001</v>
      </c>
      <c r="N55" s="45">
        <v>132.30000000000001</v>
      </c>
      <c r="O55" s="45">
        <v>132.30000000000001</v>
      </c>
      <c r="P55" s="45">
        <v>127.7</v>
      </c>
      <c r="Q55" s="45">
        <v>127.7</v>
      </c>
      <c r="R55" s="45">
        <v>127.7</v>
      </c>
      <c r="S55" s="45">
        <v>132</v>
      </c>
      <c r="T55" s="45">
        <v>132</v>
      </c>
      <c r="U55" s="45">
        <v>132</v>
      </c>
      <c r="V55" s="45">
        <v>132</v>
      </c>
      <c r="W55" s="45">
        <v>132</v>
      </c>
      <c r="X55" s="45">
        <v>132</v>
      </c>
      <c r="Y55" s="45">
        <v>132</v>
      </c>
      <c r="Z55" s="45">
        <v>135.30000000000001</v>
      </c>
      <c r="AA55" s="45">
        <v>135</v>
      </c>
      <c r="AB55" s="45">
        <v>135</v>
      </c>
      <c r="AC55" s="45">
        <v>135</v>
      </c>
      <c r="AD55" s="45">
        <v>135</v>
      </c>
      <c r="AE55" s="45">
        <v>135</v>
      </c>
      <c r="AF55" s="45">
        <v>135</v>
      </c>
      <c r="AG55" s="51">
        <v>144</v>
      </c>
      <c r="AH55" s="47">
        <f t="shared" si="2"/>
        <v>136.5</v>
      </c>
      <c r="AI55" s="48">
        <f t="shared" si="3"/>
        <v>127.7</v>
      </c>
      <c r="AK55" s="50"/>
    </row>
    <row r="56" spans="1:41" x14ac:dyDescent="0.25">
      <c r="A56" s="53" t="s">
        <v>64</v>
      </c>
      <c r="B56" s="45">
        <v>70.3</v>
      </c>
      <c r="C56" s="45">
        <v>70.3</v>
      </c>
      <c r="D56" s="45">
        <v>70.3</v>
      </c>
      <c r="E56" s="45">
        <v>70.3</v>
      </c>
      <c r="F56" s="45">
        <v>70.5</v>
      </c>
      <c r="G56" s="64">
        <v>71.599999999999994</v>
      </c>
      <c r="H56" s="64">
        <v>70.900000000000006</v>
      </c>
      <c r="I56" s="64">
        <v>70.400000000000006</v>
      </c>
      <c r="J56" s="64">
        <v>71.7</v>
      </c>
      <c r="K56" s="64">
        <v>70.7</v>
      </c>
      <c r="L56" s="64">
        <v>70.7</v>
      </c>
      <c r="M56" s="64">
        <v>70.7</v>
      </c>
      <c r="N56" s="64">
        <v>70.7</v>
      </c>
      <c r="O56" s="64">
        <v>70.7</v>
      </c>
      <c r="P56" s="64">
        <v>66</v>
      </c>
      <c r="Q56" s="64">
        <v>66</v>
      </c>
      <c r="R56" s="64">
        <v>66</v>
      </c>
      <c r="S56" s="45">
        <v>71.2</v>
      </c>
      <c r="T56" s="45">
        <v>61</v>
      </c>
      <c r="U56" s="45">
        <v>61</v>
      </c>
      <c r="V56" s="45">
        <v>61</v>
      </c>
      <c r="W56" s="45">
        <v>61</v>
      </c>
      <c r="X56" s="45">
        <v>61</v>
      </c>
      <c r="Y56" s="45">
        <v>69</v>
      </c>
      <c r="Z56" s="45">
        <v>71.599999999999994</v>
      </c>
      <c r="AA56" s="45">
        <v>70.5</v>
      </c>
      <c r="AB56" s="45">
        <v>70.5</v>
      </c>
      <c r="AC56" s="45">
        <v>70.5</v>
      </c>
      <c r="AD56" s="45">
        <v>70.5</v>
      </c>
      <c r="AE56" s="45">
        <v>70.5</v>
      </c>
      <c r="AF56" s="45">
        <v>70.5</v>
      </c>
      <c r="AG56" s="54">
        <v>70</v>
      </c>
      <c r="AH56" s="47">
        <f t="shared" si="2"/>
        <v>71.7</v>
      </c>
      <c r="AI56" s="48">
        <f t="shared" si="3"/>
        <v>61</v>
      </c>
      <c r="AK56" s="50"/>
    </row>
    <row r="57" spans="1:41" x14ac:dyDescent="0.25">
      <c r="A57" s="53" t="s">
        <v>65</v>
      </c>
      <c r="B57" s="45">
        <v>64.3</v>
      </c>
      <c r="C57" s="45">
        <v>64.3</v>
      </c>
      <c r="D57" s="45">
        <v>0</v>
      </c>
      <c r="E57" s="45">
        <v>0</v>
      </c>
      <c r="F57" s="45">
        <v>0</v>
      </c>
      <c r="G57" s="64">
        <v>0</v>
      </c>
      <c r="H57" s="64">
        <v>0</v>
      </c>
      <c r="I57" s="64">
        <v>17</v>
      </c>
      <c r="J57" s="64">
        <v>23.4</v>
      </c>
      <c r="K57" s="64">
        <v>22.3</v>
      </c>
      <c r="L57" s="64">
        <v>22.3</v>
      </c>
      <c r="M57" s="64">
        <v>61</v>
      </c>
      <c r="N57" s="64">
        <v>64</v>
      </c>
      <c r="O57" s="64">
        <v>64</v>
      </c>
      <c r="P57" s="64">
        <v>65.3</v>
      </c>
      <c r="Q57" s="64">
        <v>65.3</v>
      </c>
      <c r="R57" s="64">
        <v>65.3</v>
      </c>
      <c r="S57" s="45">
        <v>54.2</v>
      </c>
      <c r="T57" s="45">
        <v>54.1</v>
      </c>
      <c r="U57" s="45">
        <v>54.1</v>
      </c>
      <c r="V57" s="45">
        <v>54.1</v>
      </c>
      <c r="W57" s="45">
        <v>54.1</v>
      </c>
      <c r="X57" s="45">
        <v>54.1</v>
      </c>
      <c r="Y57" s="45">
        <v>64</v>
      </c>
      <c r="Z57" s="45">
        <v>64.3</v>
      </c>
      <c r="AA57" s="45">
        <v>64</v>
      </c>
      <c r="AB57" s="45">
        <v>64</v>
      </c>
      <c r="AC57" s="45">
        <v>64</v>
      </c>
      <c r="AD57" s="45">
        <v>64</v>
      </c>
      <c r="AE57" s="45">
        <v>64</v>
      </c>
      <c r="AF57" s="45">
        <v>64</v>
      </c>
      <c r="AG57" s="54">
        <v>69</v>
      </c>
      <c r="AH57" s="47">
        <f t="shared" si="2"/>
        <v>65.3</v>
      </c>
      <c r="AI57" s="48">
        <f t="shared" si="3"/>
        <v>0</v>
      </c>
      <c r="AK57" s="50"/>
    </row>
    <row r="58" spans="1:41" x14ac:dyDescent="0.25">
      <c r="A58" s="53" t="s">
        <v>66</v>
      </c>
      <c r="B58" s="45">
        <v>30.7</v>
      </c>
      <c r="C58" s="45">
        <v>30.7</v>
      </c>
      <c r="D58" s="45">
        <v>30.7</v>
      </c>
      <c r="E58" s="45">
        <v>30.7</v>
      </c>
      <c r="F58" s="45">
        <v>30.7</v>
      </c>
      <c r="G58" s="56">
        <v>30.5</v>
      </c>
      <c r="H58" s="56">
        <v>30.5</v>
      </c>
      <c r="I58" s="56">
        <v>30.5</v>
      </c>
      <c r="J58" s="56">
        <v>30.5</v>
      </c>
      <c r="K58" s="56">
        <v>30.5</v>
      </c>
      <c r="L58" s="56">
        <v>30.5</v>
      </c>
      <c r="M58" s="56">
        <v>30.5</v>
      </c>
      <c r="N58" s="56">
        <v>30.5</v>
      </c>
      <c r="O58" s="56">
        <v>30.5</v>
      </c>
      <c r="P58" s="64">
        <v>30.5</v>
      </c>
      <c r="Q58" s="64">
        <v>30.5</v>
      </c>
      <c r="R58" s="64">
        <v>30.5</v>
      </c>
      <c r="S58" s="45">
        <v>11.3</v>
      </c>
      <c r="T58" s="45">
        <v>11.3</v>
      </c>
      <c r="U58" s="45">
        <v>11.3</v>
      </c>
      <c r="V58" s="45">
        <v>11.3</v>
      </c>
      <c r="W58" s="45">
        <v>25</v>
      </c>
      <c r="X58" s="45">
        <v>25</v>
      </c>
      <c r="Y58" s="45">
        <v>30.5</v>
      </c>
      <c r="Z58" s="45">
        <v>30.5</v>
      </c>
      <c r="AA58" s="45">
        <v>30.5</v>
      </c>
      <c r="AB58" s="45">
        <v>30.5</v>
      </c>
      <c r="AC58" s="45">
        <v>30.5</v>
      </c>
      <c r="AD58" s="45">
        <v>30.5</v>
      </c>
      <c r="AE58" s="45">
        <v>30.5</v>
      </c>
      <c r="AF58" s="45">
        <v>30.5</v>
      </c>
      <c r="AG58" s="54">
        <v>60</v>
      </c>
      <c r="AH58" s="47">
        <f t="shared" si="2"/>
        <v>30.7</v>
      </c>
      <c r="AI58" s="48">
        <f t="shared" si="3"/>
        <v>11.3</v>
      </c>
      <c r="AK58" s="50"/>
    </row>
    <row r="59" spans="1:41" x14ac:dyDescent="0.25">
      <c r="A59" s="53" t="s">
        <v>67</v>
      </c>
      <c r="B59" s="45">
        <v>28</v>
      </c>
      <c r="C59" s="45">
        <v>28</v>
      </c>
      <c r="D59" s="45">
        <v>28</v>
      </c>
      <c r="E59" s="45">
        <v>28</v>
      </c>
      <c r="F59" s="45">
        <v>28</v>
      </c>
      <c r="G59" s="45">
        <v>28</v>
      </c>
      <c r="H59" s="45">
        <v>28</v>
      </c>
      <c r="I59" s="45">
        <v>28</v>
      </c>
      <c r="J59" s="45">
        <v>28</v>
      </c>
      <c r="K59" s="45">
        <v>28</v>
      </c>
      <c r="L59" s="45">
        <v>28</v>
      </c>
      <c r="M59" s="45">
        <v>28</v>
      </c>
      <c r="N59" s="45">
        <v>28</v>
      </c>
      <c r="O59" s="45">
        <v>28</v>
      </c>
      <c r="P59" s="64">
        <v>28</v>
      </c>
      <c r="Q59" s="64">
        <v>15</v>
      </c>
      <c r="R59" s="64">
        <v>15</v>
      </c>
      <c r="S59" s="64">
        <v>15</v>
      </c>
      <c r="T59" s="64">
        <v>15</v>
      </c>
      <c r="U59" s="64">
        <v>15</v>
      </c>
      <c r="V59" s="64">
        <v>15</v>
      </c>
      <c r="W59" s="64">
        <v>15</v>
      </c>
      <c r="X59" s="64">
        <v>15</v>
      </c>
      <c r="Y59" s="64">
        <v>15</v>
      </c>
      <c r="Z59" s="64">
        <v>15</v>
      </c>
      <c r="AA59" s="64">
        <v>15</v>
      </c>
      <c r="AB59" s="64">
        <v>15</v>
      </c>
      <c r="AC59" s="64">
        <v>15</v>
      </c>
      <c r="AD59" s="64">
        <v>15</v>
      </c>
      <c r="AE59" s="64">
        <v>15</v>
      </c>
      <c r="AF59" s="64">
        <v>15</v>
      </c>
      <c r="AG59" s="54">
        <v>30</v>
      </c>
      <c r="AH59" s="47">
        <f t="shared" si="2"/>
        <v>28</v>
      </c>
      <c r="AI59" s="48">
        <f t="shared" si="3"/>
        <v>15</v>
      </c>
      <c r="AK59" s="50"/>
    </row>
    <row r="60" spans="1:41" x14ac:dyDescent="0.25">
      <c r="A60" s="53" t="s">
        <v>68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0.4</v>
      </c>
      <c r="J60" s="45">
        <v>0.4</v>
      </c>
      <c r="K60" s="45">
        <v>1.4</v>
      </c>
      <c r="L60" s="45">
        <v>1.4</v>
      </c>
      <c r="M60" s="45">
        <v>8.5</v>
      </c>
      <c r="N60" s="45">
        <v>8.5</v>
      </c>
      <c r="O60" s="45">
        <v>8.5</v>
      </c>
      <c r="P60" s="64">
        <v>16</v>
      </c>
      <c r="Q60" s="64">
        <v>16</v>
      </c>
      <c r="R60" s="64">
        <v>16</v>
      </c>
      <c r="S60" s="45">
        <v>7.4</v>
      </c>
      <c r="T60" s="45">
        <v>7.4</v>
      </c>
      <c r="U60" s="45">
        <v>7.4</v>
      </c>
      <c r="V60" s="45">
        <v>7.4</v>
      </c>
      <c r="W60" s="45">
        <v>7.4</v>
      </c>
      <c r="X60" s="45">
        <v>7.4</v>
      </c>
      <c r="Y60" s="45">
        <v>7.4</v>
      </c>
      <c r="Z60" s="45">
        <v>7.4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16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16</v>
      </c>
      <c r="N61" s="64">
        <v>16</v>
      </c>
      <c r="O61" s="64">
        <v>16</v>
      </c>
      <c r="P61" s="64">
        <v>16</v>
      </c>
      <c r="Q61" s="64">
        <v>16</v>
      </c>
      <c r="R61" s="64">
        <v>16</v>
      </c>
      <c r="S61" s="64">
        <v>16</v>
      </c>
      <c r="T61" s="64">
        <v>16</v>
      </c>
      <c r="U61" s="64">
        <v>16</v>
      </c>
      <c r="V61" s="64">
        <v>16</v>
      </c>
      <c r="W61" s="64">
        <v>16</v>
      </c>
      <c r="X61" s="64">
        <v>16</v>
      </c>
      <c r="Y61" s="64">
        <v>16</v>
      </c>
      <c r="Z61" s="64">
        <v>16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16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3.1</v>
      </c>
      <c r="C62" s="64">
        <v>3.1</v>
      </c>
      <c r="D62" s="64">
        <v>3.1</v>
      </c>
      <c r="E62" s="64">
        <v>3.1</v>
      </c>
      <c r="F62" s="64">
        <v>3.1</v>
      </c>
      <c r="G62" s="64">
        <v>3.1</v>
      </c>
      <c r="H62" s="64">
        <v>3.1</v>
      </c>
      <c r="I62" s="64">
        <v>3.1</v>
      </c>
      <c r="J62" s="64">
        <v>3.1</v>
      </c>
      <c r="K62" s="64">
        <v>3.1</v>
      </c>
      <c r="L62" s="64">
        <v>3.1</v>
      </c>
      <c r="M62" s="64">
        <v>3.1</v>
      </c>
      <c r="N62" s="64">
        <v>3.1</v>
      </c>
      <c r="O62" s="64">
        <v>3.1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3.1</v>
      </c>
      <c r="AB62" s="64">
        <v>3.1</v>
      </c>
      <c r="AC62" s="64">
        <v>3.1</v>
      </c>
      <c r="AD62" s="64">
        <v>3.1</v>
      </c>
      <c r="AE62" s="64">
        <v>3.1</v>
      </c>
      <c r="AF62" s="64">
        <v>3.1</v>
      </c>
      <c r="AG62" s="54">
        <v>15</v>
      </c>
      <c r="AH62" s="47">
        <f t="shared" si="2"/>
        <v>3.1</v>
      </c>
      <c r="AI62" s="48">
        <f t="shared" si="3"/>
        <v>0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12.1</v>
      </c>
      <c r="C63" s="64">
        <v>12.1</v>
      </c>
      <c r="D63" s="64">
        <v>12.1</v>
      </c>
      <c r="E63" s="64">
        <v>12.1</v>
      </c>
      <c r="F63" s="64">
        <v>12.1</v>
      </c>
      <c r="G63" s="64">
        <v>12.1</v>
      </c>
      <c r="H63" s="64">
        <v>12.1</v>
      </c>
      <c r="I63" s="64">
        <v>12.1</v>
      </c>
      <c r="J63" s="64">
        <v>12.1</v>
      </c>
      <c r="K63" s="64">
        <v>12.1</v>
      </c>
      <c r="L63" s="64">
        <v>12.1</v>
      </c>
      <c r="M63" s="64">
        <v>8.8000000000000007</v>
      </c>
      <c r="N63" s="64">
        <v>8.8000000000000007</v>
      </c>
      <c r="O63" s="64">
        <v>8.8000000000000007</v>
      </c>
      <c r="P63" s="64">
        <v>9.9</v>
      </c>
      <c r="Q63" s="64">
        <v>9.9</v>
      </c>
      <c r="R63" s="64">
        <v>9.9</v>
      </c>
      <c r="S63" s="64">
        <v>9.9</v>
      </c>
      <c r="T63" s="64">
        <v>9.9</v>
      </c>
      <c r="U63" s="64">
        <v>9.9</v>
      </c>
      <c r="V63" s="64">
        <v>9.9</v>
      </c>
      <c r="W63" s="64">
        <v>9.9</v>
      </c>
      <c r="X63" s="64">
        <v>9.9</v>
      </c>
      <c r="Y63" s="64">
        <v>9.9</v>
      </c>
      <c r="Z63" s="64">
        <v>9.9</v>
      </c>
      <c r="AA63" s="64">
        <v>12.1</v>
      </c>
      <c r="AB63" s="64">
        <v>12.1</v>
      </c>
      <c r="AC63" s="64">
        <v>12.1</v>
      </c>
      <c r="AD63" s="64">
        <v>12.1</v>
      </c>
      <c r="AE63" s="64">
        <v>12.1</v>
      </c>
      <c r="AF63" s="64">
        <v>12.1</v>
      </c>
      <c r="AG63" s="54">
        <v>14.1</v>
      </c>
      <c r="AH63" s="47">
        <f t="shared" si="2"/>
        <v>12.1</v>
      </c>
      <c r="AI63" s="48">
        <f t="shared" si="3"/>
        <v>8.8000000000000007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13.9</v>
      </c>
      <c r="C64" s="64">
        <v>3.4</v>
      </c>
      <c r="D64" s="64">
        <v>13.8</v>
      </c>
      <c r="E64" s="64">
        <v>13.8</v>
      </c>
      <c r="F64" s="64">
        <v>13.8</v>
      </c>
      <c r="G64" s="64">
        <v>13.8</v>
      </c>
      <c r="H64" s="64">
        <v>13.8</v>
      </c>
      <c r="I64" s="64">
        <v>13.8</v>
      </c>
      <c r="J64" s="64">
        <v>13.8</v>
      </c>
      <c r="K64" s="64">
        <v>13.8</v>
      </c>
      <c r="L64" s="64">
        <v>13.8</v>
      </c>
      <c r="M64" s="64">
        <v>3.3</v>
      </c>
      <c r="N64" s="64">
        <v>3.3</v>
      </c>
      <c r="O64" s="64">
        <v>3.3</v>
      </c>
      <c r="P64" s="64">
        <v>7</v>
      </c>
      <c r="Q64" s="64">
        <v>7</v>
      </c>
      <c r="R64" s="64">
        <v>7</v>
      </c>
      <c r="S64" s="64">
        <v>7</v>
      </c>
      <c r="T64" s="64">
        <v>7</v>
      </c>
      <c r="U64" s="64">
        <v>7</v>
      </c>
      <c r="V64" s="64">
        <v>7</v>
      </c>
      <c r="W64" s="64">
        <v>7</v>
      </c>
      <c r="X64" s="64">
        <v>7</v>
      </c>
      <c r="Y64" s="64">
        <v>7</v>
      </c>
      <c r="Z64" s="64">
        <v>7</v>
      </c>
      <c r="AA64" s="64">
        <v>6.5</v>
      </c>
      <c r="AB64" s="64">
        <v>6.5</v>
      </c>
      <c r="AC64" s="64">
        <v>6.5</v>
      </c>
      <c r="AD64" s="64">
        <v>4</v>
      </c>
      <c r="AE64" s="64">
        <v>11.9</v>
      </c>
      <c r="AF64" s="64">
        <v>11.9</v>
      </c>
      <c r="AG64" s="54">
        <v>14</v>
      </c>
      <c r="AH64" s="47">
        <f t="shared" si="2"/>
        <v>13.9</v>
      </c>
      <c r="AI64" s="48">
        <f t="shared" si="3"/>
        <v>3.3</v>
      </c>
      <c r="AK64" s="50"/>
    </row>
    <row r="65" spans="1:40" x14ac:dyDescent="0.25">
      <c r="A65" s="53" t="s">
        <v>73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1">SUM(B55:B67)</f>
        <v>393.14000000000004</v>
      </c>
      <c r="C68" s="60">
        <f t="shared" si="11"/>
        <v>382.64000000000004</v>
      </c>
      <c r="D68" s="60">
        <f t="shared" si="11"/>
        <v>328.74000000000007</v>
      </c>
      <c r="E68" s="60">
        <f t="shared" si="11"/>
        <v>328.74000000000007</v>
      </c>
      <c r="F68" s="60">
        <f t="shared" si="11"/>
        <v>327.14000000000004</v>
      </c>
      <c r="G68" s="60">
        <f t="shared" si="11"/>
        <v>328.44000000000005</v>
      </c>
      <c r="H68" s="60">
        <f t="shared" si="11"/>
        <v>327.54000000000008</v>
      </c>
      <c r="I68" s="60">
        <f t="shared" si="11"/>
        <v>345.14000000000004</v>
      </c>
      <c r="J68" s="60">
        <f t="shared" si="11"/>
        <v>352.44</v>
      </c>
      <c r="K68" s="60">
        <f t="shared" si="11"/>
        <v>348.44000000000005</v>
      </c>
      <c r="L68" s="60">
        <f t="shared" si="11"/>
        <v>348.44000000000005</v>
      </c>
      <c r="M68" s="60">
        <f t="shared" si="11"/>
        <v>381.44000000000005</v>
      </c>
      <c r="N68" s="60">
        <f t="shared" si="11"/>
        <v>384.44000000000005</v>
      </c>
      <c r="O68" s="60">
        <f t="shared" si="11"/>
        <v>384.44000000000005</v>
      </c>
      <c r="P68" s="60">
        <f t="shared" si="11"/>
        <v>385.64</v>
      </c>
      <c r="Q68" s="60">
        <f t="shared" si="11"/>
        <v>372.64</v>
      </c>
      <c r="R68" s="60">
        <f t="shared" si="11"/>
        <v>372.64</v>
      </c>
      <c r="S68" s="60">
        <f t="shared" si="11"/>
        <v>343.23999999999995</v>
      </c>
      <c r="T68" s="60">
        <f t="shared" si="11"/>
        <v>332.93999999999994</v>
      </c>
      <c r="U68" s="60">
        <f t="shared" si="11"/>
        <v>332.93999999999994</v>
      </c>
      <c r="V68" s="60">
        <f t="shared" si="11"/>
        <v>332.93999999999994</v>
      </c>
      <c r="W68" s="60">
        <f t="shared" ref="W68:Y68" si="12">SUM(W55:W67)</f>
        <v>346.64</v>
      </c>
      <c r="X68" s="60">
        <f t="shared" si="12"/>
        <v>346.64</v>
      </c>
      <c r="Y68" s="60">
        <f t="shared" si="12"/>
        <v>370.03999999999996</v>
      </c>
      <c r="Z68" s="60">
        <f t="shared" si="11"/>
        <v>376.23999999999995</v>
      </c>
      <c r="AA68" s="60">
        <v>383.94000000000005</v>
      </c>
      <c r="AB68" s="60">
        <f t="shared" si="11"/>
        <v>370.94000000000005</v>
      </c>
      <c r="AC68" s="60">
        <f t="shared" si="11"/>
        <v>370.94000000000005</v>
      </c>
      <c r="AD68" s="60">
        <f t="shared" si="11"/>
        <v>368.44000000000005</v>
      </c>
      <c r="AE68" s="60">
        <f t="shared" si="11"/>
        <v>376.34000000000003</v>
      </c>
      <c r="AF68" s="60">
        <f>SUM(AF55:AF67)</f>
        <v>376.34000000000003</v>
      </c>
      <c r="AG68" s="61">
        <f t="shared" si="11"/>
        <v>489.91</v>
      </c>
      <c r="AH68" s="47">
        <f t="shared" si="2"/>
        <v>393.14000000000004</v>
      </c>
      <c r="AI68" s="48">
        <f t="shared" si="3"/>
        <v>327.14000000000004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>
        <v>0</v>
      </c>
      <c r="C70" s="45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/>
      <c r="AC70" s="64"/>
      <c r="AD70" s="64"/>
      <c r="AE70" s="64"/>
      <c r="AF70" s="64"/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>
        <v>0</v>
      </c>
      <c r="C71" s="45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/>
      <c r="AC71" s="66"/>
      <c r="AD71" s="66"/>
      <c r="AE71" s="66"/>
      <c r="AF71" s="66"/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3">M69+M70+M71</f>
        <v>0</v>
      </c>
      <c r="N72" s="60">
        <f t="shared" si="13"/>
        <v>0</v>
      </c>
      <c r="O72" s="60">
        <f t="shared" si="13"/>
        <v>0</v>
      </c>
      <c r="P72" s="60">
        <f t="shared" si="13"/>
        <v>0</v>
      </c>
      <c r="Q72" s="60">
        <f t="shared" si="13"/>
        <v>0</v>
      </c>
      <c r="R72" s="60">
        <f t="shared" si="13"/>
        <v>0</v>
      </c>
      <c r="S72" s="60">
        <f t="shared" si="13"/>
        <v>0</v>
      </c>
      <c r="T72" s="60">
        <f t="shared" si="13"/>
        <v>0</v>
      </c>
      <c r="U72" s="60">
        <f t="shared" si="13"/>
        <v>0</v>
      </c>
      <c r="V72" s="60">
        <f t="shared" si="13"/>
        <v>0</v>
      </c>
      <c r="W72" s="60">
        <f t="shared" ref="W72:Y72" si="14">W69+W70+W71</f>
        <v>0</v>
      </c>
      <c r="X72" s="60">
        <f t="shared" si="14"/>
        <v>0</v>
      </c>
      <c r="Y72" s="60">
        <f t="shared" si="14"/>
        <v>0</v>
      </c>
      <c r="Z72" s="60">
        <f t="shared" si="13"/>
        <v>0</v>
      </c>
      <c r="AA72" s="60">
        <v>0</v>
      </c>
      <c r="AB72" s="60">
        <f t="shared" si="13"/>
        <v>0</v>
      </c>
      <c r="AC72" s="60">
        <f t="shared" si="13"/>
        <v>0</v>
      </c>
      <c r="AD72" s="60">
        <f t="shared" si="13"/>
        <v>0</v>
      </c>
      <c r="AE72" s="60">
        <f t="shared" si="13"/>
        <v>0</v>
      </c>
      <c r="AF72" s="60">
        <f t="shared" si="13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5.5</v>
      </c>
      <c r="C73" s="45">
        <v>4.5</v>
      </c>
      <c r="D73" s="45">
        <v>-1.3</v>
      </c>
      <c r="E73" s="45">
        <v>2.7</v>
      </c>
      <c r="F73" s="45">
        <v>2.7</v>
      </c>
      <c r="G73" s="45">
        <v>0</v>
      </c>
      <c r="H73" s="45">
        <v>0</v>
      </c>
      <c r="I73" s="45">
        <v>-14.1</v>
      </c>
      <c r="J73" s="45">
        <v>-21.9</v>
      </c>
      <c r="K73" s="45">
        <v>-20.5</v>
      </c>
      <c r="L73" s="45">
        <v>-20.5</v>
      </c>
      <c r="M73" s="45">
        <v>-4.5999999999999996</v>
      </c>
      <c r="N73" s="45">
        <v>-4.5999999999999996</v>
      </c>
      <c r="O73" s="45">
        <v>-17</v>
      </c>
      <c r="P73" s="45">
        <v>-22</v>
      </c>
      <c r="Q73" s="45">
        <v>-2.5</v>
      </c>
      <c r="R73" s="45">
        <v>-2.5</v>
      </c>
      <c r="S73" s="45">
        <v>-7.2</v>
      </c>
      <c r="T73" s="45">
        <v>-20.5</v>
      </c>
      <c r="U73" s="45">
        <v>-10</v>
      </c>
      <c r="V73" s="45">
        <v>-14</v>
      </c>
      <c r="W73" s="45">
        <v>-16.2</v>
      </c>
      <c r="X73" s="45">
        <v>-10.6</v>
      </c>
      <c r="Y73" s="45">
        <v>-8.1999999999999993</v>
      </c>
      <c r="Z73" s="45">
        <v>-4.5999999999999996</v>
      </c>
      <c r="AA73" s="45">
        <v>13.6</v>
      </c>
      <c r="AB73" s="45">
        <v>-320</v>
      </c>
      <c r="AC73" s="45">
        <v>0</v>
      </c>
      <c r="AD73" s="45">
        <v>20</v>
      </c>
      <c r="AE73" s="45">
        <v>-14.6</v>
      </c>
      <c r="AF73" s="45">
        <v>-28</v>
      </c>
      <c r="AG73" s="51"/>
      <c r="AH73" s="47">
        <f t="shared" si="2"/>
        <v>20</v>
      </c>
      <c r="AI73" s="48">
        <f t="shared" si="3"/>
        <v>-320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-314.3</v>
      </c>
      <c r="C75" s="64">
        <v>-309.2</v>
      </c>
      <c r="D75" s="64">
        <v>-258</v>
      </c>
      <c r="E75" s="64">
        <v>-257.7</v>
      </c>
      <c r="F75" s="64">
        <v>-271.3</v>
      </c>
      <c r="G75" s="64">
        <v>-367</v>
      </c>
      <c r="H75" s="64">
        <v>-402.8</v>
      </c>
      <c r="I75" s="64">
        <v>-446.2</v>
      </c>
      <c r="J75" s="64">
        <v>-441.8</v>
      </c>
      <c r="K75" s="64">
        <v>-371</v>
      </c>
      <c r="L75" s="64">
        <v>-371</v>
      </c>
      <c r="M75" s="64">
        <v>-357</v>
      </c>
      <c r="N75" s="64">
        <v>-357</v>
      </c>
      <c r="O75" s="64">
        <v>-377</v>
      </c>
      <c r="P75" s="64">
        <v>-392</v>
      </c>
      <c r="Q75" s="64">
        <v>-395</v>
      </c>
      <c r="R75" s="64">
        <v>-395</v>
      </c>
      <c r="S75" s="64">
        <v>-340</v>
      </c>
      <c r="T75" s="64">
        <v>-330.6</v>
      </c>
      <c r="U75" s="64">
        <v>-350</v>
      </c>
      <c r="V75" s="64">
        <v>-421</v>
      </c>
      <c r="W75" s="64">
        <v>-400</v>
      </c>
      <c r="X75" s="64">
        <v>-430</v>
      </c>
      <c r="Y75" s="64">
        <v>-402</v>
      </c>
      <c r="Z75" s="64">
        <v>-333</v>
      </c>
      <c r="AA75" s="64">
        <v>-296</v>
      </c>
      <c r="AB75" s="64">
        <v>-320</v>
      </c>
      <c r="AC75" s="64">
        <v>-317</v>
      </c>
      <c r="AD75" s="64">
        <v>-315</v>
      </c>
      <c r="AE75" s="64">
        <v>-370</v>
      </c>
      <c r="AF75" s="64">
        <v>-365</v>
      </c>
      <c r="AG75" s="74"/>
      <c r="AH75" s="47">
        <f t="shared" si="2"/>
        <v>-257.7</v>
      </c>
      <c r="AI75" s="48">
        <f t="shared" si="3"/>
        <v>-446.2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/>
      <c r="AC76" s="75"/>
      <c r="AD76" s="75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64">
        <v>0</v>
      </c>
      <c r="E77" s="64">
        <v>0</v>
      </c>
      <c r="F77" s="64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/>
      <c r="AC77" s="45"/>
      <c r="AD77" s="45"/>
      <c r="AE77" s="45"/>
      <c r="AF77" s="45"/>
      <c r="AG77" s="74"/>
      <c r="AH77" s="47">
        <f t="shared" ref="AH77:AH120" si="15">MAX(B77:AF77)</f>
        <v>0</v>
      </c>
      <c r="AI77" s="48">
        <f t="shared" ref="AI77:AI120" si="16">MIN(B77:AF77)</f>
        <v>0</v>
      </c>
      <c r="AK77" s="50"/>
    </row>
    <row r="78" spans="1:40" x14ac:dyDescent="0.25">
      <c r="A78" s="53" t="s">
        <v>86</v>
      </c>
      <c r="B78" s="45">
        <v>5</v>
      </c>
      <c r="C78" s="76">
        <v>5</v>
      </c>
      <c r="D78" s="64">
        <v>5</v>
      </c>
      <c r="E78" s="64">
        <v>5</v>
      </c>
      <c r="F78" s="64">
        <v>5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/>
      <c r="AC78" s="76"/>
      <c r="AD78" s="76"/>
      <c r="AE78" s="76"/>
      <c r="AF78" s="76"/>
      <c r="AG78" s="74"/>
      <c r="AH78" s="47">
        <f t="shared" si="15"/>
        <v>5</v>
      </c>
      <c r="AI78" s="48">
        <f t="shared" si="16"/>
        <v>0</v>
      </c>
      <c r="AK78" s="50"/>
    </row>
    <row r="79" spans="1:40" ht="15.75" thickBot="1" x14ac:dyDescent="0.3">
      <c r="A79" s="53" t="s">
        <v>87</v>
      </c>
      <c r="B79" s="45">
        <v>0</v>
      </c>
      <c r="C79" s="76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/>
      <c r="AC79" s="76"/>
      <c r="AD79" s="76"/>
      <c r="AE79" s="76"/>
      <c r="AF79" s="76"/>
      <c r="AG79" s="74"/>
      <c r="AH79" s="47">
        <f t="shared" si="15"/>
        <v>0</v>
      </c>
      <c r="AI79" s="48">
        <f t="shared" si="16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>
        <v>0</v>
      </c>
      <c r="C80" s="76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76">
        <v>0</v>
      </c>
      <c r="L80" s="76">
        <v>0</v>
      </c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/>
      <c r="AC80" s="76"/>
      <c r="AD80" s="76"/>
      <c r="AE80" s="76"/>
      <c r="AF80" s="76"/>
      <c r="AG80" s="74"/>
      <c r="AH80" s="47">
        <f t="shared" si="15"/>
        <v>0</v>
      </c>
      <c r="AI80" s="48">
        <f t="shared" si="16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>
        <v>0</v>
      </c>
      <c r="C81" s="76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/>
      <c r="AC81" s="76"/>
      <c r="AD81" s="76"/>
      <c r="AE81" s="76"/>
      <c r="AF81" s="76"/>
      <c r="AG81" s="74"/>
      <c r="AH81" s="47">
        <f t="shared" si="15"/>
        <v>0</v>
      </c>
      <c r="AI81" s="48">
        <f t="shared" si="16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>
        <v>0</v>
      </c>
      <c r="C82" s="76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76">
        <v>0</v>
      </c>
      <c r="L82" s="76">
        <v>0</v>
      </c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/>
      <c r="AC82" s="76"/>
      <c r="AD82" s="76"/>
      <c r="AE82" s="76"/>
      <c r="AF82" s="76"/>
      <c r="AG82" s="84"/>
      <c r="AH82" s="47">
        <f t="shared" si="15"/>
        <v>0</v>
      </c>
      <c r="AI82" s="48">
        <f t="shared" si="16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>
        <v>0</v>
      </c>
      <c r="C83" s="76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/>
      <c r="AC83" s="76"/>
      <c r="AD83" s="76"/>
      <c r="AE83" s="76"/>
      <c r="AF83" s="76"/>
      <c r="AG83" s="84"/>
      <c r="AH83" s="47">
        <f t="shared" si="15"/>
        <v>0</v>
      </c>
      <c r="AI83" s="48">
        <f t="shared" si="16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17">SUMIF(B73:B83,"&gt;0")</f>
        <v>10.5</v>
      </c>
      <c r="C84" s="60">
        <f t="shared" si="17"/>
        <v>9.5</v>
      </c>
      <c r="D84" s="60">
        <f t="shared" si="17"/>
        <v>5</v>
      </c>
      <c r="E84" s="60">
        <f t="shared" si="17"/>
        <v>7.7</v>
      </c>
      <c r="F84" s="60">
        <f t="shared" si="17"/>
        <v>7.7</v>
      </c>
      <c r="G84" s="60">
        <f t="shared" si="17"/>
        <v>0</v>
      </c>
      <c r="H84" s="60">
        <f t="shared" si="17"/>
        <v>0</v>
      </c>
      <c r="I84" s="60">
        <f t="shared" si="17"/>
        <v>0</v>
      </c>
      <c r="J84" s="60">
        <f t="shared" si="17"/>
        <v>0</v>
      </c>
      <c r="K84" s="60">
        <f t="shared" si="17"/>
        <v>0</v>
      </c>
      <c r="L84" s="60">
        <f t="shared" si="17"/>
        <v>0</v>
      </c>
      <c r="M84" s="60">
        <f t="shared" si="17"/>
        <v>0</v>
      </c>
      <c r="N84" s="60">
        <f t="shared" si="17"/>
        <v>0</v>
      </c>
      <c r="O84" s="60">
        <f t="shared" si="17"/>
        <v>0</v>
      </c>
      <c r="P84" s="60">
        <f t="shared" si="17"/>
        <v>0</v>
      </c>
      <c r="Q84" s="60">
        <f t="shared" si="17"/>
        <v>0</v>
      </c>
      <c r="R84" s="60">
        <f t="shared" si="17"/>
        <v>0</v>
      </c>
      <c r="S84" s="60">
        <f t="shared" si="17"/>
        <v>0</v>
      </c>
      <c r="T84" s="60">
        <f t="shared" si="17"/>
        <v>0</v>
      </c>
      <c r="U84" s="60">
        <f t="shared" si="17"/>
        <v>0</v>
      </c>
      <c r="V84" s="60">
        <f t="shared" si="17"/>
        <v>0</v>
      </c>
      <c r="W84" s="60">
        <f t="shared" ref="W84:Y84" si="18">SUMIF(W73:W83,"&gt;0")</f>
        <v>0</v>
      </c>
      <c r="X84" s="60">
        <f t="shared" si="18"/>
        <v>0</v>
      </c>
      <c r="Y84" s="60">
        <f t="shared" si="18"/>
        <v>0</v>
      </c>
      <c r="Z84" s="60">
        <f t="shared" si="17"/>
        <v>0</v>
      </c>
      <c r="AA84" s="60">
        <f t="shared" si="17"/>
        <v>13.6</v>
      </c>
      <c r="AB84" s="60">
        <f t="shared" si="17"/>
        <v>0</v>
      </c>
      <c r="AC84" s="60">
        <f t="shared" si="17"/>
        <v>0</v>
      </c>
      <c r="AD84" s="60">
        <f t="shared" si="17"/>
        <v>20</v>
      </c>
      <c r="AE84" s="60">
        <f t="shared" si="17"/>
        <v>0</v>
      </c>
      <c r="AF84" s="60">
        <f t="shared" si="17"/>
        <v>0</v>
      </c>
      <c r="AG84" s="87">
        <f>SUM(AG73:AG83)</f>
        <v>0</v>
      </c>
      <c r="AH84" s="47">
        <f t="shared" si="15"/>
        <v>20</v>
      </c>
      <c r="AI84" s="48">
        <f t="shared" si="16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5"/>
        <v>0</v>
      </c>
      <c r="AI85" s="48">
        <f t="shared" si="16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5"/>
        <v>0</v>
      </c>
      <c r="AI86" s="48">
        <f t="shared" si="16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5"/>
        <v>0</v>
      </c>
      <c r="AI87" s="48">
        <f t="shared" si="16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5"/>
        <v>0</v>
      </c>
      <c r="AI88" s="48">
        <f t="shared" si="16"/>
        <v>0</v>
      </c>
    </row>
    <row r="89" spans="1:40" ht="15.75" thickBot="1" x14ac:dyDescent="0.3">
      <c r="A89" s="73" t="s">
        <v>100</v>
      </c>
      <c r="B89" s="94">
        <f t="shared" ref="B89:AG89" si="19">B50+B54+B72+B68+B84+B88</f>
        <v>2009.0400000000002</v>
      </c>
      <c r="C89" s="94">
        <f t="shared" si="19"/>
        <v>1997.5400000000002</v>
      </c>
      <c r="D89" s="94">
        <f t="shared" si="19"/>
        <v>1849.14</v>
      </c>
      <c r="E89" s="94">
        <f t="shared" si="19"/>
        <v>1874.94</v>
      </c>
      <c r="F89" s="94">
        <f t="shared" si="19"/>
        <v>1883.2400000000002</v>
      </c>
      <c r="G89" s="94">
        <f t="shared" si="19"/>
        <v>1958.8400000000001</v>
      </c>
      <c r="H89" s="94">
        <f t="shared" si="19"/>
        <v>2009.3400000000001</v>
      </c>
      <c r="I89" s="94">
        <f t="shared" si="19"/>
        <v>1989.4400000000003</v>
      </c>
      <c r="J89" s="94">
        <f t="shared" si="19"/>
        <v>1996.8400000000001</v>
      </c>
      <c r="K89" s="94">
        <f t="shared" si="19"/>
        <v>1944.1399999999999</v>
      </c>
      <c r="L89" s="94">
        <f t="shared" si="19"/>
        <v>1944.1399999999999</v>
      </c>
      <c r="M89" s="94">
        <f t="shared" si="19"/>
        <v>1952.7400000000002</v>
      </c>
      <c r="N89" s="94">
        <f t="shared" si="19"/>
        <v>1955.7400000000002</v>
      </c>
      <c r="O89" s="94">
        <f t="shared" si="19"/>
        <v>1941.7400000000002</v>
      </c>
      <c r="P89" s="94">
        <f t="shared" si="19"/>
        <v>1954.6399999999999</v>
      </c>
      <c r="Q89" s="94">
        <f t="shared" si="19"/>
        <v>1941.6399999999999</v>
      </c>
      <c r="R89" s="94">
        <f t="shared" si="19"/>
        <v>1941.6399999999999</v>
      </c>
      <c r="S89" s="94">
        <f t="shared" si="19"/>
        <v>1884.0400000000002</v>
      </c>
      <c r="T89" s="94">
        <f t="shared" si="19"/>
        <v>1873.7400000000002</v>
      </c>
      <c r="U89" s="94">
        <f t="shared" si="19"/>
        <v>1873.7400000000002</v>
      </c>
      <c r="V89" s="94">
        <f t="shared" si="19"/>
        <v>1873.7400000000002</v>
      </c>
      <c r="W89" s="94">
        <f t="shared" ref="W89:Y89" si="20">W50+W54+W72+W68+W84+W88</f>
        <v>1887.44</v>
      </c>
      <c r="X89" s="94">
        <f t="shared" si="20"/>
        <v>1887.44</v>
      </c>
      <c r="Y89" s="94">
        <f t="shared" si="20"/>
        <v>2060.44</v>
      </c>
      <c r="Z89" s="94">
        <f t="shared" si="19"/>
        <v>2066.64</v>
      </c>
      <c r="AA89" s="94">
        <v>2038.8400000000001</v>
      </c>
      <c r="AB89" s="94">
        <f t="shared" si="19"/>
        <v>2028.54</v>
      </c>
      <c r="AC89" s="94">
        <f t="shared" si="19"/>
        <v>2018.54</v>
      </c>
      <c r="AD89" s="94">
        <f t="shared" si="19"/>
        <v>2036.04</v>
      </c>
      <c r="AE89" s="94">
        <f t="shared" si="19"/>
        <v>2018.94</v>
      </c>
      <c r="AF89" s="94">
        <f t="shared" si="19"/>
        <v>1991.44</v>
      </c>
      <c r="AG89" s="61">
        <f t="shared" si="19"/>
        <v>2111.5500000000002</v>
      </c>
      <c r="AH89" s="47">
        <f t="shared" si="15"/>
        <v>2066.64</v>
      </c>
      <c r="AI89" s="48">
        <f t="shared" si="16"/>
        <v>1849.14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5"/>
        <v>0</v>
      </c>
      <c r="AI90" s="48">
        <f t="shared" si="16"/>
        <v>0</v>
      </c>
    </row>
    <row r="91" spans="1:40" ht="15.75" thickBot="1" x14ac:dyDescent="0.3">
      <c r="A91" s="73" t="s">
        <v>102</v>
      </c>
      <c r="B91" s="94">
        <f t="shared" ref="B91:AF91" si="21">B89+B90</f>
        <v>2009.0400000000002</v>
      </c>
      <c r="C91" s="94">
        <f t="shared" si="21"/>
        <v>1997.5400000000002</v>
      </c>
      <c r="D91" s="94">
        <f t="shared" si="21"/>
        <v>1849.14</v>
      </c>
      <c r="E91" s="94">
        <f t="shared" si="21"/>
        <v>1874.94</v>
      </c>
      <c r="F91" s="94">
        <f t="shared" si="21"/>
        <v>1883.2400000000002</v>
      </c>
      <c r="G91" s="94">
        <f t="shared" si="21"/>
        <v>1958.8400000000001</v>
      </c>
      <c r="H91" s="94">
        <f t="shared" si="21"/>
        <v>2009.3400000000001</v>
      </c>
      <c r="I91" s="94">
        <f t="shared" si="21"/>
        <v>1989.4400000000003</v>
      </c>
      <c r="J91" s="94">
        <f t="shared" si="21"/>
        <v>1996.8400000000001</v>
      </c>
      <c r="K91" s="94">
        <f t="shared" si="21"/>
        <v>1944.1399999999999</v>
      </c>
      <c r="L91" s="94">
        <f t="shared" si="21"/>
        <v>1944.1399999999999</v>
      </c>
      <c r="M91" s="94">
        <f t="shared" si="21"/>
        <v>1952.7400000000002</v>
      </c>
      <c r="N91" s="94">
        <f t="shared" si="21"/>
        <v>1955.7400000000002</v>
      </c>
      <c r="O91" s="94">
        <f t="shared" si="21"/>
        <v>1941.7400000000002</v>
      </c>
      <c r="P91" s="94">
        <f t="shared" si="21"/>
        <v>1954.6399999999999</v>
      </c>
      <c r="Q91" s="94">
        <f t="shared" si="21"/>
        <v>1941.6399999999999</v>
      </c>
      <c r="R91" s="94">
        <f t="shared" si="21"/>
        <v>1941.6399999999999</v>
      </c>
      <c r="S91" s="94">
        <f t="shared" si="21"/>
        <v>1884.0400000000002</v>
      </c>
      <c r="T91" s="94">
        <f t="shared" si="21"/>
        <v>1873.7400000000002</v>
      </c>
      <c r="U91" s="94">
        <f t="shared" si="21"/>
        <v>1873.7400000000002</v>
      </c>
      <c r="V91" s="94">
        <f t="shared" si="21"/>
        <v>1873.7400000000002</v>
      </c>
      <c r="W91" s="94">
        <f t="shared" ref="W91:Y91" si="22">W89+W90</f>
        <v>1887.44</v>
      </c>
      <c r="X91" s="94">
        <f t="shared" si="22"/>
        <v>1887.44</v>
      </c>
      <c r="Y91" s="94">
        <f t="shared" si="22"/>
        <v>2060.44</v>
      </c>
      <c r="Z91" s="94">
        <f t="shared" si="21"/>
        <v>2066.64</v>
      </c>
      <c r="AA91" s="94">
        <v>2038.8400000000001</v>
      </c>
      <c r="AB91" s="94">
        <f t="shared" si="21"/>
        <v>2028.54</v>
      </c>
      <c r="AC91" s="94">
        <f t="shared" si="21"/>
        <v>2018.54</v>
      </c>
      <c r="AD91" s="94">
        <f t="shared" si="21"/>
        <v>2036.04</v>
      </c>
      <c r="AE91" s="94">
        <f t="shared" si="21"/>
        <v>2018.94</v>
      </c>
      <c r="AF91" s="94">
        <f t="shared" si="21"/>
        <v>1991.44</v>
      </c>
      <c r="AG91" s="87">
        <f>AG88+AG84+AG72+AG68+AG50+AG90</f>
        <v>1573.45</v>
      </c>
      <c r="AH91" s="47">
        <f t="shared" si="15"/>
        <v>2066.64</v>
      </c>
      <c r="AI91" s="48">
        <f t="shared" si="16"/>
        <v>1849.14</v>
      </c>
    </row>
    <row r="92" spans="1:40" ht="15.75" thickBot="1" x14ac:dyDescent="0.3">
      <c r="A92" s="73" t="s">
        <v>103</v>
      </c>
      <c r="B92" s="94">
        <f t="shared" ref="B92:AF92" si="23">B91-B99</f>
        <v>2009.0400000000002</v>
      </c>
      <c r="C92" s="94">
        <f t="shared" si="23"/>
        <v>1997.5400000000002</v>
      </c>
      <c r="D92" s="94">
        <f t="shared" si="23"/>
        <v>1849.14</v>
      </c>
      <c r="E92" s="94">
        <f t="shared" si="23"/>
        <v>1874.94</v>
      </c>
      <c r="F92" s="94">
        <f t="shared" si="23"/>
        <v>1883.2400000000002</v>
      </c>
      <c r="G92" s="94">
        <f t="shared" si="23"/>
        <v>1958.8400000000001</v>
      </c>
      <c r="H92" s="94">
        <f t="shared" si="23"/>
        <v>2009.3400000000001</v>
      </c>
      <c r="I92" s="94">
        <f t="shared" si="23"/>
        <v>1989.4400000000003</v>
      </c>
      <c r="J92" s="94">
        <f t="shared" si="23"/>
        <v>1996.8400000000001</v>
      </c>
      <c r="K92" s="94">
        <f t="shared" si="23"/>
        <v>1944.1399999999999</v>
      </c>
      <c r="L92" s="94">
        <f t="shared" si="23"/>
        <v>1944.1399999999999</v>
      </c>
      <c r="M92" s="94">
        <f t="shared" si="23"/>
        <v>1952.7400000000002</v>
      </c>
      <c r="N92" s="94">
        <f t="shared" si="23"/>
        <v>1955.7400000000002</v>
      </c>
      <c r="O92" s="94">
        <f t="shared" si="23"/>
        <v>1941.7400000000002</v>
      </c>
      <c r="P92" s="94">
        <f t="shared" si="23"/>
        <v>1954.6399999999999</v>
      </c>
      <c r="Q92" s="94">
        <f t="shared" si="23"/>
        <v>1941.6399999999999</v>
      </c>
      <c r="R92" s="94">
        <f t="shared" si="23"/>
        <v>1941.6399999999999</v>
      </c>
      <c r="S92" s="94">
        <f t="shared" si="23"/>
        <v>1884.0400000000002</v>
      </c>
      <c r="T92" s="94">
        <f t="shared" si="23"/>
        <v>1873.7400000000002</v>
      </c>
      <c r="U92" s="94">
        <f t="shared" si="23"/>
        <v>1873.7400000000002</v>
      </c>
      <c r="V92" s="94">
        <f t="shared" si="23"/>
        <v>1873.7400000000002</v>
      </c>
      <c r="W92" s="94">
        <f t="shared" ref="W92:Y92" si="24">W91-W99</f>
        <v>1887.44</v>
      </c>
      <c r="X92" s="94">
        <f t="shared" si="24"/>
        <v>1887.44</v>
      </c>
      <c r="Y92" s="94">
        <f t="shared" si="24"/>
        <v>2060.44</v>
      </c>
      <c r="Z92" s="94">
        <f t="shared" si="23"/>
        <v>2066.64</v>
      </c>
      <c r="AA92" s="94">
        <v>2038.8400000000001</v>
      </c>
      <c r="AB92" s="94">
        <f t="shared" si="23"/>
        <v>2028.54</v>
      </c>
      <c r="AC92" s="94">
        <f t="shared" si="23"/>
        <v>2018.54</v>
      </c>
      <c r="AD92" s="94">
        <f t="shared" si="23"/>
        <v>2036.04</v>
      </c>
      <c r="AE92" s="94">
        <f t="shared" si="23"/>
        <v>2018.94</v>
      </c>
      <c r="AF92" s="94">
        <f t="shared" si="23"/>
        <v>1991.44</v>
      </c>
      <c r="AG92" s="87"/>
      <c r="AH92" s="47">
        <f t="shared" si="15"/>
        <v>2066.64</v>
      </c>
      <c r="AI92" s="48">
        <f t="shared" si="16"/>
        <v>1849.14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5"/>
        <v>0</v>
      </c>
      <c r="AI93" s="48">
        <f t="shared" si="16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5"/>
        <v>0</v>
      </c>
      <c r="AI94" s="48">
        <f t="shared" si="16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5"/>
        <v>0</v>
      </c>
      <c r="AI95" s="48">
        <f t="shared" si="16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5"/>
        <v>0</v>
      </c>
      <c r="AI96" s="48">
        <f t="shared" si="16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5"/>
        <v>0</v>
      </c>
      <c r="AI97" s="48">
        <f t="shared" si="16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5"/>
        <v>0</v>
      </c>
      <c r="AI98" s="48">
        <f t="shared" si="16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15"/>
        <v>0</v>
      </c>
      <c r="AI99" s="48">
        <f t="shared" si="16"/>
        <v>0</v>
      </c>
      <c r="AK99" s="50"/>
    </row>
    <row r="100" spans="1:37" ht="15.75" thickBot="1" x14ac:dyDescent="0.3">
      <c r="A100" s="73" t="s">
        <v>108</v>
      </c>
      <c r="B100" s="60">
        <f t="shared" ref="B100:AF100" si="25">B84-B99</f>
        <v>10.5</v>
      </c>
      <c r="C100" s="60">
        <f t="shared" si="25"/>
        <v>9.5</v>
      </c>
      <c r="D100" s="60">
        <f t="shared" si="25"/>
        <v>5</v>
      </c>
      <c r="E100" s="60">
        <f t="shared" si="25"/>
        <v>7.7</v>
      </c>
      <c r="F100" s="60">
        <f t="shared" si="25"/>
        <v>7.7</v>
      </c>
      <c r="G100" s="60">
        <f t="shared" si="25"/>
        <v>0</v>
      </c>
      <c r="H100" s="60">
        <f t="shared" si="25"/>
        <v>0</v>
      </c>
      <c r="I100" s="60">
        <f t="shared" si="25"/>
        <v>0</v>
      </c>
      <c r="J100" s="60">
        <f t="shared" si="25"/>
        <v>0</v>
      </c>
      <c r="K100" s="60">
        <f t="shared" si="25"/>
        <v>0</v>
      </c>
      <c r="L100" s="60">
        <f t="shared" si="25"/>
        <v>0</v>
      </c>
      <c r="M100" s="60">
        <f t="shared" si="25"/>
        <v>0</v>
      </c>
      <c r="N100" s="60">
        <f t="shared" si="25"/>
        <v>0</v>
      </c>
      <c r="O100" s="60">
        <f t="shared" si="25"/>
        <v>0</v>
      </c>
      <c r="P100" s="60">
        <f t="shared" si="25"/>
        <v>0</v>
      </c>
      <c r="Q100" s="60">
        <f t="shared" si="25"/>
        <v>0</v>
      </c>
      <c r="R100" s="60">
        <f t="shared" si="25"/>
        <v>0</v>
      </c>
      <c r="S100" s="60">
        <f t="shared" si="25"/>
        <v>0</v>
      </c>
      <c r="T100" s="60">
        <f t="shared" si="25"/>
        <v>0</v>
      </c>
      <c r="U100" s="60">
        <f t="shared" si="25"/>
        <v>0</v>
      </c>
      <c r="V100" s="60">
        <f t="shared" si="25"/>
        <v>0</v>
      </c>
      <c r="W100" s="60">
        <f t="shared" ref="W100:Y100" si="26">W84-W99</f>
        <v>0</v>
      </c>
      <c r="X100" s="60">
        <f t="shared" si="26"/>
        <v>0</v>
      </c>
      <c r="Y100" s="60">
        <f t="shared" si="26"/>
        <v>0</v>
      </c>
      <c r="Z100" s="60">
        <f t="shared" si="25"/>
        <v>0</v>
      </c>
      <c r="AA100" s="60">
        <v>13.6</v>
      </c>
      <c r="AB100" s="60">
        <f t="shared" si="25"/>
        <v>0</v>
      </c>
      <c r="AC100" s="60">
        <f t="shared" si="25"/>
        <v>0</v>
      </c>
      <c r="AD100" s="60">
        <f t="shared" si="25"/>
        <v>20</v>
      </c>
      <c r="AE100" s="60">
        <f t="shared" si="25"/>
        <v>0</v>
      </c>
      <c r="AF100" s="60">
        <f t="shared" si="25"/>
        <v>0</v>
      </c>
      <c r="AG100" s="87"/>
      <c r="AH100" s="47">
        <f t="shared" si="15"/>
        <v>20</v>
      </c>
      <c r="AI100" s="48">
        <f t="shared" si="16"/>
        <v>0</v>
      </c>
    </row>
    <row r="101" spans="1:37" x14ac:dyDescent="0.25">
      <c r="A101" s="99" t="s">
        <v>109</v>
      </c>
      <c r="B101" s="100">
        <v>50.002000000000002</v>
      </c>
      <c r="C101" s="100">
        <v>49.99</v>
      </c>
      <c r="D101" s="100">
        <v>49.95</v>
      </c>
      <c r="E101" s="100">
        <v>49.987000000000002</v>
      </c>
      <c r="F101" s="100">
        <v>50.03</v>
      </c>
      <c r="G101" s="100">
        <v>49.972999999999999</v>
      </c>
      <c r="H101" s="100">
        <v>49.966000000000001</v>
      </c>
      <c r="I101" s="100">
        <v>49.966000000000001</v>
      </c>
      <c r="J101" s="100">
        <v>49.869</v>
      </c>
      <c r="K101" s="100">
        <v>49.957999999999998</v>
      </c>
      <c r="L101" s="100">
        <v>49.957999999999998</v>
      </c>
      <c r="M101" s="100">
        <v>50.042000000000002</v>
      </c>
      <c r="N101" s="100">
        <v>50.057000000000002</v>
      </c>
      <c r="O101" s="100">
        <v>50.018000000000001</v>
      </c>
      <c r="P101" s="100">
        <v>50.006</v>
      </c>
      <c r="Q101" s="100">
        <v>50.000999999999998</v>
      </c>
      <c r="R101" s="100">
        <v>50.000999999999998</v>
      </c>
      <c r="S101" s="100">
        <v>49.9</v>
      </c>
      <c r="T101" s="100">
        <v>50</v>
      </c>
      <c r="U101" s="100">
        <v>50</v>
      </c>
      <c r="V101" s="100">
        <v>50.02</v>
      </c>
      <c r="W101" s="100">
        <v>50.01</v>
      </c>
      <c r="X101" s="100">
        <v>50</v>
      </c>
      <c r="Y101" s="100">
        <v>49.98</v>
      </c>
      <c r="Z101" s="100">
        <v>49.96</v>
      </c>
      <c r="AA101" s="100">
        <v>49.84</v>
      </c>
      <c r="AB101" s="100">
        <v>49.84</v>
      </c>
      <c r="AC101" s="100">
        <v>49.84</v>
      </c>
      <c r="AD101" s="100">
        <v>50.031999999999996</v>
      </c>
      <c r="AE101" s="100">
        <v>50.034999999999997</v>
      </c>
      <c r="AF101" s="100">
        <v>50.005000000000003</v>
      </c>
      <c r="AG101" s="101"/>
      <c r="AH101" s="47">
        <f t="shared" si="15"/>
        <v>50.057000000000002</v>
      </c>
      <c r="AI101" s="48">
        <f t="shared" si="16"/>
        <v>49.84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5"/>
        <v>0</v>
      </c>
      <c r="AI102" s="48">
        <f t="shared" si="16"/>
        <v>0</v>
      </c>
    </row>
    <row r="103" spans="1:37" x14ac:dyDescent="0.25">
      <c r="A103" s="102" t="s">
        <v>111</v>
      </c>
      <c r="B103" s="64">
        <v>129.80000000000001</v>
      </c>
      <c r="C103" s="64">
        <v>128.5</v>
      </c>
      <c r="D103" s="64">
        <v>128.19999999999999</v>
      </c>
      <c r="E103" s="64">
        <v>128.1</v>
      </c>
      <c r="F103" s="64">
        <v>128.19999999999999</v>
      </c>
      <c r="G103" s="64">
        <v>126.4</v>
      </c>
      <c r="H103" s="64">
        <v>128.30000000000001</v>
      </c>
      <c r="I103" s="64">
        <v>128.30000000000001</v>
      </c>
      <c r="J103" s="64">
        <v>127.7</v>
      </c>
      <c r="K103" s="64">
        <v>127.3</v>
      </c>
      <c r="L103" s="64">
        <v>127.3</v>
      </c>
      <c r="M103" s="64">
        <v>126.7</v>
      </c>
      <c r="N103" s="64">
        <v>125.3</v>
      </c>
      <c r="O103" s="64">
        <v>127.3</v>
      </c>
      <c r="P103" s="64">
        <v>127</v>
      </c>
      <c r="Q103" s="64">
        <v>126.4</v>
      </c>
      <c r="R103" s="64">
        <v>126.4</v>
      </c>
      <c r="S103" s="64">
        <v>128.30000000000001</v>
      </c>
      <c r="T103" s="64">
        <v>129.19999999999999</v>
      </c>
      <c r="U103" s="64">
        <v>129.19999999999999</v>
      </c>
      <c r="V103" s="64">
        <v>129.69999999999999</v>
      </c>
      <c r="W103" s="64">
        <v>129.80000000000001</v>
      </c>
      <c r="X103" s="64">
        <v>130.30000000000001</v>
      </c>
      <c r="Y103" s="64">
        <v>128.6</v>
      </c>
      <c r="Z103" s="64">
        <v>128.1</v>
      </c>
      <c r="AA103" s="64">
        <v>127.4</v>
      </c>
      <c r="AB103" s="64">
        <v>127.4</v>
      </c>
      <c r="AC103" s="64">
        <v>127.4</v>
      </c>
      <c r="AD103" s="64">
        <v>128.5</v>
      </c>
      <c r="AE103" s="64">
        <v>126.8</v>
      </c>
      <c r="AF103" s="64">
        <v>127</v>
      </c>
      <c r="AG103" s="103"/>
      <c r="AH103" s="47">
        <f t="shared" si="15"/>
        <v>130.30000000000001</v>
      </c>
      <c r="AI103" s="48">
        <f t="shared" si="16"/>
        <v>125.3</v>
      </c>
    </row>
    <row r="104" spans="1:37" x14ac:dyDescent="0.25">
      <c r="A104" s="102" t="s">
        <v>112</v>
      </c>
      <c r="B104" s="64">
        <v>129.1</v>
      </c>
      <c r="C104" s="64">
        <v>129.19999999999999</v>
      </c>
      <c r="D104" s="64">
        <v>129.6</v>
      </c>
      <c r="E104" s="64">
        <v>130.4</v>
      </c>
      <c r="F104" s="64">
        <v>128.80000000000001</v>
      </c>
      <c r="G104" s="64">
        <v>128.1</v>
      </c>
      <c r="H104" s="64">
        <v>129.9</v>
      </c>
      <c r="I104" s="64">
        <v>129.9</v>
      </c>
      <c r="J104" s="64">
        <v>129.69999999999999</v>
      </c>
      <c r="K104" s="64">
        <v>129.30000000000001</v>
      </c>
      <c r="L104" s="64">
        <v>129.30000000000001</v>
      </c>
      <c r="M104" s="64">
        <v>131.80000000000001</v>
      </c>
      <c r="N104" s="64">
        <v>127.8</v>
      </c>
      <c r="O104" s="64">
        <v>129.69999999999999</v>
      </c>
      <c r="P104" s="64">
        <v>128</v>
      </c>
      <c r="Q104" s="64">
        <v>128.5</v>
      </c>
      <c r="R104" s="64">
        <v>128.5</v>
      </c>
      <c r="S104" s="64">
        <v>128.80000000000001</v>
      </c>
      <c r="T104" s="64">
        <v>129.80000000000001</v>
      </c>
      <c r="U104" s="64">
        <v>129.80000000000001</v>
      </c>
      <c r="V104" s="64">
        <v>130.80000000000001</v>
      </c>
      <c r="W104" s="64">
        <v>131</v>
      </c>
      <c r="X104" s="64">
        <v>130.6</v>
      </c>
      <c r="Y104" s="64">
        <v>127</v>
      </c>
      <c r="Z104" s="64">
        <v>127.1</v>
      </c>
      <c r="AA104" s="64">
        <v>128.30000000000001</v>
      </c>
      <c r="AB104" s="64">
        <v>128.30000000000001</v>
      </c>
      <c r="AC104" s="64">
        <v>128.30000000000001</v>
      </c>
      <c r="AD104" s="64">
        <v>128</v>
      </c>
      <c r="AE104" s="64">
        <v>127.9</v>
      </c>
      <c r="AF104" s="64">
        <v>127.5</v>
      </c>
      <c r="AG104" s="103"/>
      <c r="AH104" s="47">
        <f t="shared" si="15"/>
        <v>131.80000000000001</v>
      </c>
      <c r="AI104" s="48">
        <f t="shared" si="16"/>
        <v>127</v>
      </c>
    </row>
    <row r="105" spans="1:37" x14ac:dyDescent="0.25">
      <c r="A105" s="104" t="s">
        <v>113</v>
      </c>
      <c r="B105" s="64">
        <v>132.19999999999999</v>
      </c>
      <c r="C105" s="64">
        <v>132.30000000000001</v>
      </c>
      <c r="D105" s="64">
        <v>132.9</v>
      </c>
      <c r="E105" s="64">
        <v>134</v>
      </c>
      <c r="F105" s="64">
        <v>133.5</v>
      </c>
      <c r="G105" s="64">
        <v>132.1</v>
      </c>
      <c r="H105" s="64">
        <v>133.80000000000001</v>
      </c>
      <c r="I105" s="64">
        <v>133.80000000000001</v>
      </c>
      <c r="J105" s="64">
        <v>132.30000000000001</v>
      </c>
      <c r="K105" s="64">
        <v>132.5</v>
      </c>
      <c r="L105" s="64">
        <v>132.5</v>
      </c>
      <c r="M105" s="64">
        <v>131.80000000000001</v>
      </c>
      <c r="N105" s="64">
        <v>130</v>
      </c>
      <c r="O105" s="64">
        <v>131.19999999999999</v>
      </c>
      <c r="P105" s="64">
        <v>131.1</v>
      </c>
      <c r="Q105" s="64">
        <v>130.69999999999999</v>
      </c>
      <c r="R105" s="64">
        <v>130.69999999999999</v>
      </c>
      <c r="S105" s="64">
        <v>129.9</v>
      </c>
      <c r="T105" s="64">
        <v>130.9</v>
      </c>
      <c r="U105" s="64">
        <v>130.9</v>
      </c>
      <c r="V105" s="64">
        <v>131.69999999999999</v>
      </c>
      <c r="W105" s="64">
        <v>132.19999999999999</v>
      </c>
      <c r="X105" s="64">
        <v>131.80000000000001</v>
      </c>
      <c r="Y105" s="64">
        <v>128</v>
      </c>
      <c r="Z105" s="64">
        <v>127.8</v>
      </c>
      <c r="AA105" s="64">
        <v>129.19999999999999</v>
      </c>
      <c r="AB105" s="64">
        <v>129.19999999999999</v>
      </c>
      <c r="AC105" s="64">
        <v>129.19999999999999</v>
      </c>
      <c r="AD105" s="64">
        <v>129.19999999999999</v>
      </c>
      <c r="AE105" s="64">
        <v>129.69999999999999</v>
      </c>
      <c r="AF105" s="64">
        <v>129.5</v>
      </c>
      <c r="AG105" s="103"/>
      <c r="AH105" s="47">
        <f t="shared" si="15"/>
        <v>134</v>
      </c>
      <c r="AI105" s="48">
        <f t="shared" si="16"/>
        <v>127.8</v>
      </c>
    </row>
    <row r="106" spans="1:37" x14ac:dyDescent="0.25">
      <c r="A106" s="104" t="s">
        <v>114</v>
      </c>
      <c r="B106" s="105">
        <v>132.1</v>
      </c>
      <c r="C106" s="105">
        <v>130.30000000000001</v>
      </c>
      <c r="D106" s="105">
        <v>131.4</v>
      </c>
      <c r="E106" s="105">
        <v>132</v>
      </c>
      <c r="F106" s="105">
        <v>132.19999999999999</v>
      </c>
      <c r="G106" s="105">
        <v>130.5</v>
      </c>
      <c r="H106" s="105">
        <v>133.30000000000001</v>
      </c>
      <c r="I106" s="105">
        <v>133.30000000000001</v>
      </c>
      <c r="J106" s="105">
        <v>133.9</v>
      </c>
      <c r="K106" s="105">
        <v>132.5</v>
      </c>
      <c r="L106" s="105">
        <v>132.5</v>
      </c>
      <c r="M106" s="105">
        <v>134.4</v>
      </c>
      <c r="N106" s="105">
        <v>132</v>
      </c>
      <c r="O106" s="105">
        <v>130.1</v>
      </c>
      <c r="P106" s="105">
        <v>130.69999999999999</v>
      </c>
      <c r="Q106" s="105">
        <v>132.9</v>
      </c>
      <c r="R106" s="105">
        <v>132.9</v>
      </c>
      <c r="S106" s="105">
        <v>132</v>
      </c>
      <c r="T106" s="105">
        <v>132</v>
      </c>
      <c r="U106" s="105">
        <v>132</v>
      </c>
      <c r="V106" s="105">
        <v>133.5</v>
      </c>
      <c r="W106" s="105">
        <v>133.4</v>
      </c>
      <c r="X106" s="105">
        <v>133.6</v>
      </c>
      <c r="Y106" s="105">
        <v>133.1</v>
      </c>
      <c r="Z106" s="105">
        <v>132</v>
      </c>
      <c r="AA106" s="105">
        <v>128</v>
      </c>
      <c r="AB106" s="105">
        <v>128</v>
      </c>
      <c r="AC106" s="105">
        <v>128</v>
      </c>
      <c r="AD106" s="105">
        <v>130.5</v>
      </c>
      <c r="AE106" s="105">
        <v>129.69999999999999</v>
      </c>
      <c r="AF106" s="105">
        <v>131</v>
      </c>
      <c r="AG106" s="106"/>
      <c r="AH106" s="47">
        <f t="shared" si="15"/>
        <v>134.4</v>
      </c>
      <c r="AI106" s="48">
        <f t="shared" si="16"/>
        <v>128</v>
      </c>
    </row>
    <row r="107" spans="1:37" x14ac:dyDescent="0.25">
      <c r="A107" s="102" t="s">
        <v>115</v>
      </c>
      <c r="B107" s="64">
        <v>127</v>
      </c>
      <c r="C107" s="64">
        <v>130.1</v>
      </c>
      <c r="D107" s="64">
        <v>129.9</v>
      </c>
      <c r="E107" s="64">
        <v>132.30000000000001</v>
      </c>
      <c r="F107" s="64">
        <v>133</v>
      </c>
      <c r="G107" s="64">
        <v>131.6</v>
      </c>
      <c r="H107" s="64">
        <v>130.19999999999999</v>
      </c>
      <c r="I107" s="64">
        <v>130.19999999999999</v>
      </c>
      <c r="J107" s="64">
        <v>135.80000000000001</v>
      </c>
      <c r="K107" s="64">
        <v>134.80000000000001</v>
      </c>
      <c r="L107" s="64">
        <v>134.80000000000001</v>
      </c>
      <c r="M107" s="64">
        <v>131.9</v>
      </c>
      <c r="N107" s="64">
        <v>134.4</v>
      </c>
      <c r="O107" s="64">
        <v>128.5</v>
      </c>
      <c r="P107" s="64">
        <v>134.6</v>
      </c>
      <c r="Q107" s="64">
        <v>132</v>
      </c>
      <c r="R107" s="64">
        <v>132</v>
      </c>
      <c r="S107" s="64">
        <v>131</v>
      </c>
      <c r="T107" s="64">
        <v>130.6</v>
      </c>
      <c r="U107" s="64">
        <v>130.6</v>
      </c>
      <c r="V107" s="64">
        <v>131.9</v>
      </c>
      <c r="W107" s="64">
        <v>129.6</v>
      </c>
      <c r="X107" s="64">
        <v>127.6</v>
      </c>
      <c r="Y107" s="64">
        <v>130.69999999999999</v>
      </c>
      <c r="Z107" s="64">
        <v>129.9</v>
      </c>
      <c r="AA107" s="64">
        <v>129.4</v>
      </c>
      <c r="AB107" s="64">
        <v>129.4</v>
      </c>
      <c r="AC107" s="64">
        <v>129.4</v>
      </c>
      <c r="AD107" s="64">
        <v>129.19999999999999</v>
      </c>
      <c r="AE107" s="64">
        <v>128.69999999999999</v>
      </c>
      <c r="AF107" s="64">
        <v>125.3</v>
      </c>
      <c r="AG107" s="103"/>
      <c r="AH107" s="47">
        <f t="shared" si="15"/>
        <v>135.80000000000001</v>
      </c>
      <c r="AI107" s="48">
        <f t="shared" si="16"/>
        <v>125.3</v>
      </c>
    </row>
    <row r="108" spans="1:37" ht="15.75" thickBot="1" x14ac:dyDescent="0.3">
      <c r="A108" s="102" t="s">
        <v>116</v>
      </c>
      <c r="B108" s="91">
        <v>65.5</v>
      </c>
      <c r="C108" s="91">
        <v>64.900000000000006</v>
      </c>
      <c r="D108" s="91">
        <v>64.900000000000006</v>
      </c>
      <c r="E108" s="91">
        <v>64.599999999999994</v>
      </c>
      <c r="F108" s="91">
        <v>64.8</v>
      </c>
      <c r="G108" s="91">
        <v>64</v>
      </c>
      <c r="H108" s="91">
        <v>64.8</v>
      </c>
      <c r="I108" s="91">
        <v>64.8</v>
      </c>
      <c r="J108" s="91">
        <v>64.5</v>
      </c>
      <c r="K108" s="91">
        <v>64</v>
      </c>
      <c r="L108" s="91">
        <v>64</v>
      </c>
      <c r="M108" s="91">
        <v>64.099999999999994</v>
      </c>
      <c r="N108" s="91">
        <v>63.1</v>
      </c>
      <c r="O108" s="91">
        <v>63.7</v>
      </c>
      <c r="P108" s="91">
        <v>63.7</v>
      </c>
      <c r="Q108" s="91">
        <v>63.7</v>
      </c>
      <c r="R108" s="91">
        <v>63.7</v>
      </c>
      <c r="S108" s="91">
        <v>64.5</v>
      </c>
      <c r="T108" s="91">
        <v>65</v>
      </c>
      <c r="U108" s="91">
        <v>65</v>
      </c>
      <c r="V108" s="91">
        <v>65.3</v>
      </c>
      <c r="W108" s="91">
        <v>65.599999999999994</v>
      </c>
      <c r="X108" s="91">
        <v>65.5</v>
      </c>
      <c r="Y108" s="91">
        <v>65</v>
      </c>
      <c r="Z108" s="91">
        <v>64.5</v>
      </c>
      <c r="AA108" s="91">
        <v>64.099999999999994</v>
      </c>
      <c r="AB108" s="91">
        <v>64.099999999999994</v>
      </c>
      <c r="AC108" s="91">
        <v>64.099999999999994</v>
      </c>
      <c r="AD108" s="91">
        <v>64.739999999999995</v>
      </c>
      <c r="AE108" s="91">
        <v>63.5</v>
      </c>
      <c r="AF108" s="91">
        <v>63.9</v>
      </c>
      <c r="AG108" s="107"/>
      <c r="AH108" s="47">
        <f t="shared" si="15"/>
        <v>65.599999999999994</v>
      </c>
      <c r="AI108" s="48">
        <f t="shared" si="16"/>
        <v>63.1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15"/>
        <v>0</v>
      </c>
      <c r="AI109" s="48">
        <f t="shared" si="16"/>
        <v>0</v>
      </c>
    </row>
    <row r="110" spans="1:37" ht="15.75" thickBot="1" x14ac:dyDescent="0.3">
      <c r="A110" s="109" t="s">
        <v>118</v>
      </c>
      <c r="B110" s="110">
        <f t="shared" ref="B110:O110" si="27">SUM(B20,B26,B29:B30,B58,B60:B61,B63,B65,B111:B115,B138,B144,B150,B159,B161,B173,B180,B183:B184,B191,B193,B195,B199:B201,B203:B205,B210,B216:B217,B219:B221,B229,B234)</f>
        <v>98.5</v>
      </c>
      <c r="C110" s="110">
        <f t="shared" si="27"/>
        <v>97.240000000000009</v>
      </c>
      <c r="D110" s="110">
        <f t="shared" si="27"/>
        <v>87.94</v>
      </c>
      <c r="E110" s="110">
        <f t="shared" si="27"/>
        <v>103.24</v>
      </c>
      <c r="F110" s="110">
        <f t="shared" si="27"/>
        <v>52.94</v>
      </c>
      <c r="G110" s="110">
        <f t="shared" si="27"/>
        <v>61.639999999999986</v>
      </c>
      <c r="H110" s="110">
        <f t="shared" si="27"/>
        <v>100.63999999999997</v>
      </c>
      <c r="I110" s="110">
        <f t="shared" si="27"/>
        <v>116.53999999999999</v>
      </c>
      <c r="J110" s="110">
        <f t="shared" si="27"/>
        <v>120.33999999999997</v>
      </c>
      <c r="K110" s="110">
        <f t="shared" si="27"/>
        <v>128.04000000000002</v>
      </c>
      <c r="L110" s="110">
        <f t="shared" si="27"/>
        <v>128.04000000000002</v>
      </c>
      <c r="M110" s="110">
        <f t="shared" si="27"/>
        <v>158.63999999999999</v>
      </c>
      <c r="N110" s="110">
        <f t="shared" si="27"/>
        <v>161.04</v>
      </c>
      <c r="O110" s="110">
        <f t="shared" si="27"/>
        <v>192.23999999999998</v>
      </c>
      <c r="P110" s="110">
        <v>42</v>
      </c>
      <c r="Q110" s="110">
        <f t="shared" ref="Q110:AE110" si="28">SUM(Q20,Q26,Q29:Q30,Q58,Q60:Q61,Q63,Q65,Q111:Q115,Q138,Q144,Q150,Q159,Q161,Q173,Q180,Q183:Q184,Q191,Q193,Q195,Q199:Q201,Q203:Q205,Q210,Q216:Q217,Q219:Q221,Q229,Q234)</f>
        <v>155.40000000000003</v>
      </c>
      <c r="R110" s="110">
        <f t="shared" si="28"/>
        <v>155.40000000000003</v>
      </c>
      <c r="S110" s="110">
        <f t="shared" si="28"/>
        <v>135</v>
      </c>
      <c r="T110" s="110">
        <f t="shared" si="28"/>
        <v>129.20000000000002</v>
      </c>
      <c r="U110" s="110">
        <f t="shared" si="28"/>
        <v>124.10000000000002</v>
      </c>
      <c r="V110" s="110">
        <f t="shared" si="28"/>
        <v>133.9</v>
      </c>
      <c r="W110" s="110">
        <f t="shared" ref="W110:Y110" si="29">SUM(W20,W26,W29:W30,W58,W60:W61,W63,W65,W111:W115,W138,W144,W150,W159,W161,W173,W180,W183:W184,W191,W193,W195,W199:W201,W203:W205,W210,W216:W217,W219:W221,W229,W234)</f>
        <v>147.6</v>
      </c>
      <c r="X110" s="110">
        <f t="shared" si="29"/>
        <v>144.10000000000002</v>
      </c>
      <c r="Y110" s="110">
        <f t="shared" si="29"/>
        <v>200.8</v>
      </c>
      <c r="Z110" s="110">
        <f t="shared" si="28"/>
        <v>234.8</v>
      </c>
      <c r="AA110" s="110">
        <v>196.86750000000001</v>
      </c>
      <c r="AB110" s="110">
        <f t="shared" si="28"/>
        <v>204.8</v>
      </c>
      <c r="AC110" s="110">
        <f t="shared" si="28"/>
        <v>204.8</v>
      </c>
      <c r="AD110" s="110">
        <f t="shared" si="28"/>
        <v>145.19999999999999</v>
      </c>
      <c r="AE110" s="110">
        <f t="shared" si="28"/>
        <v>91.4</v>
      </c>
      <c r="AF110" s="110">
        <f>SUM(AF20,AF26,AF29:AF30,AF58,AF60:AF61,AF63,AF65,AF111:AF115,AF138,AF144,AF150,AF159,AF161,AF173,AF180,AF183:AF184,AF191,AF193,AF195,AF199:AF201,AF203:AF205,AF210,AF216:AF217,AF219:AF221,AF229,AF234)</f>
        <v>64.899999999999991</v>
      </c>
      <c r="AG110" s="111"/>
      <c r="AH110" s="47">
        <f t="shared" si="15"/>
        <v>234.8</v>
      </c>
      <c r="AI110" s="48">
        <f t="shared" si="16"/>
        <v>42</v>
      </c>
    </row>
    <row r="111" spans="1:37" x14ac:dyDescent="0.25">
      <c r="A111" s="99" t="s">
        <v>119</v>
      </c>
      <c r="B111" s="112">
        <v>45.2</v>
      </c>
      <c r="C111" s="112">
        <v>42.3</v>
      </c>
      <c r="D111" s="112">
        <v>32.4</v>
      </c>
      <c r="E111" s="112">
        <v>38.799999999999997</v>
      </c>
      <c r="F111" s="112">
        <v>29.2</v>
      </c>
      <c r="G111" s="112">
        <v>35.799999999999997</v>
      </c>
      <c r="H111" s="112">
        <v>39.6</v>
      </c>
      <c r="I111" s="112">
        <v>48.5</v>
      </c>
      <c r="J111" s="112">
        <v>48.1</v>
      </c>
      <c r="K111" s="112">
        <v>28.3</v>
      </c>
      <c r="L111" s="112">
        <v>28.3</v>
      </c>
      <c r="M111" s="112">
        <v>34.6</v>
      </c>
      <c r="N111" s="112">
        <v>39.6</v>
      </c>
      <c r="O111" s="112">
        <v>47.8</v>
      </c>
      <c r="P111" s="112">
        <v>39.9</v>
      </c>
      <c r="Q111" s="112">
        <v>37.799999999999997</v>
      </c>
      <c r="R111" s="112">
        <v>37.799999999999997</v>
      </c>
      <c r="S111" s="112">
        <v>25.5</v>
      </c>
      <c r="T111" s="112">
        <v>20.399999999999999</v>
      </c>
      <c r="U111" s="112">
        <v>29</v>
      </c>
      <c r="V111" s="112">
        <v>27.1</v>
      </c>
      <c r="W111" s="112">
        <v>27.1</v>
      </c>
      <c r="X111" s="112">
        <v>32</v>
      </c>
      <c r="Y111" s="112">
        <v>35.5</v>
      </c>
      <c r="Z111" s="112">
        <v>35.700000000000003</v>
      </c>
      <c r="AA111" s="112">
        <v>38.6</v>
      </c>
      <c r="AB111" s="112">
        <v>38.6</v>
      </c>
      <c r="AC111" s="112">
        <v>38.6</v>
      </c>
      <c r="AD111" s="112">
        <v>41.4</v>
      </c>
      <c r="AE111" s="112">
        <v>46.8</v>
      </c>
      <c r="AF111" s="112">
        <v>42.3</v>
      </c>
      <c r="AG111" s="113">
        <v>75</v>
      </c>
      <c r="AH111" s="47">
        <f t="shared" si="15"/>
        <v>48.5</v>
      </c>
      <c r="AI111" s="48">
        <f t="shared" si="16"/>
        <v>20.399999999999999</v>
      </c>
    </row>
    <row r="112" spans="1:37" x14ac:dyDescent="0.25">
      <c r="A112" s="102" t="s">
        <v>120</v>
      </c>
      <c r="B112" s="114">
        <v>71.8</v>
      </c>
      <c r="C112" s="114">
        <v>67.900000000000006</v>
      </c>
      <c r="D112" s="114">
        <v>58.8</v>
      </c>
      <c r="E112" s="114">
        <v>68.8</v>
      </c>
      <c r="F112" s="114">
        <v>53.9</v>
      </c>
      <c r="G112" s="114">
        <v>67</v>
      </c>
      <c r="H112" s="114">
        <v>71</v>
      </c>
      <c r="I112" s="114">
        <v>77.3</v>
      </c>
      <c r="J112" s="114">
        <v>77.7</v>
      </c>
      <c r="K112" s="114">
        <v>41.4</v>
      </c>
      <c r="L112" s="114">
        <v>41.4</v>
      </c>
      <c r="M112" s="114">
        <v>47.1</v>
      </c>
      <c r="N112" s="114">
        <v>56.3</v>
      </c>
      <c r="O112" s="114">
        <v>71</v>
      </c>
      <c r="P112" s="114">
        <v>58.3</v>
      </c>
      <c r="Q112" s="114">
        <v>57.9</v>
      </c>
      <c r="R112" s="114">
        <v>57.9</v>
      </c>
      <c r="S112" s="114">
        <v>39.700000000000003</v>
      </c>
      <c r="T112" s="114">
        <v>31.4</v>
      </c>
      <c r="U112" s="114">
        <v>19</v>
      </c>
      <c r="V112" s="114">
        <v>35.6</v>
      </c>
      <c r="W112" s="114">
        <v>35.6</v>
      </c>
      <c r="X112" s="114">
        <v>34</v>
      </c>
      <c r="Y112" s="114">
        <v>46.2</v>
      </c>
      <c r="Z112" s="114">
        <v>48.7</v>
      </c>
      <c r="AA112" s="114">
        <v>56</v>
      </c>
      <c r="AB112" s="114">
        <v>56</v>
      </c>
      <c r="AC112" s="114">
        <v>56</v>
      </c>
      <c r="AD112" s="114">
        <v>61.4</v>
      </c>
      <c r="AE112" s="114">
        <v>70.3</v>
      </c>
      <c r="AF112" s="114">
        <v>67.3</v>
      </c>
      <c r="AG112" s="113">
        <v>240</v>
      </c>
      <c r="AH112" s="47">
        <f t="shared" si="15"/>
        <v>77.7</v>
      </c>
      <c r="AI112" s="48">
        <f t="shared" si="16"/>
        <v>19</v>
      </c>
    </row>
    <row r="113" spans="1:37" x14ac:dyDescent="0.25">
      <c r="A113" s="102" t="s">
        <v>121</v>
      </c>
      <c r="B113" s="114">
        <v>-172</v>
      </c>
      <c r="C113" s="114">
        <v>-167</v>
      </c>
      <c r="D113" s="114">
        <v>-158</v>
      </c>
      <c r="E113" s="114">
        <f>-91-94.5</f>
        <v>-185.5</v>
      </c>
      <c r="F113" s="114">
        <f>-84-86.7</f>
        <v>-170.7</v>
      </c>
      <c r="G113" s="114">
        <f>-91-95.9</f>
        <v>-186.9</v>
      </c>
      <c r="H113" s="114">
        <f>-86.2-91.7</f>
        <v>-177.9</v>
      </c>
      <c r="I113" s="114">
        <f>-84-87.6</f>
        <v>-171.6</v>
      </c>
      <c r="J113" s="114">
        <f>-81.7-86.7</f>
        <v>-168.4</v>
      </c>
      <c r="K113" s="114">
        <f>-51-54</f>
        <v>-105</v>
      </c>
      <c r="L113" s="114">
        <f>-51-54</f>
        <v>-105</v>
      </c>
      <c r="M113" s="114">
        <v>-90.6</v>
      </c>
      <c r="N113" s="114">
        <v>-94</v>
      </c>
      <c r="O113" s="114">
        <v>-88</v>
      </c>
      <c r="P113" s="114">
        <v>-118.5</v>
      </c>
      <c r="Q113" s="114">
        <v>-110</v>
      </c>
      <c r="R113" s="114">
        <v>-110</v>
      </c>
      <c r="S113" s="114">
        <f>-32.1-34.7</f>
        <v>-66.800000000000011</v>
      </c>
      <c r="T113" s="114">
        <f>-29.1-31</f>
        <v>-60.1</v>
      </c>
      <c r="U113" s="114">
        <v>-63</v>
      </c>
      <c r="V113" s="114">
        <f>-30.2-32.7</f>
        <v>-62.900000000000006</v>
      </c>
      <c r="W113" s="114">
        <f t="shared" ref="W113" si="30">-30.2-32.7</f>
        <v>-62.900000000000006</v>
      </c>
      <c r="X113" s="114">
        <f>-32-33</f>
        <v>-65</v>
      </c>
      <c r="Y113" s="114">
        <f>-38-32</f>
        <v>-70</v>
      </c>
      <c r="Z113" s="114">
        <f>-30.5-26.6</f>
        <v>-57.1</v>
      </c>
      <c r="AA113" s="114">
        <v>-62.5</v>
      </c>
      <c r="AB113" s="114">
        <v>-62.5</v>
      </c>
      <c r="AC113" s="114">
        <v>-62.5</v>
      </c>
      <c r="AD113" s="114">
        <v>-134.6</v>
      </c>
      <c r="AE113" s="114">
        <v>-170.7</v>
      </c>
      <c r="AF113" s="114">
        <v>-176</v>
      </c>
      <c r="AG113" s="113">
        <v>240</v>
      </c>
      <c r="AH113" s="47">
        <f t="shared" si="15"/>
        <v>-57.1</v>
      </c>
      <c r="AI113" s="48">
        <f t="shared" si="16"/>
        <v>-186.9</v>
      </c>
    </row>
    <row r="114" spans="1:37" x14ac:dyDescent="0.25">
      <c r="A114" s="102" t="s">
        <v>122</v>
      </c>
      <c r="B114" s="114">
        <v>-12.6</v>
      </c>
      <c r="C114" s="114">
        <v>-12.4</v>
      </c>
      <c r="D114" s="114">
        <v>-12.2</v>
      </c>
      <c r="E114" s="114">
        <v>-13.2</v>
      </c>
      <c r="F114" s="114">
        <v>-11.7</v>
      </c>
      <c r="G114" s="114">
        <v>-16.2</v>
      </c>
      <c r="H114" s="114">
        <v>-14.1</v>
      </c>
      <c r="I114" s="114">
        <v>-6.3</v>
      </c>
      <c r="J114" s="114">
        <v>-5.7</v>
      </c>
      <c r="K114" s="114">
        <v>1.5</v>
      </c>
      <c r="L114" s="114">
        <v>1.5</v>
      </c>
      <c r="M114" s="114">
        <v>6.3</v>
      </c>
      <c r="N114" s="114">
        <v>3.7</v>
      </c>
      <c r="O114" s="114">
        <v>5.0999999999999996</v>
      </c>
      <c r="P114" s="114">
        <v>-0.4</v>
      </c>
      <c r="Q114" s="114">
        <v>0</v>
      </c>
      <c r="R114" s="114">
        <v>0</v>
      </c>
      <c r="S114" s="114">
        <v>4</v>
      </c>
      <c r="T114" s="114">
        <v>4</v>
      </c>
      <c r="U114" s="114">
        <v>6</v>
      </c>
      <c r="V114" s="114">
        <v>6.3</v>
      </c>
      <c r="W114" s="114">
        <v>6.3</v>
      </c>
      <c r="X114" s="114">
        <v>2.2999999999999998</v>
      </c>
      <c r="Y114" s="114">
        <v>6.8</v>
      </c>
      <c r="Z114" s="114">
        <v>11.3</v>
      </c>
      <c r="AA114" s="114">
        <v>6.9</v>
      </c>
      <c r="AB114" s="114">
        <v>6.9</v>
      </c>
      <c r="AC114" s="114">
        <v>6.9</v>
      </c>
      <c r="AD114" s="114">
        <v>0.6</v>
      </c>
      <c r="AE114" s="114">
        <v>-9.1999999999999993</v>
      </c>
      <c r="AF114" s="114">
        <v>-11.3</v>
      </c>
      <c r="AG114" s="113">
        <v>60</v>
      </c>
      <c r="AH114" s="47">
        <f t="shared" si="15"/>
        <v>11.3</v>
      </c>
      <c r="AI114" s="48">
        <f t="shared" si="16"/>
        <v>-16.2</v>
      </c>
    </row>
    <row r="115" spans="1:37" x14ac:dyDescent="0.25">
      <c r="A115" s="115" t="s">
        <v>123</v>
      </c>
      <c r="B115" s="116">
        <v>58.8</v>
      </c>
      <c r="C115" s="116">
        <v>58.2</v>
      </c>
      <c r="D115" s="116">
        <v>58.7</v>
      </c>
      <c r="E115" s="116">
        <v>75.5</v>
      </c>
      <c r="F115" s="116">
        <v>38.6</v>
      </c>
      <c r="G115" s="116">
        <v>38.799999999999997</v>
      </c>
      <c r="H115" s="116">
        <v>36.9</v>
      </c>
      <c r="I115" s="116">
        <v>37.6</v>
      </c>
      <c r="J115" s="116">
        <v>37.6</v>
      </c>
      <c r="K115" s="116">
        <v>40</v>
      </c>
      <c r="L115" s="116">
        <v>40</v>
      </c>
      <c r="M115" s="116">
        <v>40</v>
      </c>
      <c r="N115" s="116">
        <v>34.200000000000003</v>
      </c>
      <c r="O115" s="116">
        <v>35.1</v>
      </c>
      <c r="P115" s="116">
        <v>36.299999999999997</v>
      </c>
      <c r="Q115" s="116">
        <v>35.6</v>
      </c>
      <c r="R115" s="116">
        <v>35.6</v>
      </c>
      <c r="S115" s="116">
        <v>31.5</v>
      </c>
      <c r="T115" s="116">
        <v>32.4</v>
      </c>
      <c r="U115" s="116">
        <v>32</v>
      </c>
      <c r="V115" s="116">
        <v>26.7</v>
      </c>
      <c r="W115" s="116">
        <v>26.7</v>
      </c>
      <c r="X115" s="116">
        <v>26</v>
      </c>
      <c r="Y115" s="116">
        <v>32</v>
      </c>
      <c r="Z115" s="116">
        <v>45.9</v>
      </c>
      <c r="AA115" s="116">
        <v>36.700000000000003</v>
      </c>
      <c r="AB115" s="116">
        <v>36.700000000000003</v>
      </c>
      <c r="AC115" s="116">
        <v>36.700000000000003</v>
      </c>
      <c r="AD115" s="116">
        <v>47.3</v>
      </c>
      <c r="AE115" s="116">
        <v>25.1</v>
      </c>
      <c r="AF115" s="116">
        <v>13.5</v>
      </c>
      <c r="AG115" s="117">
        <v>120</v>
      </c>
      <c r="AH115" s="47">
        <f t="shared" si="15"/>
        <v>75.5</v>
      </c>
      <c r="AI115" s="48">
        <f t="shared" si="16"/>
        <v>13.5</v>
      </c>
    </row>
    <row r="116" spans="1:37" x14ac:dyDescent="0.25">
      <c r="A116" s="115" t="s">
        <v>124</v>
      </c>
      <c r="B116" s="116">
        <v>47.7</v>
      </c>
      <c r="C116" s="116">
        <v>54.1</v>
      </c>
      <c r="D116" s="116">
        <v>64.400000000000006</v>
      </c>
      <c r="E116" s="116">
        <v>39.799999999999997</v>
      </c>
      <c r="F116" s="116">
        <v>54.2</v>
      </c>
      <c r="G116" s="116">
        <v>40.1</v>
      </c>
      <c r="H116" s="116">
        <v>38.799999999999997</v>
      </c>
      <c r="I116" s="116">
        <v>37.4</v>
      </c>
      <c r="J116" s="116">
        <v>38.799999999999997</v>
      </c>
      <c r="K116" s="116">
        <v>73.2</v>
      </c>
      <c r="L116" s="116">
        <v>73.2</v>
      </c>
      <c r="M116" s="116">
        <v>77.7</v>
      </c>
      <c r="N116" s="116">
        <v>92</v>
      </c>
      <c r="O116" s="116">
        <v>93</v>
      </c>
      <c r="P116" s="116">
        <v>73.5</v>
      </c>
      <c r="Q116" s="116">
        <v>78.2</v>
      </c>
      <c r="R116" s="116">
        <v>78.2</v>
      </c>
      <c r="S116" s="116">
        <v>72.7</v>
      </c>
      <c r="T116" s="116">
        <v>85.9</v>
      </c>
      <c r="U116" s="116">
        <v>86</v>
      </c>
      <c r="V116" s="116">
        <v>48.3</v>
      </c>
      <c r="W116" s="116">
        <v>48.3</v>
      </c>
      <c r="X116" s="116">
        <v>52</v>
      </c>
      <c r="Y116" s="116">
        <v>32.5</v>
      </c>
      <c r="Z116" s="116">
        <v>62</v>
      </c>
      <c r="AA116" s="116">
        <v>79.7</v>
      </c>
      <c r="AB116" s="116">
        <v>79.7</v>
      </c>
      <c r="AC116" s="116">
        <v>79.7</v>
      </c>
      <c r="AD116" s="116">
        <v>55.2</v>
      </c>
      <c r="AE116" s="116">
        <v>37.799999999999997</v>
      </c>
      <c r="AF116" s="116">
        <v>45.2</v>
      </c>
      <c r="AG116" s="117"/>
      <c r="AH116" s="47">
        <f t="shared" si="15"/>
        <v>93</v>
      </c>
      <c r="AI116" s="48">
        <f t="shared" si="16"/>
        <v>32.5</v>
      </c>
    </row>
    <row r="117" spans="1:37" x14ac:dyDescent="0.25">
      <c r="A117" s="115" t="s">
        <v>125</v>
      </c>
      <c r="B117" s="116">
        <v>26.3</v>
      </c>
      <c r="C117" s="116">
        <v>32</v>
      </c>
      <c r="D117" s="116">
        <v>26.2</v>
      </c>
      <c r="E117" s="116">
        <v>8.3000000000000007</v>
      </c>
      <c r="F117" s="116">
        <v>25.3</v>
      </c>
      <c r="G117" s="116">
        <v>25</v>
      </c>
      <c r="H117" s="116">
        <v>22.6</v>
      </c>
      <c r="I117" s="116">
        <v>3.8</v>
      </c>
      <c r="J117" s="116">
        <v>6.1</v>
      </c>
      <c r="K117" s="116">
        <v>10.5</v>
      </c>
      <c r="L117" s="116">
        <v>10.5</v>
      </c>
      <c r="M117" s="116">
        <v>-10.5</v>
      </c>
      <c r="N117" s="116">
        <v>-7.8</v>
      </c>
      <c r="O117" s="116">
        <v>-10</v>
      </c>
      <c r="P117" s="116">
        <v>1.4</v>
      </c>
      <c r="Q117" s="116">
        <v>1.7</v>
      </c>
      <c r="R117" s="116">
        <v>1.7</v>
      </c>
      <c r="S117" s="116">
        <v>-17.7</v>
      </c>
      <c r="T117" s="116">
        <v>-5.0999999999999996</v>
      </c>
      <c r="U117" s="116">
        <v>-7</v>
      </c>
      <c r="V117" s="116">
        <v>-7.5</v>
      </c>
      <c r="W117" s="116">
        <v>-7.5</v>
      </c>
      <c r="X117" s="116">
        <v>-15.3</v>
      </c>
      <c r="Y117" s="116">
        <v>-10</v>
      </c>
      <c r="Z117" s="116">
        <v>-0.2</v>
      </c>
      <c r="AA117" s="116">
        <v>25.4</v>
      </c>
      <c r="AB117" s="116">
        <v>25.4</v>
      </c>
      <c r="AC117" s="116">
        <v>25.4</v>
      </c>
      <c r="AD117" s="116">
        <v>33.5</v>
      </c>
      <c r="AE117" s="116">
        <v>32.9</v>
      </c>
      <c r="AF117" s="116">
        <v>28</v>
      </c>
      <c r="AG117" s="118"/>
      <c r="AH117" s="47">
        <f t="shared" si="15"/>
        <v>33.5</v>
      </c>
      <c r="AI117" s="48">
        <f t="shared" si="16"/>
        <v>-17.7</v>
      </c>
    </row>
    <row r="118" spans="1:37" x14ac:dyDescent="0.25">
      <c r="A118" s="119" t="s">
        <v>126</v>
      </c>
      <c r="B118" s="105">
        <v>39.6</v>
      </c>
      <c r="C118" s="105">
        <v>42.1</v>
      </c>
      <c r="D118" s="105">
        <v>47.4</v>
      </c>
      <c r="E118" s="105">
        <v>53.4</v>
      </c>
      <c r="F118" s="105">
        <v>57.5</v>
      </c>
      <c r="G118" s="105">
        <v>62.9</v>
      </c>
      <c r="H118" s="105">
        <v>64.400000000000006</v>
      </c>
      <c r="I118" s="105">
        <v>61.4</v>
      </c>
      <c r="J118" s="105">
        <v>60.9</v>
      </c>
      <c r="K118" s="105">
        <v>48.8</v>
      </c>
      <c r="L118" s="105">
        <v>48.8</v>
      </c>
      <c r="M118" s="105">
        <v>48</v>
      </c>
      <c r="N118" s="105">
        <v>45.5</v>
      </c>
      <c r="O118" s="105">
        <v>45.3</v>
      </c>
      <c r="P118" s="105">
        <v>46.6</v>
      </c>
      <c r="Q118" s="105">
        <v>56.1</v>
      </c>
      <c r="R118" s="105">
        <v>56.1</v>
      </c>
      <c r="S118" s="105">
        <v>41.7</v>
      </c>
      <c r="T118" s="105">
        <v>45.6</v>
      </c>
      <c r="U118" s="105">
        <v>46</v>
      </c>
      <c r="V118" s="105">
        <v>38.700000000000003</v>
      </c>
      <c r="W118" s="105">
        <v>38.700000000000003</v>
      </c>
      <c r="X118" s="105">
        <v>39.700000000000003</v>
      </c>
      <c r="Y118" s="105">
        <v>28.4</v>
      </c>
      <c r="Z118" s="105">
        <v>27.5</v>
      </c>
      <c r="AA118" s="105">
        <v>24</v>
      </c>
      <c r="AB118" s="105">
        <v>24</v>
      </c>
      <c r="AC118" s="105">
        <v>24</v>
      </c>
      <c r="AD118" s="105">
        <v>26</v>
      </c>
      <c r="AE118" s="105">
        <v>31.7</v>
      </c>
      <c r="AF118" s="105">
        <v>34.200000000000003</v>
      </c>
      <c r="AG118" s="118"/>
      <c r="AH118" s="47">
        <f t="shared" si="15"/>
        <v>64.400000000000006</v>
      </c>
      <c r="AI118" s="48">
        <f t="shared" si="16"/>
        <v>24</v>
      </c>
    </row>
    <row r="119" spans="1:37" x14ac:dyDescent="0.25">
      <c r="A119" s="120" t="s">
        <v>127</v>
      </c>
      <c r="B119" s="105">
        <v>81.7</v>
      </c>
      <c r="C119" s="105">
        <v>82.5</v>
      </c>
      <c r="D119" s="105">
        <v>75.8</v>
      </c>
      <c r="E119" s="105">
        <v>97.3</v>
      </c>
      <c r="F119" s="105">
        <v>86.6</v>
      </c>
      <c r="G119" s="105">
        <v>94.9</v>
      </c>
      <c r="H119" s="105">
        <v>91.3</v>
      </c>
      <c r="I119" s="105">
        <v>88.7</v>
      </c>
      <c r="J119" s="105">
        <v>86.2</v>
      </c>
      <c r="K119" s="105">
        <v>97.3</v>
      </c>
      <c r="L119" s="105">
        <v>97.3</v>
      </c>
      <c r="M119" s="105">
        <v>74.599999999999994</v>
      </c>
      <c r="N119" s="105">
        <v>78.900000000000006</v>
      </c>
      <c r="O119" s="105">
        <v>66.2</v>
      </c>
      <c r="P119" s="105">
        <v>106</v>
      </c>
      <c r="Q119" s="105">
        <v>95.3</v>
      </c>
      <c r="R119" s="105">
        <v>95.3</v>
      </c>
      <c r="S119" s="105">
        <v>91.7</v>
      </c>
      <c r="T119" s="105">
        <v>80</v>
      </c>
      <c r="U119" s="105">
        <v>85</v>
      </c>
      <c r="V119" s="105">
        <v>85.9</v>
      </c>
      <c r="W119" s="105">
        <v>95</v>
      </c>
      <c r="X119" s="105">
        <v>67</v>
      </c>
      <c r="Y119" s="105">
        <v>72</v>
      </c>
      <c r="Z119" s="105">
        <v>41.1</v>
      </c>
      <c r="AA119" s="105">
        <v>40.700000000000003</v>
      </c>
      <c r="AB119" s="105">
        <v>40.700000000000003</v>
      </c>
      <c r="AC119" s="105">
        <v>40.700000000000003</v>
      </c>
      <c r="AD119" s="105">
        <v>64.599999999999994</v>
      </c>
      <c r="AE119" s="105">
        <v>99.1</v>
      </c>
      <c r="AF119" s="105">
        <v>91.6</v>
      </c>
      <c r="AG119" s="118"/>
      <c r="AH119" s="47">
        <f t="shared" si="15"/>
        <v>106</v>
      </c>
      <c r="AI119" s="48">
        <f t="shared" si="16"/>
        <v>40.700000000000003</v>
      </c>
    </row>
    <row r="120" spans="1:37" ht="15.75" thickBot="1" x14ac:dyDescent="0.3">
      <c r="A120" s="119" t="s">
        <v>128</v>
      </c>
      <c r="B120" s="105">
        <v>37.6</v>
      </c>
      <c r="C120" s="105">
        <v>35.200000000000003</v>
      </c>
      <c r="D120" s="105">
        <v>74</v>
      </c>
      <c r="E120" s="105">
        <v>76.3</v>
      </c>
      <c r="F120" s="105">
        <v>43.1</v>
      </c>
      <c r="G120" s="105">
        <v>14.3</v>
      </c>
      <c r="H120" s="105">
        <v>0.4</v>
      </c>
      <c r="I120" s="105">
        <v>-5.3</v>
      </c>
      <c r="J120" s="105">
        <v>-9</v>
      </c>
      <c r="K120" s="105">
        <v>-1.3</v>
      </c>
      <c r="L120" s="105">
        <v>-1.3</v>
      </c>
      <c r="M120" s="105">
        <v>-5</v>
      </c>
      <c r="N120" s="105">
        <v>-12.3</v>
      </c>
      <c r="O120" s="105">
        <v>-10</v>
      </c>
      <c r="P120" s="105">
        <v>-5.2</v>
      </c>
      <c r="Q120" s="105">
        <v>-10</v>
      </c>
      <c r="R120" s="105">
        <v>-10</v>
      </c>
      <c r="S120" s="105">
        <v>0.2</v>
      </c>
      <c r="T120" s="105">
        <v>4</v>
      </c>
      <c r="U120" s="105">
        <v>-2</v>
      </c>
      <c r="V120" s="105">
        <v>-4.5999999999999996</v>
      </c>
      <c r="W120" s="105">
        <v>-6.3</v>
      </c>
      <c r="X120" s="105">
        <v>-4.5999999999999996</v>
      </c>
      <c r="Y120" s="105">
        <v>12.2</v>
      </c>
      <c r="Z120" s="105">
        <v>18.899999999999999</v>
      </c>
      <c r="AA120" s="105">
        <v>40</v>
      </c>
      <c r="AB120" s="105">
        <v>40</v>
      </c>
      <c r="AC120" s="105">
        <v>40</v>
      </c>
      <c r="AD120" s="105">
        <v>29.6</v>
      </c>
      <c r="AE120" s="105">
        <v>24.1</v>
      </c>
      <c r="AF120" s="105">
        <v>28</v>
      </c>
      <c r="AG120" s="118"/>
      <c r="AH120" s="47">
        <f t="shared" si="15"/>
        <v>76.3</v>
      </c>
      <c r="AI120" s="48">
        <f t="shared" si="16"/>
        <v>-12.3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31">SUM(B122:B226)</f>
        <v>0</v>
      </c>
      <c r="C227" s="136">
        <f t="shared" si="31"/>
        <v>0</v>
      </c>
      <c r="D227" s="136">
        <f t="shared" si="31"/>
        <v>0</v>
      </c>
      <c r="E227" s="136">
        <f t="shared" si="31"/>
        <v>0</v>
      </c>
      <c r="F227" s="136">
        <f t="shared" si="31"/>
        <v>0</v>
      </c>
      <c r="G227" s="136">
        <f t="shared" si="31"/>
        <v>0</v>
      </c>
      <c r="H227" s="136">
        <f t="shared" si="31"/>
        <v>0</v>
      </c>
      <c r="I227" s="136">
        <f t="shared" si="31"/>
        <v>0</v>
      </c>
      <c r="J227" s="136">
        <f t="shared" si="31"/>
        <v>0</v>
      </c>
      <c r="K227" s="136">
        <f t="shared" si="31"/>
        <v>0</v>
      </c>
      <c r="L227" s="136">
        <f t="shared" si="31"/>
        <v>0</v>
      </c>
      <c r="M227" s="136">
        <f t="shared" si="31"/>
        <v>0</v>
      </c>
      <c r="N227" s="136">
        <f t="shared" si="31"/>
        <v>0</v>
      </c>
      <c r="O227" s="136">
        <f t="shared" si="31"/>
        <v>0</v>
      </c>
      <c r="P227" s="136">
        <f t="shared" si="31"/>
        <v>0</v>
      </c>
      <c r="Q227" s="136">
        <f t="shared" si="31"/>
        <v>0</v>
      </c>
      <c r="R227" s="136">
        <f t="shared" si="31"/>
        <v>0</v>
      </c>
      <c r="S227" s="136">
        <f t="shared" si="31"/>
        <v>0</v>
      </c>
      <c r="T227" s="136">
        <f t="shared" si="31"/>
        <v>0</v>
      </c>
      <c r="U227" s="136">
        <f t="shared" si="31"/>
        <v>0</v>
      </c>
      <c r="V227" s="136">
        <f t="shared" si="31"/>
        <v>0</v>
      </c>
      <c r="W227" s="136">
        <f t="shared" si="31"/>
        <v>0</v>
      </c>
      <c r="X227" s="136">
        <f t="shared" si="31"/>
        <v>0</v>
      </c>
      <c r="Y227" s="136">
        <f t="shared" si="31"/>
        <v>0</v>
      </c>
      <c r="Z227" s="136">
        <f t="shared" si="31"/>
        <v>0</v>
      </c>
      <c r="AA227" s="136">
        <f t="shared" si="31"/>
        <v>0</v>
      </c>
      <c r="AB227" s="136">
        <f t="shared" si="31"/>
        <v>0</v>
      </c>
      <c r="AC227" s="136">
        <f t="shared" si="31"/>
        <v>0</v>
      </c>
      <c r="AD227" s="136">
        <f t="shared" si="31"/>
        <v>0</v>
      </c>
      <c r="AE227" s="136">
        <f t="shared" si="31"/>
        <v>0</v>
      </c>
      <c r="AF227" s="137">
        <f t="shared" si="31"/>
        <v>0</v>
      </c>
      <c r="AG227" s="138">
        <f t="shared" si="31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32">AF229</f>
        <v>0</v>
      </c>
      <c r="C229" s="140">
        <v>0.3</v>
      </c>
      <c r="D229" s="140">
        <f t="shared" ref="D229:P234" si="33">C229</f>
        <v>0.3</v>
      </c>
      <c r="E229" s="140">
        <f t="shared" si="33"/>
        <v>0.3</v>
      </c>
      <c r="F229" s="140">
        <f t="shared" si="33"/>
        <v>0.3</v>
      </c>
      <c r="G229" s="140">
        <f t="shared" si="33"/>
        <v>0.3</v>
      </c>
      <c r="H229" s="140">
        <f t="shared" si="33"/>
        <v>0.3</v>
      </c>
      <c r="I229" s="140">
        <f t="shared" si="33"/>
        <v>0.3</v>
      </c>
      <c r="J229" s="140">
        <f t="shared" si="33"/>
        <v>0.3</v>
      </c>
      <c r="K229" s="140">
        <f t="shared" si="33"/>
        <v>0.3</v>
      </c>
      <c r="L229" s="140">
        <f t="shared" si="33"/>
        <v>0.3</v>
      </c>
      <c r="M229" s="140">
        <f t="shared" si="33"/>
        <v>0.3</v>
      </c>
      <c r="N229" s="140">
        <f t="shared" si="33"/>
        <v>0.3</v>
      </c>
      <c r="O229" s="140">
        <f t="shared" si="33"/>
        <v>0.3</v>
      </c>
      <c r="P229" s="140">
        <f t="shared" si="33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32"/>
        <v>0</v>
      </c>
      <c r="C230" s="128">
        <v>0.4</v>
      </c>
      <c r="D230" s="128">
        <f t="shared" si="33"/>
        <v>0.4</v>
      </c>
      <c r="E230" s="128">
        <f t="shared" si="33"/>
        <v>0.4</v>
      </c>
      <c r="F230" s="128">
        <f t="shared" si="33"/>
        <v>0.4</v>
      </c>
      <c r="G230" s="128">
        <f t="shared" si="33"/>
        <v>0.4</v>
      </c>
      <c r="H230" s="128">
        <f t="shared" si="33"/>
        <v>0.4</v>
      </c>
      <c r="I230" s="128">
        <f t="shared" si="33"/>
        <v>0.4</v>
      </c>
      <c r="J230" s="128">
        <f t="shared" si="33"/>
        <v>0.4</v>
      </c>
      <c r="K230" s="128">
        <f t="shared" si="33"/>
        <v>0.4</v>
      </c>
      <c r="L230" s="128">
        <f t="shared" si="33"/>
        <v>0.4</v>
      </c>
      <c r="M230" s="128">
        <f t="shared" si="33"/>
        <v>0.4</v>
      </c>
      <c r="N230" s="128">
        <f t="shared" si="33"/>
        <v>0.4</v>
      </c>
      <c r="O230" s="128">
        <f t="shared" si="33"/>
        <v>0.4</v>
      </c>
      <c r="P230" s="128">
        <f t="shared" si="33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32"/>
        <v>0</v>
      </c>
      <c r="C231" s="128">
        <v>1.5</v>
      </c>
      <c r="D231" s="128">
        <f t="shared" si="33"/>
        <v>1.5</v>
      </c>
      <c r="E231" s="128">
        <f t="shared" si="33"/>
        <v>1.5</v>
      </c>
      <c r="F231" s="128">
        <f t="shared" si="33"/>
        <v>1.5</v>
      </c>
      <c r="G231" s="128">
        <f t="shared" si="33"/>
        <v>1.5</v>
      </c>
      <c r="H231" s="128">
        <f t="shared" si="33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33"/>
        <v>123.21900000000009</v>
      </c>
      <c r="K231" s="128">
        <f t="shared" ca="1" si="33"/>
        <v>123.21900000000009</v>
      </c>
      <c r="L231" s="128">
        <f t="shared" ca="1" si="33"/>
        <v>123.21900000000009</v>
      </c>
      <c r="M231" s="128">
        <f t="shared" ca="1" si="33"/>
        <v>119.19900000000008</v>
      </c>
      <c r="N231" s="128">
        <f t="shared" ca="1" si="33"/>
        <v>119.19900000000008</v>
      </c>
      <c r="O231" s="128">
        <f t="shared" ca="1" si="33"/>
        <v>119.19900000000008</v>
      </c>
      <c r="P231" s="128">
        <f t="shared" ca="1" si="33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32"/>
        <v>0</v>
      </c>
      <c r="C232" s="128">
        <v>0.3</v>
      </c>
      <c r="D232" s="128">
        <f t="shared" si="33"/>
        <v>0.3</v>
      </c>
      <c r="E232" s="128">
        <f t="shared" si="33"/>
        <v>0.3</v>
      </c>
      <c r="F232" s="128">
        <f t="shared" si="33"/>
        <v>0.3</v>
      </c>
      <c r="G232" s="128">
        <f t="shared" si="33"/>
        <v>0.3</v>
      </c>
      <c r="H232" s="128">
        <f t="shared" si="33"/>
        <v>0.3</v>
      </c>
      <c r="I232" s="128">
        <f t="shared" si="33"/>
        <v>0.3</v>
      </c>
      <c r="J232" s="128">
        <f t="shared" si="33"/>
        <v>0.3</v>
      </c>
      <c r="K232" s="128">
        <f t="shared" si="33"/>
        <v>0.3</v>
      </c>
      <c r="L232" s="128">
        <f t="shared" si="33"/>
        <v>0.3</v>
      </c>
      <c r="M232" s="128">
        <f t="shared" si="33"/>
        <v>0.3</v>
      </c>
      <c r="N232" s="128">
        <f t="shared" si="33"/>
        <v>0.3</v>
      </c>
      <c r="O232" s="128">
        <f t="shared" si="33"/>
        <v>0.3</v>
      </c>
      <c r="P232" s="128">
        <f t="shared" si="33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32"/>
        <v>0</v>
      </c>
      <c r="C233" s="128">
        <v>0.4</v>
      </c>
      <c r="D233" s="128">
        <f t="shared" si="33"/>
        <v>0.4</v>
      </c>
      <c r="E233" s="128">
        <f t="shared" si="33"/>
        <v>0.4</v>
      </c>
      <c r="F233" s="128">
        <f t="shared" si="33"/>
        <v>0.4</v>
      </c>
      <c r="G233" s="128">
        <f t="shared" si="33"/>
        <v>0.4</v>
      </c>
      <c r="H233" s="128">
        <f t="shared" si="33"/>
        <v>0.4</v>
      </c>
      <c r="I233" s="128">
        <f t="shared" si="33"/>
        <v>0.4</v>
      </c>
      <c r="J233" s="128">
        <f t="shared" si="33"/>
        <v>0.4</v>
      </c>
      <c r="K233" s="128">
        <f t="shared" si="33"/>
        <v>0.4</v>
      </c>
      <c r="L233" s="128">
        <f t="shared" si="33"/>
        <v>0.4</v>
      </c>
      <c r="M233" s="128">
        <f t="shared" si="33"/>
        <v>0.4</v>
      </c>
      <c r="N233" s="128">
        <f t="shared" si="33"/>
        <v>0.4</v>
      </c>
      <c r="O233" s="128">
        <f t="shared" si="33"/>
        <v>0.4</v>
      </c>
      <c r="P233" s="128">
        <f t="shared" si="33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32"/>
        <v>0</v>
      </c>
      <c r="C234" s="132">
        <v>0.64</v>
      </c>
      <c r="D234" s="132">
        <f t="shared" si="33"/>
        <v>0.64</v>
      </c>
      <c r="E234" s="132">
        <f t="shared" si="33"/>
        <v>0.64</v>
      </c>
      <c r="F234" s="132">
        <f t="shared" si="33"/>
        <v>0.64</v>
      </c>
      <c r="G234" s="132">
        <f t="shared" si="33"/>
        <v>0.64</v>
      </c>
      <c r="H234" s="132">
        <f t="shared" si="33"/>
        <v>0.64</v>
      </c>
      <c r="I234" s="132">
        <f t="shared" si="33"/>
        <v>0.64</v>
      </c>
      <c r="J234" s="132">
        <f t="shared" si="33"/>
        <v>0.64</v>
      </c>
      <c r="K234" s="132">
        <f t="shared" si="33"/>
        <v>0.64</v>
      </c>
      <c r="L234" s="132">
        <f t="shared" si="33"/>
        <v>0.64</v>
      </c>
      <c r="M234" s="132">
        <f t="shared" si="33"/>
        <v>0.64</v>
      </c>
      <c r="N234" s="132">
        <f t="shared" si="33"/>
        <v>0.64</v>
      </c>
      <c r="O234" s="132">
        <f t="shared" si="33"/>
        <v>0.64</v>
      </c>
      <c r="P234" s="132">
        <f t="shared" si="33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34">SUM(B229:B234)</f>
        <v>0</v>
      </c>
      <c r="C235" s="136">
        <f t="shared" si="34"/>
        <v>3.54</v>
      </c>
      <c r="D235" s="136">
        <f t="shared" si="34"/>
        <v>3.54</v>
      </c>
      <c r="E235" s="136">
        <f t="shared" si="34"/>
        <v>3.54</v>
      </c>
      <c r="F235" s="136">
        <f t="shared" si="34"/>
        <v>3.54</v>
      </c>
      <c r="G235" s="136">
        <f t="shared" si="34"/>
        <v>3.54</v>
      </c>
      <c r="H235" s="136">
        <f t="shared" si="34"/>
        <v>3.54</v>
      </c>
      <c r="I235" s="136">
        <f t="shared" ca="1" si="34"/>
        <v>121.23900000000009</v>
      </c>
      <c r="J235" s="136">
        <f t="shared" ca="1" si="34"/>
        <v>121.23900000000009</v>
      </c>
      <c r="K235" s="136">
        <f t="shared" ca="1" si="34"/>
        <v>121.23900000000009</v>
      </c>
      <c r="L235" s="136">
        <f t="shared" ca="1" si="34"/>
        <v>125.2590000000001</v>
      </c>
      <c r="M235" s="136">
        <f t="shared" ca="1" si="34"/>
        <v>121.23900000000009</v>
      </c>
      <c r="N235" s="136">
        <f t="shared" ca="1" si="34"/>
        <v>121.23900000000009</v>
      </c>
      <c r="O235" s="136">
        <f t="shared" ca="1" si="34"/>
        <v>121.23900000000009</v>
      </c>
      <c r="P235" s="136">
        <f t="shared" ca="1" si="34"/>
        <v>121.23900000000009</v>
      </c>
      <c r="Q235" s="136">
        <f t="shared" si="34"/>
        <v>0</v>
      </c>
      <c r="R235" s="136">
        <f t="shared" si="34"/>
        <v>0</v>
      </c>
      <c r="S235" s="136">
        <f t="shared" si="34"/>
        <v>0</v>
      </c>
      <c r="T235" s="136">
        <f t="shared" si="34"/>
        <v>0</v>
      </c>
      <c r="U235" s="136">
        <f t="shared" si="34"/>
        <v>0</v>
      </c>
      <c r="V235" s="136">
        <f t="shared" si="34"/>
        <v>0</v>
      </c>
      <c r="W235" s="136">
        <f t="shared" si="34"/>
        <v>0</v>
      </c>
      <c r="X235" s="136">
        <f t="shared" si="34"/>
        <v>0</v>
      </c>
      <c r="Y235" s="136">
        <f t="shared" si="34"/>
        <v>0</v>
      </c>
      <c r="Z235" s="136">
        <f t="shared" si="34"/>
        <v>0</v>
      </c>
      <c r="AA235" s="136">
        <f t="shared" si="34"/>
        <v>0</v>
      </c>
      <c r="AB235" s="136">
        <f t="shared" si="34"/>
        <v>0</v>
      </c>
      <c r="AC235" s="136">
        <f t="shared" si="34"/>
        <v>0</v>
      </c>
      <c r="AD235" s="136">
        <f t="shared" si="34"/>
        <v>0</v>
      </c>
      <c r="AE235" s="136">
        <f t="shared" si="34"/>
        <v>0</v>
      </c>
      <c r="AF235" s="136">
        <f t="shared" si="34"/>
        <v>0</v>
      </c>
      <c r="AG235" s="145">
        <f t="shared" si="34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2009.3400000000001</v>
      </c>
      <c r="C244" s="161">
        <f>INDEX(G9:N9,1,MATCH(MAX(G91:N91),G91:N91,0))</f>
        <v>0.22916666666666666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20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2080/04/20)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2080/04/20)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35">B91</f>
        <v>2009.0400000000002</v>
      </c>
      <c r="U249" s="170">
        <f t="shared" si="35"/>
        <v>1997.5400000000002</v>
      </c>
      <c r="V249" s="170">
        <f t="shared" si="35"/>
        <v>1849.14</v>
      </c>
      <c r="W249" s="170">
        <f t="shared" si="35"/>
        <v>1874.94</v>
      </c>
      <c r="X249" s="170">
        <f t="shared" si="35"/>
        <v>1883.2400000000002</v>
      </c>
      <c r="Y249" s="170">
        <f t="shared" si="35"/>
        <v>1958.8400000000001</v>
      </c>
      <c r="Z249" s="170">
        <f t="shared" si="35"/>
        <v>2009.3400000000001</v>
      </c>
      <c r="AA249" s="170">
        <f t="shared" si="35"/>
        <v>1989.4400000000003</v>
      </c>
      <c r="AB249" s="170">
        <f t="shared" si="35"/>
        <v>1996.8400000000001</v>
      </c>
      <c r="AC249" s="170">
        <f t="shared" si="35"/>
        <v>1944.1399999999999</v>
      </c>
      <c r="AD249" s="170">
        <f t="shared" si="35"/>
        <v>1944.1399999999999</v>
      </c>
      <c r="AE249" s="170">
        <f t="shared" si="35"/>
        <v>1952.7400000000002</v>
      </c>
      <c r="AF249" s="170">
        <f t="shared" si="35"/>
        <v>1955.7400000000002</v>
      </c>
      <c r="AG249" s="170">
        <f t="shared" si="35"/>
        <v>1941.7400000000002</v>
      </c>
      <c r="AH249" s="170">
        <f t="shared" si="35"/>
        <v>1954.6399999999999</v>
      </c>
      <c r="AI249" s="170">
        <f t="shared" si="35"/>
        <v>1941.6399999999999</v>
      </c>
      <c r="AJ249" s="170">
        <f t="shared" si="35"/>
        <v>1941.6399999999999</v>
      </c>
      <c r="AK249" s="170">
        <f t="shared" si="35"/>
        <v>1884.0400000000002</v>
      </c>
      <c r="AL249" s="170">
        <f t="shared" si="35"/>
        <v>1873.7400000000002</v>
      </c>
      <c r="AM249" s="170">
        <f t="shared" si="35"/>
        <v>1873.7400000000002</v>
      </c>
      <c r="AN249" s="170">
        <f t="shared" si="35"/>
        <v>1873.7400000000002</v>
      </c>
      <c r="AO249" s="170">
        <f t="shared" si="35"/>
        <v>1887.44</v>
      </c>
      <c r="AP249" s="170">
        <f t="shared" si="35"/>
        <v>1887.44</v>
      </c>
      <c r="AQ249" s="170">
        <f t="shared" si="35"/>
        <v>2060.44</v>
      </c>
      <c r="AR249" s="170">
        <f t="shared" si="35"/>
        <v>2066.64</v>
      </c>
      <c r="AS249" s="170">
        <f t="shared" si="35"/>
        <v>2038.8400000000001</v>
      </c>
      <c r="AT249" s="170">
        <f t="shared" si="35"/>
        <v>2028.54</v>
      </c>
      <c r="AU249" s="170">
        <f t="shared" si="35"/>
        <v>2018.54</v>
      </c>
      <c r="AV249" s="170">
        <f t="shared" si="35"/>
        <v>2036.04</v>
      </c>
      <c r="AW249" s="170">
        <f t="shared" si="35"/>
        <v>2018.94</v>
      </c>
      <c r="AX249" s="170">
        <f t="shared" si="35"/>
        <v>1991.44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36">C234</f>
        <v>0.64</v>
      </c>
      <c r="C270" s="173">
        <f t="shared" si="36"/>
        <v>0.64</v>
      </c>
      <c r="D270" s="173">
        <f t="shared" si="36"/>
        <v>0.64</v>
      </c>
      <c r="E270" s="173">
        <f t="shared" si="36"/>
        <v>0.64</v>
      </c>
      <c r="F270" s="173">
        <f t="shared" si="36"/>
        <v>0.64</v>
      </c>
      <c r="G270" s="173">
        <f t="shared" si="36"/>
        <v>0.64</v>
      </c>
      <c r="H270" s="173">
        <f t="shared" si="36"/>
        <v>0.64</v>
      </c>
      <c r="I270" s="173">
        <f t="shared" si="36"/>
        <v>0.64</v>
      </c>
      <c r="J270" s="173">
        <f t="shared" si="36"/>
        <v>0.64</v>
      </c>
      <c r="K270" s="173">
        <f t="shared" si="36"/>
        <v>0.64</v>
      </c>
      <c r="L270" s="173">
        <f t="shared" si="36"/>
        <v>0.64</v>
      </c>
      <c r="M270" s="173">
        <f t="shared" si="36"/>
        <v>0.64</v>
      </c>
      <c r="N270" s="173">
        <f t="shared" si="36"/>
        <v>0.64</v>
      </c>
      <c r="O270" s="173">
        <f t="shared" si="36"/>
        <v>0.64</v>
      </c>
      <c r="P270" s="173">
        <f t="shared" si="36"/>
        <v>0</v>
      </c>
      <c r="Q270" s="173">
        <f t="shared" si="36"/>
        <v>0</v>
      </c>
      <c r="R270" s="173">
        <f t="shared" si="36"/>
        <v>0</v>
      </c>
      <c r="S270" s="173">
        <f t="shared" si="36"/>
        <v>0</v>
      </c>
      <c r="T270" s="173">
        <f t="shared" si="36"/>
        <v>0</v>
      </c>
      <c r="U270" s="173">
        <f t="shared" si="36"/>
        <v>0</v>
      </c>
      <c r="V270" s="173">
        <f t="shared" si="36"/>
        <v>0</v>
      </c>
      <c r="W270" s="173">
        <f t="shared" si="36"/>
        <v>0</v>
      </c>
      <c r="X270" s="173">
        <f t="shared" si="36"/>
        <v>0</v>
      </c>
      <c r="Y270" s="173">
        <f t="shared" si="36"/>
        <v>0</v>
      </c>
      <c r="Z270" s="173">
        <f t="shared" si="36"/>
        <v>0</v>
      </c>
      <c r="AA270" s="173">
        <f t="shared" si="36"/>
        <v>0</v>
      </c>
      <c r="AB270" s="173">
        <f t="shared" si="36"/>
        <v>0</v>
      </c>
      <c r="AC270" s="173">
        <f t="shared" si="36"/>
        <v>0</v>
      </c>
      <c r="AD270" s="173">
        <f t="shared" si="36"/>
        <v>0</v>
      </c>
      <c r="AE270" s="173">
        <f t="shared" si="36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37">IF(B238&lt;100,"",B238-520)</f>
        <v/>
      </c>
      <c r="C271" s="174" t="str">
        <f t="shared" si="37"/>
        <v/>
      </c>
      <c r="D271" s="174" t="str">
        <f t="shared" si="37"/>
        <v/>
      </c>
      <c r="E271" s="174" t="str">
        <f t="shared" si="37"/>
        <v/>
      </c>
      <c r="F271" s="174" t="str">
        <f t="shared" si="37"/>
        <v/>
      </c>
      <c r="G271" s="174" t="str">
        <f t="shared" si="37"/>
        <v/>
      </c>
      <c r="H271" s="174" t="str">
        <f t="shared" si="37"/>
        <v/>
      </c>
      <c r="I271" s="174" t="str">
        <f t="shared" si="37"/>
        <v/>
      </c>
      <c r="J271" s="174" t="str">
        <f t="shared" si="37"/>
        <v/>
      </c>
      <c r="K271" s="174" t="str">
        <f t="shared" si="37"/>
        <v/>
      </c>
      <c r="L271" s="174" t="str">
        <f t="shared" si="37"/>
        <v/>
      </c>
      <c r="M271" s="174" t="str">
        <f t="shared" si="37"/>
        <v/>
      </c>
      <c r="N271" s="174" t="str">
        <f t="shared" si="37"/>
        <v/>
      </c>
      <c r="O271" s="174" t="str">
        <f t="shared" si="37"/>
        <v/>
      </c>
      <c r="P271" s="174" t="str">
        <f t="shared" si="37"/>
        <v/>
      </c>
      <c r="Q271" s="174" t="str">
        <f t="shared" si="37"/>
        <v/>
      </c>
      <c r="R271" s="174" t="str">
        <f t="shared" si="37"/>
        <v/>
      </c>
      <c r="S271" s="174" t="str">
        <f t="shared" si="37"/>
        <v/>
      </c>
      <c r="T271" s="174" t="str">
        <f t="shared" si="37"/>
        <v/>
      </c>
      <c r="U271" s="174" t="str">
        <f t="shared" si="37"/>
        <v/>
      </c>
      <c r="V271" s="174" t="str">
        <f t="shared" si="37"/>
        <v/>
      </c>
      <c r="W271" s="174" t="str">
        <f t="shared" si="37"/>
        <v/>
      </c>
      <c r="X271" s="174" t="str">
        <f t="shared" si="37"/>
        <v/>
      </c>
      <c r="Y271" s="174" t="str">
        <f t="shared" si="37"/>
        <v/>
      </c>
      <c r="Z271" s="174" t="str">
        <f t="shared" si="37"/>
        <v/>
      </c>
      <c r="AA271" s="174" t="str">
        <f t="shared" si="37"/>
        <v/>
      </c>
      <c r="AB271" s="174" t="str">
        <f t="shared" si="37"/>
        <v/>
      </c>
      <c r="AC271" s="174" t="str">
        <f t="shared" si="37"/>
        <v/>
      </c>
      <c r="AD271" s="174" t="str">
        <f t="shared" si="37"/>
        <v/>
      </c>
      <c r="AE271" s="174" t="str">
        <f t="shared" si="37"/>
        <v/>
      </c>
      <c r="AF271" s="174" t="str">
        <f t="shared" si="37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38">IF(B239&lt;100,"",B239-620)</f>
        <v/>
      </c>
      <c r="C272" s="174" t="str">
        <f t="shared" si="38"/>
        <v/>
      </c>
      <c r="D272" s="174" t="str">
        <f t="shared" si="38"/>
        <v/>
      </c>
      <c r="E272" s="174" t="str">
        <f t="shared" si="38"/>
        <v/>
      </c>
      <c r="F272" s="174" t="str">
        <f t="shared" si="38"/>
        <v/>
      </c>
      <c r="G272" s="174" t="str">
        <f t="shared" si="38"/>
        <v/>
      </c>
      <c r="H272" s="174" t="str">
        <f t="shared" si="38"/>
        <v/>
      </c>
      <c r="I272" s="174" t="str">
        <f t="shared" si="38"/>
        <v/>
      </c>
      <c r="J272" s="174" t="str">
        <f t="shared" si="38"/>
        <v/>
      </c>
      <c r="K272" s="174" t="str">
        <f t="shared" si="38"/>
        <v/>
      </c>
      <c r="L272" s="174" t="str">
        <f t="shared" si="38"/>
        <v/>
      </c>
      <c r="M272" s="174" t="str">
        <f t="shared" si="38"/>
        <v/>
      </c>
      <c r="N272" s="174" t="str">
        <f t="shared" si="38"/>
        <v/>
      </c>
      <c r="O272" s="174" t="str">
        <f t="shared" si="38"/>
        <v/>
      </c>
      <c r="P272" s="174" t="str">
        <f t="shared" si="38"/>
        <v/>
      </c>
      <c r="Q272" s="174" t="str">
        <f t="shared" si="38"/>
        <v/>
      </c>
      <c r="R272" s="174" t="str">
        <f t="shared" si="38"/>
        <v/>
      </c>
      <c r="S272" s="174" t="str">
        <f t="shared" si="38"/>
        <v/>
      </c>
      <c r="T272" s="174" t="str">
        <f t="shared" si="38"/>
        <v/>
      </c>
      <c r="U272" s="174" t="str">
        <f t="shared" si="38"/>
        <v/>
      </c>
      <c r="V272" s="174" t="str">
        <f t="shared" si="38"/>
        <v/>
      </c>
      <c r="W272" s="174" t="str">
        <f t="shared" si="38"/>
        <v/>
      </c>
      <c r="X272" s="174" t="str">
        <f t="shared" si="38"/>
        <v/>
      </c>
      <c r="Y272" s="174" t="str">
        <f t="shared" si="38"/>
        <v/>
      </c>
      <c r="Z272" s="174" t="str">
        <f t="shared" si="38"/>
        <v/>
      </c>
      <c r="AA272" s="174" t="str">
        <f t="shared" si="38"/>
        <v/>
      </c>
      <c r="AB272" s="174" t="str">
        <f t="shared" si="38"/>
        <v/>
      </c>
      <c r="AC272" s="174" t="str">
        <f t="shared" si="38"/>
        <v/>
      </c>
      <c r="AD272" s="174" t="str">
        <f t="shared" si="38"/>
        <v/>
      </c>
      <c r="AE272" s="174" t="str">
        <f t="shared" si="38"/>
        <v/>
      </c>
      <c r="AF272" s="174" t="str">
        <f t="shared" si="38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39">IF(B240&lt;100,"",B240-330)</f>
        <v/>
      </c>
      <c r="C273" s="174" t="str">
        <f t="shared" si="39"/>
        <v/>
      </c>
      <c r="D273" s="174" t="str">
        <f t="shared" si="39"/>
        <v/>
      </c>
      <c r="E273" s="174" t="str">
        <f t="shared" si="39"/>
        <v/>
      </c>
      <c r="F273" s="174" t="str">
        <f t="shared" si="39"/>
        <v/>
      </c>
      <c r="G273" s="174" t="str">
        <f t="shared" si="39"/>
        <v/>
      </c>
      <c r="H273" s="174" t="str">
        <f t="shared" si="39"/>
        <v/>
      </c>
      <c r="I273" s="174" t="str">
        <f t="shared" si="39"/>
        <v/>
      </c>
      <c r="J273" s="174" t="str">
        <f t="shared" si="39"/>
        <v/>
      </c>
      <c r="K273" s="174" t="str">
        <f t="shared" si="39"/>
        <v/>
      </c>
      <c r="L273" s="174" t="str">
        <f t="shared" si="39"/>
        <v/>
      </c>
      <c r="M273" s="174" t="str">
        <f t="shared" si="39"/>
        <v/>
      </c>
      <c r="N273" s="174" t="str">
        <f t="shared" si="39"/>
        <v/>
      </c>
      <c r="O273" s="174" t="str">
        <f t="shared" si="39"/>
        <v/>
      </c>
      <c r="P273" s="174" t="str">
        <f t="shared" si="39"/>
        <v/>
      </c>
      <c r="Q273" s="174" t="str">
        <f t="shared" si="39"/>
        <v/>
      </c>
      <c r="R273" s="174" t="str">
        <f t="shared" si="39"/>
        <v/>
      </c>
      <c r="S273" s="174" t="str">
        <f t="shared" si="39"/>
        <v/>
      </c>
      <c r="T273" s="174" t="str">
        <f t="shared" si="39"/>
        <v/>
      </c>
      <c r="U273" s="174" t="str">
        <f t="shared" si="39"/>
        <v/>
      </c>
      <c r="V273" s="174" t="str">
        <f t="shared" si="39"/>
        <v/>
      </c>
      <c r="W273" s="174" t="str">
        <f t="shared" si="39"/>
        <v/>
      </c>
      <c r="X273" s="174" t="str">
        <f t="shared" si="39"/>
        <v/>
      </c>
      <c r="Y273" s="174" t="str">
        <f t="shared" si="39"/>
        <v/>
      </c>
      <c r="Z273" s="174" t="str">
        <f t="shared" si="39"/>
        <v/>
      </c>
      <c r="AA273" s="174" t="str">
        <f t="shared" si="39"/>
        <v/>
      </c>
      <c r="AB273" s="174" t="str">
        <f t="shared" si="39"/>
        <v/>
      </c>
      <c r="AC273" s="174" t="str">
        <f t="shared" si="39"/>
        <v/>
      </c>
      <c r="AD273" s="174" t="str">
        <f t="shared" si="39"/>
        <v/>
      </c>
      <c r="AE273" s="174" t="str">
        <f t="shared" si="39"/>
        <v/>
      </c>
      <c r="AF273" s="174" t="str">
        <f t="shared" si="39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40">IF(B241&lt;100,"",B241-1500)</f>
        <v/>
      </c>
      <c r="C274" s="174" t="str">
        <f t="shared" si="40"/>
        <v/>
      </c>
      <c r="D274" s="174" t="str">
        <f t="shared" si="40"/>
        <v/>
      </c>
      <c r="E274" s="174" t="str">
        <f t="shared" si="40"/>
        <v/>
      </c>
      <c r="F274" s="174" t="str">
        <f t="shared" si="40"/>
        <v/>
      </c>
      <c r="G274" s="174" t="str">
        <f t="shared" si="40"/>
        <v/>
      </c>
      <c r="H274" s="174" t="str">
        <f t="shared" si="40"/>
        <v/>
      </c>
      <c r="I274" s="174" t="str">
        <f t="shared" si="40"/>
        <v/>
      </c>
      <c r="J274" s="174" t="str">
        <f t="shared" si="40"/>
        <v/>
      </c>
      <c r="K274" s="174" t="str">
        <f t="shared" si="40"/>
        <v/>
      </c>
      <c r="L274" s="174" t="str">
        <f t="shared" si="40"/>
        <v/>
      </c>
      <c r="M274" s="174" t="str">
        <f t="shared" si="40"/>
        <v/>
      </c>
      <c r="N274" s="174" t="str">
        <f t="shared" si="40"/>
        <v/>
      </c>
      <c r="O274" s="174" t="str">
        <f t="shared" si="40"/>
        <v/>
      </c>
      <c r="P274" s="174" t="str">
        <f t="shared" si="40"/>
        <v/>
      </c>
      <c r="Q274" s="174" t="str">
        <f t="shared" si="40"/>
        <v/>
      </c>
      <c r="R274" s="174" t="str">
        <f t="shared" si="40"/>
        <v/>
      </c>
      <c r="S274" s="174" t="str">
        <f t="shared" si="40"/>
        <v/>
      </c>
      <c r="T274" s="174" t="str">
        <f t="shared" si="40"/>
        <v/>
      </c>
      <c r="U274" s="174" t="str">
        <f t="shared" si="40"/>
        <v/>
      </c>
      <c r="V274" s="174" t="str">
        <f t="shared" si="40"/>
        <v/>
      </c>
      <c r="W274" s="174" t="str">
        <f t="shared" si="40"/>
        <v/>
      </c>
      <c r="X274" s="174" t="str">
        <f t="shared" si="40"/>
        <v/>
      </c>
      <c r="Y274" s="174" t="str">
        <f t="shared" si="40"/>
        <v/>
      </c>
      <c r="Z274" s="174" t="str">
        <f t="shared" si="40"/>
        <v/>
      </c>
      <c r="AA274" s="174" t="str">
        <f t="shared" si="40"/>
        <v/>
      </c>
      <c r="AB274" s="174" t="str">
        <f t="shared" si="40"/>
        <v/>
      </c>
      <c r="AC274" s="174" t="str">
        <f t="shared" si="40"/>
        <v/>
      </c>
      <c r="AD274" s="174" t="str">
        <f t="shared" si="40"/>
        <v/>
      </c>
      <c r="AE274" s="174" t="str">
        <f t="shared" si="40"/>
        <v/>
      </c>
      <c r="AF274" s="174" t="str">
        <f t="shared" si="40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808" priority="95">
      <formula>$AH11=0</formula>
    </cfRule>
  </conditionalFormatting>
  <conditionalFormatting sqref="B8 M8 S8 AB8">
    <cfRule type="expression" dxfId="807" priority="146">
      <formula>AND(C$9&gt;=14/24,C$9&lt;20/24)</formula>
    </cfRule>
    <cfRule type="expression" dxfId="806" priority="147">
      <formula>AND(C$9&gt;=8/24,C$9&lt;14/24)</formula>
    </cfRule>
    <cfRule type="expression" dxfId="805" priority="148">
      <formula>C$9&lt;8/24</formula>
    </cfRule>
  </conditionalFormatting>
  <conditionalFormatting sqref="B11:D45 M11:O45 E12:G33 H13:K33 L13:L45 E34:K45">
    <cfRule type="expression" dxfId="804" priority="22">
      <formula>B$9&gt;=20/24</formula>
    </cfRule>
    <cfRule type="expression" dxfId="803" priority="23">
      <formula>AND(B$9&gt;=14/24,B$9&lt;20/24)</formula>
    </cfRule>
    <cfRule type="expression" dxfId="802" priority="24">
      <formula>AND(B$9&gt;=8/24,B$9&lt;14/24)</formula>
    </cfRule>
    <cfRule type="expression" dxfId="801" priority="25">
      <formula>B$9&lt;8/24</formula>
    </cfRule>
  </conditionalFormatting>
  <conditionalFormatting sqref="B11:D46 M11:O46 L13:L46 E34:K46 E12:G33 H13:K33">
    <cfRule type="expression" dxfId="800" priority="21">
      <formula>B11&gt;$AG11</formula>
    </cfRule>
  </conditionalFormatting>
  <conditionalFormatting sqref="B55:F60 G59:O60">
    <cfRule type="expression" dxfId="799" priority="13">
      <formula>B$9&gt;=20/24</formula>
    </cfRule>
    <cfRule type="expression" dxfId="798" priority="14">
      <formula>AND(B$9&gt;=14/24,B$9&lt;20/24)</formula>
    </cfRule>
    <cfRule type="expression" dxfId="797" priority="15">
      <formula>AND(B$9&gt;=8/24,B$9&lt;14/24)</formula>
    </cfRule>
    <cfRule type="expression" dxfId="796" priority="16">
      <formula>B$9&lt;8/24</formula>
    </cfRule>
  </conditionalFormatting>
  <conditionalFormatting sqref="B47:O47">
    <cfRule type="expression" dxfId="795" priority="31">
      <formula>B47&gt;$AG47</formula>
    </cfRule>
  </conditionalFormatting>
  <conditionalFormatting sqref="B46:X46 AA46:AF46">
    <cfRule type="expression" dxfId="794" priority="19">
      <formula>AND(B$9&gt;=8/24,B$9&lt;14/24)</formula>
    </cfRule>
    <cfRule type="expression" dxfId="793" priority="17">
      <formula>B$9&gt;=20/24</formula>
    </cfRule>
    <cfRule type="expression" dxfId="792" priority="18">
      <formula>AND(B$9&gt;=14/24,B$9&lt;20/24)</formula>
    </cfRule>
    <cfRule type="expression" dxfId="791" priority="20">
      <formula>B$9&lt;8/24</formula>
    </cfRule>
  </conditionalFormatting>
  <conditionalFormatting sqref="B47:X49 AA47:AF49">
    <cfRule type="expression" dxfId="790" priority="27">
      <formula>B$9&gt;=20/24</formula>
    </cfRule>
    <cfRule type="expression" dxfId="789" priority="28">
      <formula>AND(B$9&gt;=14/24,B$9&lt;20/24)</formula>
    </cfRule>
    <cfRule type="expression" dxfId="788" priority="29">
      <formula>AND(B$9&gt;=8/24,B$9&lt;14/24)</formula>
    </cfRule>
    <cfRule type="expression" dxfId="787" priority="30">
      <formula>B$9&lt;8/24</formula>
    </cfRule>
  </conditionalFormatting>
  <conditionalFormatting sqref="B48:X49 AA48:AD49 AE48:AF53 B50:AD53">
    <cfRule type="expression" dxfId="786" priority="26">
      <formula>B48&gt;$AG48</formula>
    </cfRule>
  </conditionalFormatting>
  <conditionalFormatting sqref="B9:AF10 E11:H11 I11:L12 P11:X45 AA11:AF45 H12">
    <cfRule type="expression" dxfId="785" priority="57">
      <formula>B$9&lt;8/24</formula>
    </cfRule>
    <cfRule type="expression" dxfId="784" priority="56">
      <formula>AND(B$9&gt;=8/24,B$9&lt;14/24)</formula>
    </cfRule>
    <cfRule type="expression" dxfId="783" priority="55">
      <formula>AND(B$9&gt;=14/24,B$9&lt;20/24)</formula>
    </cfRule>
  </conditionalFormatting>
  <conditionalFormatting sqref="B51:AF53">
    <cfRule type="expression" dxfId="782" priority="81">
      <formula>B$9&lt;8/24</formula>
    </cfRule>
    <cfRule type="expression" dxfId="781" priority="80">
      <formula>AND(B$9&gt;=8/24,B$9&lt;14/24)</formula>
    </cfRule>
    <cfRule type="expression" dxfId="780" priority="79">
      <formula>AND(B$9&gt;=14/24,B$9&lt;20/24)</formula>
    </cfRule>
    <cfRule type="expression" dxfId="779" priority="78">
      <formula>B$9&gt;=20/24</formula>
    </cfRule>
  </conditionalFormatting>
  <conditionalFormatting sqref="B55:AF66">
    <cfRule type="expression" dxfId="778" priority="7">
      <formula>B55&gt;$AG55</formula>
    </cfRule>
  </conditionalFormatting>
  <conditionalFormatting sqref="B61:AF66">
    <cfRule type="expression" dxfId="777" priority="8">
      <formula>B$9&gt;=20/24</formula>
    </cfRule>
    <cfRule type="expression" dxfId="776" priority="9">
      <formula>AND(B$9&gt;=14/24,B$9&lt;20/24)</formula>
    </cfRule>
    <cfRule type="expression" dxfId="775" priority="10">
      <formula>AND(B$9&gt;=8/24,B$9&lt;14/24)</formula>
    </cfRule>
    <cfRule type="expression" dxfId="774" priority="11">
      <formula>B$9&lt;8/24</formula>
    </cfRule>
  </conditionalFormatting>
  <conditionalFormatting sqref="B69:AF71">
    <cfRule type="expression" dxfId="773" priority="89">
      <formula>AND(B$9&gt;=8/24,B$9&lt;14/24)</formula>
    </cfRule>
    <cfRule type="expression" dxfId="772" priority="90">
      <formula>B$9&lt;8/24</formula>
    </cfRule>
    <cfRule type="expression" dxfId="771" priority="86">
      <formula>B69&gt;$AG69</formula>
    </cfRule>
    <cfRule type="expression" dxfId="770" priority="87">
      <formula>B$9&gt;=20/24</formula>
    </cfRule>
    <cfRule type="expression" dxfId="769" priority="88">
      <formula>AND(B$9&gt;=14/24,B$9&lt;20/24)</formula>
    </cfRule>
  </conditionalFormatting>
  <conditionalFormatting sqref="B73:AF91">
    <cfRule type="expression" dxfId="768" priority="35">
      <formula>B$9&lt;8/24</formula>
    </cfRule>
    <cfRule type="expression" dxfId="767" priority="33">
      <formula>AND(B$9&gt;=14/24,B$9&lt;20/24)</formula>
    </cfRule>
    <cfRule type="expression" dxfId="766" priority="32">
      <formula>B$9&gt;=20/24</formula>
    </cfRule>
    <cfRule type="expression" dxfId="765" priority="34">
      <formula>AND(B$9&gt;=8/24,B$9&lt;14/24)</formula>
    </cfRule>
  </conditionalFormatting>
  <conditionalFormatting sqref="B111:AF120">
    <cfRule type="expression" dxfId="764" priority="47">
      <formula>AND(B$9&gt;=8/24,B$9&lt;14/24)</formula>
    </cfRule>
    <cfRule type="expression" dxfId="763" priority="46">
      <formula>AND(B$9&gt;=14/24,B$9&lt;20/24)</formula>
    </cfRule>
    <cfRule type="expression" dxfId="762" priority="45">
      <formula>B$9&gt;=20/24</formula>
    </cfRule>
    <cfRule type="expression" dxfId="761" priority="48">
      <formula>B$9&lt;8/24</formula>
    </cfRule>
  </conditionalFormatting>
  <conditionalFormatting sqref="B227:AF227 D229:AF230 B229:B235 D231:H231 J231:AF231 D232:AF235 U248:AF248">
    <cfRule type="expression" dxfId="760" priority="139">
      <formula>B$9&gt;=20/24</formula>
    </cfRule>
    <cfRule type="expression" dxfId="759" priority="140">
      <formula>AND(B$9&gt;=14/24,B$9&lt;20/24)</formula>
    </cfRule>
    <cfRule type="expression" dxfId="758" priority="141">
      <formula>AND(B$9&gt;=8/24,B$9&lt;14/24)</formula>
    </cfRule>
    <cfRule type="expression" dxfId="757" priority="142">
      <formula>B$9&lt;8/24</formula>
    </cfRule>
  </conditionalFormatting>
  <conditionalFormatting sqref="B54:AG54">
    <cfRule type="expression" dxfId="756" priority="64">
      <formula>B54&gt;$AG54</formula>
    </cfRule>
    <cfRule type="expression" dxfId="755" priority="69">
      <formula>B$9&gt;=20/24</formula>
    </cfRule>
    <cfRule type="expression" dxfId="754" priority="70">
      <formula>AND(B$9&gt;=14/24,B$9&lt;20/24)</formula>
    </cfRule>
    <cfRule type="expression" dxfId="753" priority="71">
      <formula>AND(B$9&gt;=8/24,B$9&lt;14/24)</formula>
    </cfRule>
    <cfRule type="expression" dxfId="752" priority="72">
      <formula>B$9&lt;8/24</formula>
    </cfRule>
  </conditionalFormatting>
  <conditionalFormatting sqref="B67:AG68">
    <cfRule type="expression" dxfId="751" priority="12">
      <formula>B67&gt;$AG67</formula>
    </cfRule>
  </conditionalFormatting>
  <conditionalFormatting sqref="B72:AG72 B93:AF109">
    <cfRule type="expression" dxfId="750" priority="74">
      <formula>B$9&gt;=20/24</formula>
    </cfRule>
    <cfRule type="expression" dxfId="749" priority="75">
      <formula>AND(B$9&gt;=14/24,B$9&lt;20/24)</formula>
    </cfRule>
    <cfRule type="expression" dxfId="748" priority="76">
      <formula>AND(B$9&gt;=8/24,B$9&lt;14/24)</formula>
    </cfRule>
    <cfRule type="expression" dxfId="747" priority="77">
      <formula>B$9&lt;8/24</formula>
    </cfRule>
  </conditionalFormatting>
  <conditionalFormatting sqref="B72:AG72">
    <cfRule type="expression" dxfId="746" priority="73">
      <formula>B72&gt;$AG72</formula>
    </cfRule>
  </conditionalFormatting>
  <conditionalFormatting sqref="E11:H11 I11:L12 P11:X45 AA11:AF45 H12 B9:AF10">
    <cfRule type="expression" dxfId="745" priority="54">
      <formula>B$9&gt;=20/24</formula>
    </cfRule>
  </conditionalFormatting>
  <conditionalFormatting sqref="G55:O57">
    <cfRule type="expression" dxfId="744" priority="120">
      <formula>G$9&gt;=20/24</formula>
    </cfRule>
    <cfRule type="expression" dxfId="743" priority="121">
      <formula>AND(G$9&gt;=14/24,G$9&lt;20/24)</formula>
    </cfRule>
    <cfRule type="expression" dxfId="742" priority="122">
      <formula>AND(G$9&gt;=8/24,G$9&lt;14/24)</formula>
    </cfRule>
    <cfRule type="expression" dxfId="741" priority="123">
      <formula>G$9&lt;8/24</formula>
    </cfRule>
  </conditionalFormatting>
  <conditionalFormatting sqref="J60:R60">
    <cfRule type="expression" dxfId="740" priority="85">
      <formula>J$9&lt;8/24</formula>
    </cfRule>
    <cfRule type="expression" dxfId="739" priority="82">
      <formula>J$9&gt;=20/24</formula>
    </cfRule>
    <cfRule type="expression" dxfId="738" priority="83">
      <formula>AND(J$9&gt;=14/24,J$9&lt;20/24)</formula>
    </cfRule>
    <cfRule type="expression" dxfId="737" priority="84">
      <formula>AND(J$9&gt;=8/24,J$9&lt;14/24)</formula>
    </cfRule>
  </conditionalFormatting>
  <conditionalFormatting sqref="M55:R59 R59:AF59">
    <cfRule type="expression" dxfId="736" priority="124">
      <formula>M$9&gt;=20/24</formula>
    </cfRule>
    <cfRule type="expression" dxfId="735" priority="125">
      <formula>AND(M$9&gt;=14/24,M$9&lt;20/24)</formula>
    </cfRule>
    <cfRule type="expression" dxfId="734" priority="126">
      <formula>AND(M$9&gt;=8/24,M$9&lt;14/24)</formula>
    </cfRule>
    <cfRule type="expression" dxfId="733" priority="127">
      <formula>M$9&lt;8/24</formula>
    </cfRule>
  </conditionalFormatting>
  <conditionalFormatting sqref="O3:P3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P11:X47 AA11:AF47 E11:H11 I11:L12 H12">
    <cfRule type="expression" dxfId="732" priority="53">
      <formula>E11&gt;$AG11</formula>
    </cfRule>
  </conditionalFormatting>
  <conditionalFormatting sqref="S8 AB8 B8 M8">
    <cfRule type="expression" dxfId="731" priority="145">
      <formula>C$9&gt;=20/24</formula>
    </cfRule>
  </conditionalFormatting>
  <conditionalFormatting sqref="S8">
    <cfRule type="expression" dxfId="730" priority="134">
      <formula>AND(U$9&gt;=8/24,U$9&lt;14/24)</formula>
    </cfRule>
    <cfRule type="expression" dxfId="729" priority="135">
      <formula>U$9&lt;8/24</formula>
    </cfRule>
    <cfRule type="expression" dxfId="728" priority="132">
      <formula>U$9&gt;=20/24</formula>
    </cfRule>
    <cfRule type="expression" dxfId="727" priority="133">
      <formula>AND(U$9&gt;=14/24,U$9&lt;20/24)</formula>
    </cfRule>
  </conditionalFormatting>
  <conditionalFormatting sqref="S55:AF60">
    <cfRule type="expression" dxfId="726" priority="44">
      <formula>S$9&lt;8/24</formula>
    </cfRule>
    <cfRule type="expression" dxfId="725" priority="41">
      <formula>S$9&gt;=20/24</formula>
    </cfRule>
    <cfRule type="expression" dxfId="724" priority="42">
      <formula>AND(S$9&gt;=14/24,S$9&lt;20/24)</formula>
    </cfRule>
    <cfRule type="expression" dxfId="723" priority="43">
      <formula>AND(S$9&gt;=8/24,S$9&lt;14/24)</formula>
    </cfRule>
  </conditionalFormatting>
  <conditionalFormatting sqref="T248">
    <cfRule type="expression" dxfId="722" priority="160">
      <formula>AX$9&lt;8/24</formula>
    </cfRule>
    <cfRule type="expression" dxfId="721" priority="158">
      <formula>AND(AX$9&gt;=14/24,AX$9&lt;20/24)</formula>
    </cfRule>
    <cfRule type="expression" dxfId="720" priority="157">
      <formula>AX$9&gt;=20/24</formula>
    </cfRule>
    <cfRule type="expression" dxfId="719" priority="159">
      <formula>AND(AX$9&gt;=8/24,AX$9&lt;14/24)</formula>
    </cfRule>
  </conditionalFormatting>
  <conditionalFormatting sqref="V3 AB3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Y11:Z49">
    <cfRule type="expression" dxfId="718" priority="1">
      <formula>Y11&gt;$AG11</formula>
    </cfRule>
    <cfRule type="expression" dxfId="717" priority="4">
      <formula>AND(Y$9&gt;=8/24,Y$9&lt;14/24)</formula>
    </cfRule>
    <cfRule type="expression" dxfId="716" priority="3">
      <formula>AND(Y$9&gt;=14/24,Y$9&lt;20/24)</formula>
    </cfRule>
    <cfRule type="expression" dxfId="715" priority="2">
      <formula>Y$9&gt;=20/24</formula>
    </cfRule>
    <cfRule type="expression" dxfId="714" priority="5">
      <formula>Y$9&lt;8/24</formula>
    </cfRule>
  </conditionalFormatting>
  <conditionalFormatting sqref="AB8">
    <cfRule type="expression" dxfId="713" priority="129">
      <formula>AND(AD$9&gt;=14/24,AD$9&lt;20/24)</formula>
    </cfRule>
    <cfRule type="expression" dxfId="712" priority="128">
      <formula>AD$9&gt;=20/24</formula>
    </cfRule>
    <cfRule type="expression" dxfId="711" priority="130">
      <formula>AND(AD$9&gt;=8/24,AD$9&lt;14/24)</formula>
    </cfRule>
    <cfRule type="expression" dxfId="710" priority="131">
      <formula>AD$9&lt;8/24</formula>
    </cfRule>
  </conditionalFormatting>
  <conditionalFormatting sqref="AG50">
    <cfRule type="expression" dxfId="709" priority="115">
      <formula>AG50&gt;$AG50</formula>
    </cfRule>
  </conditionalFormatting>
  <conditionalFormatting sqref="AG89">
    <cfRule type="expression" dxfId="708" priority="118">
      <formula>AND(AG$9&gt;=8/24,AG$9&lt;14/24)</formula>
    </cfRule>
    <cfRule type="expression" dxfId="707" priority="119">
      <formula>AG$9&lt;8/24</formula>
    </cfRule>
    <cfRule type="expression" dxfId="706" priority="117">
      <formula>AND(AG$9&gt;=14/24,AG$9&lt;20/24)</formula>
    </cfRule>
    <cfRule type="expression" dxfId="705" priority="116">
      <formula>AG$9&gt;=20/24</formula>
    </cfRule>
  </conditionalFormatting>
  <conditionalFormatting sqref="AG248">
    <cfRule type="expression" dxfId="704" priority="152">
      <formula>B$9&lt;8/24</formula>
    </cfRule>
    <cfRule type="expression" dxfId="703" priority="151">
      <formula>AND(B$9&gt;=8/24,B$9&lt;14/24)</formula>
    </cfRule>
    <cfRule type="expression" dxfId="702" priority="150">
      <formula>AND(B$9&gt;=14/24,B$9&lt;20/24)</formula>
    </cfRule>
    <cfRule type="expression" dxfId="701" priority="149">
      <formula>B$9&gt;=20/24</formula>
    </cfRule>
  </conditionalFormatting>
  <conditionalFormatting sqref="AH248:AX248">
    <cfRule type="expression" dxfId="700" priority="156">
      <formula>AG$9&lt;8/24</formula>
    </cfRule>
    <cfRule type="expression" dxfId="699" priority="153">
      <formula>AG$9&gt;=20/24</formula>
    </cfRule>
    <cfRule type="expression" dxfId="698" priority="154">
      <formula>AND(AG$9&gt;=14/24,AG$9&lt;20/24)</formula>
    </cfRule>
    <cfRule type="expression" dxfId="697" priority="155">
      <formula>AND(AG$9&gt;=8/24,AG$9&lt;14/24)</formula>
    </cfRule>
  </conditionalFormatting>
  <conditionalFormatting sqref="AL4:AL6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98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97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96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696" priority="162">
      <formula>AJ$9&gt;=20/24</formula>
    </cfRule>
    <cfRule type="expression" dxfId="695" priority="163">
      <formula>AND(AJ$9&gt;=14/24,AJ$9&lt;20/24)</formula>
    </cfRule>
    <cfRule type="expression" dxfId="694" priority="164">
      <formula>AND(AJ$9&gt;=8/24,AJ$9&lt;14/24)</formula>
    </cfRule>
    <cfRule type="expression" dxfId="693" priority="165">
      <formula>AJ$9&lt;8/24</formula>
    </cfRule>
  </conditionalFormatting>
  <conditionalFormatting sqref="AL80:AN80 AL86:AN86">
    <cfRule type="expression" dxfId="692" priority="104">
      <formula>AND(AL$9&gt;=14/24,AL$9&lt;20/24)</formula>
    </cfRule>
    <cfRule type="expression" dxfId="691" priority="106">
      <formula>AL$9&lt;8/24</formula>
    </cfRule>
    <cfRule type="expression" dxfId="690" priority="105">
      <formula>AND(AL$9&gt;=8/24,AL$9&lt;14/24)</formula>
    </cfRule>
    <cfRule type="expression" dxfId="689" priority="103">
      <formula>AL$9&gt;=20/24</formula>
    </cfRule>
  </conditionalFormatting>
  <conditionalFormatting sqref="AN81:AN84">
    <cfRule type="expression" dxfId="688" priority="102">
      <formula>AN$9&lt;8/24</formula>
    </cfRule>
    <cfRule type="expression" dxfId="687" priority="101">
      <formula>AND(AN$9&gt;=8/24,AN$9&lt;14/24)</formula>
    </cfRule>
    <cfRule type="expression" dxfId="686" priority="100">
      <formula>AND(AN$9&gt;=14/24,AN$9&lt;20/24)</formula>
    </cfRule>
    <cfRule type="expression" dxfId="685" priority="99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92A2-42C3-483F-8CC3-109E965C6657}">
  <dimension ref="A1:CJ281"/>
  <sheetViews>
    <sheetView zoomScale="90" zoomScaleNormal="90" workbookViewId="0">
      <pane xSplit="1" ySplit="10" topLeftCell="B67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C75" sqref="C7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.140625" style="1" customWidth="1"/>
    <col min="12" max="12" width="7" style="1" customWidth="1"/>
    <col min="13" max="13" width="6" style="1" bestFit="1" customWidth="1"/>
    <col min="14" max="14" width="8.5703125" style="1" bestFit="1" customWidth="1"/>
    <col min="15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4" width="6.85546875" style="1" customWidth="1"/>
    <col min="25" max="25" width="9.140625" style="1" customWidth="1"/>
    <col min="26" max="26" width="8.570312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2080/04/21</v>
      </c>
      <c r="C4" s="203"/>
      <c r="D4" s="203"/>
      <c r="E4" s="204" t="str">
        <f ca="1">"2079/"&amp;"12/"&amp;INT(MID(CELL("filename",G6),FIND("]",CELL("filename",G6))+1,200))</f>
        <v>2079/12/21</v>
      </c>
      <c r="F4" s="204"/>
      <c r="G4" s="204"/>
      <c r="H4" s="204" t="str">
        <f ca="1">TEXT(E4,"dddd")</f>
        <v>Thursday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1.1000000000000001</v>
      </c>
      <c r="AB5" s="30">
        <f t="shared" si="0"/>
        <v>7.8</v>
      </c>
      <c r="AC5" s="30">
        <f t="shared" si="0"/>
        <v>0</v>
      </c>
      <c r="AD5" s="30">
        <f t="shared" si="0"/>
        <v>0</v>
      </c>
      <c r="AE5" s="30">
        <f t="shared" si="0"/>
        <v>1.5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1954MW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Load=1894</v>
      </c>
      <c r="B7" s="35">
        <f t="shared" ref="B7:AF7" si="1">B91</f>
        <v>1988.44</v>
      </c>
      <c r="C7" s="35">
        <f t="shared" si="1"/>
        <v>1948.3400000000001</v>
      </c>
      <c r="D7" s="35">
        <f t="shared" si="1"/>
        <v>1926.54</v>
      </c>
      <c r="E7" s="35">
        <f t="shared" si="1"/>
        <v>1915.74</v>
      </c>
      <c r="F7" s="35">
        <f t="shared" si="1"/>
        <v>1924.8400000000001</v>
      </c>
      <c r="G7" s="35">
        <f t="shared" si="1"/>
        <v>1924.74</v>
      </c>
      <c r="H7" s="35">
        <f t="shared" si="1"/>
        <v>1953.84</v>
      </c>
      <c r="I7" s="35">
        <f t="shared" si="1"/>
        <v>1949.84</v>
      </c>
      <c r="J7" s="35">
        <f t="shared" si="1"/>
        <v>1954.0400000000002</v>
      </c>
      <c r="K7" s="35">
        <f t="shared" si="1"/>
        <v>1939.0900000000001</v>
      </c>
      <c r="L7" s="35">
        <f t="shared" si="1"/>
        <v>1952.8400000000001</v>
      </c>
      <c r="M7" s="35">
        <f t="shared" si="1"/>
        <v>1954.2399999999998</v>
      </c>
      <c r="N7" s="35">
        <f>N91</f>
        <v>1894.4399999999998</v>
      </c>
      <c r="O7" s="35">
        <f t="shared" si="1"/>
        <v>1902.04</v>
      </c>
      <c r="P7" s="35">
        <f t="shared" si="1"/>
        <v>1960.1400000000003</v>
      </c>
      <c r="Q7" s="35">
        <f t="shared" si="1"/>
        <v>1980.7399999999998</v>
      </c>
      <c r="R7" s="35">
        <f t="shared" si="1"/>
        <v>1934.04</v>
      </c>
      <c r="S7" s="35">
        <f t="shared" si="1"/>
        <v>1943.84</v>
      </c>
      <c r="T7" s="35">
        <f t="shared" si="1"/>
        <v>1962.2400000000002</v>
      </c>
      <c r="U7" s="35">
        <f t="shared" si="1"/>
        <v>1987.7400000000002</v>
      </c>
      <c r="V7" s="35">
        <f t="shared" si="1"/>
        <v>1955.6399999999999</v>
      </c>
      <c r="W7" s="35">
        <f t="shared" si="1"/>
        <v>1947.6399999999999</v>
      </c>
      <c r="X7" s="35">
        <f t="shared" si="1"/>
        <v>1965.6399999999999</v>
      </c>
      <c r="Y7" s="35">
        <f t="shared" si="1"/>
        <v>1973.6399999999999</v>
      </c>
      <c r="Z7" s="35">
        <f t="shared" si="1"/>
        <v>2057.34</v>
      </c>
      <c r="AA7" s="35">
        <f t="shared" si="1"/>
        <v>2060.54</v>
      </c>
      <c r="AB7" s="35">
        <f t="shared" si="1"/>
        <v>2049.2399999999998</v>
      </c>
      <c r="AC7" s="35">
        <f t="shared" si="1"/>
        <v>2055.94</v>
      </c>
      <c r="AD7" s="35">
        <f t="shared" si="1"/>
        <v>1994.8899999999999</v>
      </c>
      <c r="AE7" s="35">
        <f t="shared" si="1"/>
        <v>1992.99</v>
      </c>
      <c r="AF7" s="35">
        <f t="shared" si="1"/>
        <v>1919.7399999999998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</v>
      </c>
      <c r="C11" s="45">
        <v>90</v>
      </c>
      <c r="D11" s="45">
        <v>83</v>
      </c>
      <c r="E11" s="45">
        <v>82.9</v>
      </c>
      <c r="F11" s="45">
        <v>82.9</v>
      </c>
      <c r="G11" s="45">
        <v>82.9</v>
      </c>
      <c r="H11" s="45">
        <v>90</v>
      </c>
      <c r="I11" s="45">
        <v>86</v>
      </c>
      <c r="J11" s="45">
        <v>90.2</v>
      </c>
      <c r="K11" s="45">
        <v>90.2</v>
      </c>
      <c r="L11" s="45">
        <v>90.2</v>
      </c>
      <c r="M11" s="45">
        <v>90.2</v>
      </c>
      <c r="N11" s="45">
        <v>90.2</v>
      </c>
      <c r="O11" s="45">
        <v>90.2</v>
      </c>
      <c r="P11" s="45">
        <v>90.2</v>
      </c>
      <c r="Q11" s="45">
        <v>90.1</v>
      </c>
      <c r="R11" s="45">
        <v>90.1</v>
      </c>
      <c r="S11" s="45">
        <v>90.1</v>
      </c>
      <c r="T11" s="45">
        <v>90.3</v>
      </c>
      <c r="U11" s="45">
        <v>90.3</v>
      </c>
      <c r="V11" s="45">
        <v>90.3</v>
      </c>
      <c r="W11" s="45">
        <v>90.3</v>
      </c>
      <c r="X11" s="45">
        <v>90.3</v>
      </c>
      <c r="Y11" s="45">
        <v>90.3</v>
      </c>
      <c r="Z11" s="45">
        <v>90.3</v>
      </c>
      <c r="AA11" s="45">
        <v>90.3</v>
      </c>
      <c r="AB11" s="45">
        <v>90.3</v>
      </c>
      <c r="AC11" s="45">
        <v>90.3</v>
      </c>
      <c r="AD11" s="45">
        <v>90.3</v>
      </c>
      <c r="AE11" s="45">
        <v>90.3</v>
      </c>
      <c r="AF11" s="45">
        <v>90.3</v>
      </c>
      <c r="AG11" s="46">
        <v>86</v>
      </c>
      <c r="AH11" s="47">
        <f t="shared" ref="AH11:AH76" si="2">MAX(B11:AF11)</f>
        <v>90.3</v>
      </c>
      <c r="AI11" s="48">
        <f t="shared" ref="AI11:AI76" si="3">MIN(B11:AF11)</f>
        <v>82.9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18</v>
      </c>
      <c r="C12" s="45">
        <v>10.8</v>
      </c>
      <c r="D12" s="45">
        <v>0</v>
      </c>
      <c r="E12" s="45">
        <v>8</v>
      </c>
      <c r="F12" s="45">
        <v>12</v>
      </c>
      <c r="G12" s="45">
        <v>12</v>
      </c>
      <c r="H12" s="45">
        <v>26</v>
      </c>
      <c r="I12" s="45">
        <v>26</v>
      </c>
      <c r="J12" s="45">
        <v>26</v>
      </c>
      <c r="K12" s="45">
        <v>26</v>
      </c>
      <c r="L12" s="45">
        <v>26</v>
      </c>
      <c r="M12" s="45">
        <v>26</v>
      </c>
      <c r="N12" s="45">
        <v>9</v>
      </c>
      <c r="O12" s="45">
        <v>9</v>
      </c>
      <c r="P12" s="45">
        <v>18</v>
      </c>
      <c r="Q12" s="45">
        <v>18</v>
      </c>
      <c r="R12" s="45">
        <v>18</v>
      </c>
      <c r="S12" s="45">
        <v>18</v>
      </c>
      <c r="T12" s="45">
        <v>18</v>
      </c>
      <c r="U12" s="45">
        <v>18</v>
      </c>
      <c r="V12" s="45">
        <v>26</v>
      </c>
      <c r="W12" s="45">
        <v>18</v>
      </c>
      <c r="X12" s="45">
        <v>18</v>
      </c>
      <c r="Y12" s="45">
        <v>26</v>
      </c>
      <c r="Z12" s="45">
        <v>26</v>
      </c>
      <c r="AA12" s="45">
        <v>26</v>
      </c>
      <c r="AB12" s="45">
        <v>26</v>
      </c>
      <c r="AC12" s="45">
        <v>26</v>
      </c>
      <c r="AD12" s="45">
        <v>13</v>
      </c>
      <c r="AE12" s="45">
        <v>13</v>
      </c>
      <c r="AF12" s="45">
        <v>0</v>
      </c>
      <c r="AG12" s="49">
        <v>54</v>
      </c>
      <c r="AH12" s="47">
        <f t="shared" si="2"/>
        <v>26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55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>
        <v>55</v>
      </c>
      <c r="K13" s="45">
        <v>55</v>
      </c>
      <c r="L13" s="45">
        <v>55</v>
      </c>
      <c r="M13" s="45">
        <v>55</v>
      </c>
      <c r="N13" s="45">
        <v>55</v>
      </c>
      <c r="O13" s="45">
        <v>55</v>
      </c>
      <c r="P13" s="45">
        <v>55</v>
      </c>
      <c r="Q13" s="45">
        <v>54.8</v>
      </c>
      <c r="R13" s="45">
        <v>54.8</v>
      </c>
      <c r="S13" s="45">
        <v>54.8</v>
      </c>
      <c r="T13" s="45">
        <v>54.8</v>
      </c>
      <c r="U13" s="45">
        <v>54.8</v>
      </c>
      <c r="V13" s="45">
        <v>54.8</v>
      </c>
      <c r="W13" s="45">
        <v>54.8</v>
      </c>
      <c r="X13" s="45">
        <v>54.8</v>
      </c>
      <c r="Y13" s="45">
        <v>54.8</v>
      </c>
      <c r="Z13" s="45">
        <v>54.8</v>
      </c>
      <c r="AA13" s="45">
        <v>54.8</v>
      </c>
      <c r="AB13" s="45">
        <v>54.7</v>
      </c>
      <c r="AC13" s="45">
        <v>54.7</v>
      </c>
      <c r="AD13" s="45">
        <v>54.7</v>
      </c>
      <c r="AE13" s="45">
        <v>54.7</v>
      </c>
      <c r="AF13" s="45">
        <v>54.7</v>
      </c>
      <c r="AG13" s="46">
        <v>52.4</v>
      </c>
      <c r="AH13" s="47">
        <f t="shared" si="2"/>
        <v>55</v>
      </c>
      <c r="AI13" s="48">
        <f t="shared" si="3"/>
        <v>54.7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50.3</v>
      </c>
      <c r="C14" s="58">
        <v>50.3</v>
      </c>
      <c r="D14" s="58">
        <v>50.3</v>
      </c>
      <c r="E14" s="58">
        <v>50.3</v>
      </c>
      <c r="F14" s="58">
        <v>50.3</v>
      </c>
      <c r="G14" s="58">
        <v>50.3</v>
      </c>
      <c r="H14" s="58">
        <v>50.3</v>
      </c>
      <c r="I14" s="58">
        <v>50.3</v>
      </c>
      <c r="J14" s="58">
        <v>50.3</v>
      </c>
      <c r="K14" s="58">
        <v>50.3</v>
      </c>
      <c r="L14" s="58">
        <v>50.3</v>
      </c>
      <c r="M14" s="58">
        <v>50.3</v>
      </c>
      <c r="N14" s="58">
        <v>50.3</v>
      </c>
      <c r="O14" s="58">
        <v>50.3</v>
      </c>
      <c r="P14" s="58">
        <v>50.3</v>
      </c>
      <c r="Q14" s="58">
        <v>50.4</v>
      </c>
      <c r="R14" s="58">
        <v>50.4</v>
      </c>
      <c r="S14" s="58">
        <v>50.4</v>
      </c>
      <c r="T14" s="58">
        <v>50.4</v>
      </c>
      <c r="U14" s="58">
        <v>50.4</v>
      </c>
      <c r="V14" s="58">
        <v>50.4</v>
      </c>
      <c r="W14" s="58">
        <v>50.4</v>
      </c>
      <c r="X14" s="58">
        <v>50.4</v>
      </c>
      <c r="Y14" s="58">
        <v>50.4</v>
      </c>
      <c r="Z14" s="58">
        <v>50.4</v>
      </c>
      <c r="AA14" s="58">
        <v>50.4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49">
        <v>50</v>
      </c>
      <c r="AH14" s="47">
        <f t="shared" si="2"/>
        <v>50.4</v>
      </c>
      <c r="AI14" s="48">
        <f t="shared" si="3"/>
        <v>50.3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</v>
      </c>
      <c r="C15" s="45">
        <v>46</v>
      </c>
      <c r="D15" s="45">
        <v>46</v>
      </c>
      <c r="E15" s="45">
        <v>46</v>
      </c>
      <c r="F15" s="45">
        <v>46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46.2</v>
      </c>
      <c r="R15" s="45">
        <v>46.2</v>
      </c>
      <c r="S15" s="45">
        <v>46.2</v>
      </c>
      <c r="T15" s="45">
        <v>46.2</v>
      </c>
      <c r="U15" s="45">
        <v>46.2</v>
      </c>
      <c r="V15" s="45">
        <v>46.2</v>
      </c>
      <c r="W15" s="45">
        <v>46.2</v>
      </c>
      <c r="X15" s="45">
        <v>46.2</v>
      </c>
      <c r="Y15" s="45">
        <v>46.2</v>
      </c>
      <c r="Z15" s="45">
        <v>46.2</v>
      </c>
      <c r="AA15" s="45">
        <v>46.2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46.2</v>
      </c>
      <c r="AI15" s="48">
        <f t="shared" si="3"/>
        <v>46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0</v>
      </c>
      <c r="O16" s="45">
        <v>0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</v>
      </c>
      <c r="C17" s="45">
        <v>28</v>
      </c>
      <c r="D17" s="45">
        <v>28</v>
      </c>
      <c r="E17" s="45">
        <v>30</v>
      </c>
      <c r="F17" s="45">
        <v>29</v>
      </c>
      <c r="G17" s="45">
        <v>29</v>
      </c>
      <c r="H17" s="45">
        <v>29</v>
      </c>
      <c r="I17" s="45">
        <v>29</v>
      </c>
      <c r="J17" s="45">
        <v>29</v>
      </c>
      <c r="K17" s="45">
        <v>29</v>
      </c>
      <c r="L17" s="45">
        <v>29</v>
      </c>
      <c r="M17" s="45">
        <v>29</v>
      </c>
      <c r="N17" s="45">
        <v>25</v>
      </c>
      <c r="O17" s="45">
        <v>25</v>
      </c>
      <c r="P17" s="45">
        <v>25</v>
      </c>
      <c r="Q17" s="45">
        <v>28</v>
      </c>
      <c r="R17" s="45">
        <v>28</v>
      </c>
      <c r="S17" s="45">
        <v>29</v>
      </c>
      <c r="T17" s="45">
        <v>29</v>
      </c>
      <c r="U17" s="45">
        <v>29</v>
      </c>
      <c r="V17" s="45">
        <v>30</v>
      </c>
      <c r="W17" s="45">
        <v>30</v>
      </c>
      <c r="X17" s="45">
        <v>30</v>
      </c>
      <c r="Y17" s="45">
        <v>30</v>
      </c>
      <c r="Z17" s="45">
        <v>30</v>
      </c>
      <c r="AA17" s="45">
        <v>35</v>
      </c>
      <c r="AB17" s="45">
        <v>30</v>
      </c>
      <c r="AC17" s="45">
        <v>30</v>
      </c>
      <c r="AD17" s="45">
        <v>28</v>
      </c>
      <c r="AE17" s="45">
        <v>28</v>
      </c>
      <c r="AF17" s="45">
        <v>28</v>
      </c>
      <c r="AG17" s="49">
        <v>42</v>
      </c>
      <c r="AH17" s="47">
        <f t="shared" si="2"/>
        <v>35</v>
      </c>
      <c r="AI17" s="48">
        <f t="shared" si="3"/>
        <v>25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39</v>
      </c>
      <c r="AC18" s="45">
        <v>39</v>
      </c>
      <c r="AD18" s="45">
        <v>39</v>
      </c>
      <c r="AE18" s="45">
        <v>39</v>
      </c>
      <c r="AF18" s="45">
        <v>39</v>
      </c>
      <c r="AG18" s="49">
        <v>38.46</v>
      </c>
      <c r="AH18" s="47">
        <f t="shared" si="2"/>
        <v>39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0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5</v>
      </c>
      <c r="D20" s="45">
        <v>5</v>
      </c>
      <c r="E20" s="45">
        <v>5</v>
      </c>
      <c r="F20" s="45">
        <v>5</v>
      </c>
      <c r="G20" s="45">
        <v>5</v>
      </c>
      <c r="H20" s="45">
        <v>15</v>
      </c>
      <c r="I20" s="45">
        <v>15</v>
      </c>
      <c r="J20" s="45">
        <v>15</v>
      </c>
      <c r="K20" s="45">
        <v>15</v>
      </c>
      <c r="L20" s="45">
        <v>15</v>
      </c>
      <c r="M20" s="45">
        <v>11.4</v>
      </c>
      <c r="N20" s="45">
        <v>11.4</v>
      </c>
      <c r="O20" s="45">
        <v>15</v>
      </c>
      <c r="P20" s="45">
        <v>10</v>
      </c>
      <c r="Q20" s="45">
        <v>10.3</v>
      </c>
      <c r="R20" s="45">
        <v>10.3</v>
      </c>
      <c r="S20" s="45">
        <v>10.3</v>
      </c>
      <c r="T20" s="45">
        <v>15.4</v>
      </c>
      <c r="U20" s="45">
        <v>15.4</v>
      </c>
      <c r="V20" s="45">
        <v>5</v>
      </c>
      <c r="W20" s="45">
        <v>5</v>
      </c>
      <c r="X20" s="45">
        <v>15</v>
      </c>
      <c r="Y20" s="45">
        <v>15</v>
      </c>
      <c r="Z20" s="45">
        <v>21</v>
      </c>
      <c r="AA20" s="45">
        <v>21</v>
      </c>
      <c r="AB20" s="45">
        <v>16</v>
      </c>
      <c r="AC20" s="45">
        <v>16</v>
      </c>
      <c r="AD20" s="45">
        <v>10</v>
      </c>
      <c r="AE20" s="45">
        <v>10</v>
      </c>
      <c r="AF20" s="45">
        <v>10</v>
      </c>
      <c r="AG20" s="51">
        <v>30</v>
      </c>
      <c r="AH20" s="47">
        <f t="shared" si="2"/>
        <v>21</v>
      </c>
      <c r="AI20" s="48">
        <f t="shared" si="3"/>
        <v>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20.7</v>
      </c>
      <c r="C21" s="45">
        <v>20.7</v>
      </c>
      <c r="D21" s="45">
        <v>20.7</v>
      </c>
      <c r="E21" s="45">
        <v>20.7</v>
      </c>
      <c r="F21" s="45">
        <v>20.7</v>
      </c>
      <c r="G21" s="45">
        <v>20.7</v>
      </c>
      <c r="H21" s="45">
        <v>20.7</v>
      </c>
      <c r="I21" s="45">
        <v>20.7</v>
      </c>
      <c r="J21" s="45">
        <v>20.7</v>
      </c>
      <c r="K21" s="45">
        <v>20.7</v>
      </c>
      <c r="L21" s="45">
        <v>20.7</v>
      </c>
      <c r="M21" s="45">
        <v>20.7</v>
      </c>
      <c r="N21" s="45">
        <v>20.7</v>
      </c>
      <c r="O21" s="45">
        <v>20.7</v>
      </c>
      <c r="P21" s="45">
        <v>20.7</v>
      </c>
      <c r="Q21" s="45">
        <v>20.7</v>
      </c>
      <c r="R21" s="45">
        <v>20.7</v>
      </c>
      <c r="S21" s="45">
        <v>20.7</v>
      </c>
      <c r="T21" s="45">
        <v>20.7</v>
      </c>
      <c r="U21" s="45">
        <v>20.7</v>
      </c>
      <c r="V21" s="45">
        <v>20.7</v>
      </c>
      <c r="W21" s="45">
        <v>20.7</v>
      </c>
      <c r="X21" s="45">
        <v>20.7</v>
      </c>
      <c r="Y21" s="45">
        <v>20.7</v>
      </c>
      <c r="Z21" s="45">
        <v>20.7</v>
      </c>
      <c r="AA21" s="45">
        <v>20.7</v>
      </c>
      <c r="AB21" s="45">
        <v>20.9</v>
      </c>
      <c r="AC21" s="45">
        <v>20.9</v>
      </c>
      <c r="AD21" s="45">
        <v>20.9</v>
      </c>
      <c r="AE21" s="45">
        <v>20.9</v>
      </c>
      <c r="AF21" s="45">
        <v>20.9</v>
      </c>
      <c r="AG21" s="49">
        <v>24.2</v>
      </c>
      <c r="AH21" s="47">
        <f t="shared" si="2"/>
        <v>20.9</v>
      </c>
      <c r="AI21" s="48">
        <f t="shared" si="3"/>
        <v>20.7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20</v>
      </c>
      <c r="X22" s="45">
        <v>20</v>
      </c>
      <c r="Y22" s="45">
        <v>20</v>
      </c>
      <c r="Z22" s="45">
        <v>20</v>
      </c>
      <c r="AA22" s="45">
        <v>20</v>
      </c>
      <c r="AB22" s="45">
        <v>20.8</v>
      </c>
      <c r="AC22" s="45">
        <v>20.8</v>
      </c>
      <c r="AD22" s="45">
        <v>20.8</v>
      </c>
      <c r="AE22" s="45">
        <v>20.8</v>
      </c>
      <c r="AF22" s="45">
        <v>20.8</v>
      </c>
      <c r="AG22" s="49">
        <v>28</v>
      </c>
      <c r="AH22" s="47">
        <f t="shared" si="2"/>
        <v>20.8</v>
      </c>
      <c r="AI22" s="48">
        <f t="shared" si="3"/>
        <v>20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9</v>
      </c>
      <c r="C23" s="45">
        <v>5</v>
      </c>
      <c r="D23" s="45">
        <v>0</v>
      </c>
      <c r="E23" s="45">
        <v>5</v>
      </c>
      <c r="F23" s="45">
        <v>5</v>
      </c>
      <c r="G23" s="45">
        <v>5</v>
      </c>
      <c r="H23" s="45">
        <v>13.5</v>
      </c>
      <c r="I23" s="45">
        <v>13.5</v>
      </c>
      <c r="J23" s="45">
        <v>13.5</v>
      </c>
      <c r="K23" s="45">
        <v>13.5</v>
      </c>
      <c r="L23" s="45">
        <v>13.5</v>
      </c>
      <c r="M23" s="45">
        <v>13.5</v>
      </c>
      <c r="N23" s="45">
        <v>8.5</v>
      </c>
      <c r="O23" s="45">
        <v>8.5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13.5</v>
      </c>
      <c r="W23" s="45">
        <v>13.5</v>
      </c>
      <c r="X23" s="45">
        <v>13.5</v>
      </c>
      <c r="Y23" s="45">
        <v>13.5</v>
      </c>
      <c r="Z23" s="45">
        <v>20</v>
      </c>
      <c r="AA23" s="45">
        <v>20</v>
      </c>
      <c r="AB23" s="45">
        <v>13.5</v>
      </c>
      <c r="AC23" s="45">
        <v>13.5</v>
      </c>
      <c r="AD23" s="45">
        <f>25/100*27</f>
        <v>6.75</v>
      </c>
      <c r="AE23" s="45">
        <f>25/100*27</f>
        <v>6.75</v>
      </c>
      <c r="AF23" s="45">
        <v>0</v>
      </c>
      <c r="AG23" s="51">
        <v>30</v>
      </c>
      <c r="AH23" s="47">
        <f t="shared" si="2"/>
        <v>20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24.2</v>
      </c>
      <c r="C24" s="45">
        <v>24.2</v>
      </c>
      <c r="D24" s="45">
        <v>24.2</v>
      </c>
      <c r="E24" s="45">
        <v>24.2</v>
      </c>
      <c r="F24" s="45">
        <v>24.2</v>
      </c>
      <c r="G24" s="45">
        <v>24.2</v>
      </c>
      <c r="H24" s="45">
        <v>24.2</v>
      </c>
      <c r="I24" s="45">
        <v>24.2</v>
      </c>
      <c r="J24" s="45">
        <v>24.2</v>
      </c>
      <c r="K24" s="45">
        <v>24.2</v>
      </c>
      <c r="L24" s="45">
        <v>24.2</v>
      </c>
      <c r="M24" s="45">
        <v>24.2</v>
      </c>
      <c r="N24" s="45">
        <v>24.2</v>
      </c>
      <c r="O24" s="45">
        <v>24.2</v>
      </c>
      <c r="P24" s="45">
        <v>24.2</v>
      </c>
      <c r="Q24" s="45">
        <v>26.1</v>
      </c>
      <c r="R24" s="45">
        <v>26.1</v>
      </c>
      <c r="S24" s="45">
        <v>26.1</v>
      </c>
      <c r="T24" s="45">
        <v>26.1</v>
      </c>
      <c r="U24" s="45">
        <v>26.1</v>
      </c>
      <c r="V24" s="45">
        <v>26.1</v>
      </c>
      <c r="W24" s="45">
        <v>26.1</v>
      </c>
      <c r="X24" s="45">
        <v>26.1</v>
      </c>
      <c r="Y24" s="45">
        <v>26.1</v>
      </c>
      <c r="Z24" s="45">
        <v>26.1</v>
      </c>
      <c r="AA24" s="45">
        <v>26.1</v>
      </c>
      <c r="AB24" s="45">
        <v>25.1</v>
      </c>
      <c r="AC24" s="45">
        <v>25.1</v>
      </c>
      <c r="AD24" s="45">
        <v>25.1</v>
      </c>
      <c r="AE24" s="45">
        <v>25.1</v>
      </c>
      <c r="AF24" s="45">
        <v>25.1</v>
      </c>
      <c r="AG24" s="49">
        <v>25</v>
      </c>
      <c r="AH24" s="47">
        <f t="shared" si="2"/>
        <v>26.1</v>
      </c>
      <c r="AI24" s="48">
        <f t="shared" si="3"/>
        <v>24.2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4</v>
      </c>
      <c r="D27" s="45">
        <v>5</v>
      </c>
      <c r="E27" s="45">
        <v>5</v>
      </c>
      <c r="F27" s="45">
        <v>5</v>
      </c>
      <c r="G27" s="45">
        <v>5</v>
      </c>
      <c r="H27" s="45">
        <v>12.5</v>
      </c>
      <c r="I27" s="45">
        <v>12.5</v>
      </c>
      <c r="J27" s="45">
        <v>12.5</v>
      </c>
      <c r="K27" s="45">
        <v>12.5</v>
      </c>
      <c r="L27" s="45">
        <v>12.5</v>
      </c>
      <c r="M27" s="45">
        <v>12.5</v>
      </c>
      <c r="N27" s="45">
        <v>8.5</v>
      </c>
      <c r="O27" s="45">
        <v>8.5</v>
      </c>
      <c r="P27" s="45">
        <v>8.5</v>
      </c>
      <c r="Q27" s="45">
        <v>8.5</v>
      </c>
      <c r="R27" s="45">
        <v>8.5</v>
      </c>
      <c r="S27" s="45">
        <v>8.5</v>
      </c>
      <c r="T27" s="45">
        <v>8.5</v>
      </c>
      <c r="U27" s="45">
        <v>8.5</v>
      </c>
      <c r="V27" s="45">
        <v>8.5</v>
      </c>
      <c r="W27" s="45">
        <v>8.5</v>
      </c>
      <c r="X27" s="45">
        <v>12.5</v>
      </c>
      <c r="Y27" s="45">
        <v>12.5</v>
      </c>
      <c r="Z27" s="45">
        <v>18</v>
      </c>
      <c r="AA27" s="45">
        <v>18</v>
      </c>
      <c r="AB27" s="45">
        <v>18</v>
      </c>
      <c r="AC27" s="45">
        <v>18</v>
      </c>
      <c r="AD27" s="45">
        <v>7</v>
      </c>
      <c r="AE27" s="45">
        <v>7</v>
      </c>
      <c r="AF27" s="45">
        <v>0</v>
      </c>
      <c r="AG27" s="49">
        <v>25</v>
      </c>
      <c r="AH27" s="47">
        <f t="shared" si="2"/>
        <v>18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24.9</v>
      </c>
      <c r="C28" s="45">
        <v>24.9</v>
      </c>
      <c r="D28" s="45">
        <v>24.9</v>
      </c>
      <c r="E28" s="45">
        <v>24.9</v>
      </c>
      <c r="F28" s="45">
        <v>24.9</v>
      </c>
      <c r="G28" s="45">
        <v>24.9</v>
      </c>
      <c r="H28" s="45">
        <v>24.9</v>
      </c>
      <c r="I28" s="45">
        <v>24.9</v>
      </c>
      <c r="J28" s="45">
        <v>24.9</v>
      </c>
      <c r="K28" s="45">
        <v>24.9</v>
      </c>
      <c r="L28" s="45">
        <v>24.9</v>
      </c>
      <c r="M28" s="45">
        <v>24.9</v>
      </c>
      <c r="N28" s="45">
        <v>24.9</v>
      </c>
      <c r="O28" s="45">
        <v>24.9</v>
      </c>
      <c r="P28" s="45">
        <v>24.9</v>
      </c>
      <c r="Q28" s="45">
        <v>24.9</v>
      </c>
      <c r="R28" s="45">
        <v>24.9</v>
      </c>
      <c r="S28" s="45">
        <v>24.9</v>
      </c>
      <c r="T28" s="45">
        <v>24.9</v>
      </c>
      <c r="U28" s="45">
        <v>24.9</v>
      </c>
      <c r="V28" s="45">
        <v>24.9</v>
      </c>
      <c r="W28" s="45">
        <v>24.9</v>
      </c>
      <c r="X28" s="45">
        <v>24.9</v>
      </c>
      <c r="Y28" s="45">
        <v>24.9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24.9</v>
      </c>
      <c r="AF28" s="45">
        <v>24.9</v>
      </c>
      <c r="AG28" s="49">
        <v>23.5</v>
      </c>
      <c r="AH28" s="47">
        <f t="shared" si="2"/>
        <v>24.9</v>
      </c>
      <c r="AI28" s="48">
        <f t="shared" si="3"/>
        <v>24.9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10</v>
      </c>
      <c r="N33" s="45">
        <v>10</v>
      </c>
      <c r="O33" s="45">
        <v>10</v>
      </c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>
        <v>10</v>
      </c>
      <c r="AB33" s="45">
        <v>10</v>
      </c>
      <c r="AC33" s="45">
        <v>10</v>
      </c>
      <c r="AD33" s="45">
        <v>5</v>
      </c>
      <c r="AE33" s="45">
        <v>5</v>
      </c>
      <c r="AF33" s="45">
        <v>0</v>
      </c>
      <c r="AG33" s="49">
        <v>20</v>
      </c>
      <c r="AH33" s="47">
        <f t="shared" si="2"/>
        <v>10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5</v>
      </c>
      <c r="C34" s="45">
        <v>5</v>
      </c>
      <c r="D34" s="45">
        <v>5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4</v>
      </c>
      <c r="P34" s="45">
        <v>4</v>
      </c>
      <c r="Q34" s="45">
        <v>4</v>
      </c>
      <c r="R34" s="45">
        <v>4</v>
      </c>
      <c r="S34" s="45">
        <v>4</v>
      </c>
      <c r="T34" s="45">
        <v>4</v>
      </c>
      <c r="U34" s="45">
        <v>4</v>
      </c>
      <c r="V34" s="45">
        <v>0</v>
      </c>
      <c r="W34" s="45">
        <v>0</v>
      </c>
      <c r="X34" s="45">
        <v>4</v>
      </c>
      <c r="Y34" s="45">
        <v>4</v>
      </c>
      <c r="Z34" s="45">
        <v>4</v>
      </c>
      <c r="AA34" s="45">
        <v>4</v>
      </c>
      <c r="AB34" s="45">
        <v>4</v>
      </c>
      <c r="AC34" s="45">
        <v>4</v>
      </c>
      <c r="AD34" s="45">
        <v>4</v>
      </c>
      <c r="AE34" s="45">
        <v>4</v>
      </c>
      <c r="AF34" s="45">
        <v>0</v>
      </c>
      <c r="AG34" s="49">
        <v>18</v>
      </c>
      <c r="AH34" s="47">
        <f t="shared" si="2"/>
        <v>5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4</v>
      </c>
      <c r="C39" s="45">
        <v>2</v>
      </c>
      <c r="D39" s="45">
        <v>2</v>
      </c>
      <c r="E39" s="45">
        <v>2</v>
      </c>
      <c r="F39" s="45">
        <v>2</v>
      </c>
      <c r="G39" s="45">
        <v>2</v>
      </c>
      <c r="H39" s="45">
        <v>6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6</v>
      </c>
      <c r="V39" s="45">
        <v>6</v>
      </c>
      <c r="W39" s="45">
        <v>6</v>
      </c>
      <c r="X39" s="45">
        <v>6</v>
      </c>
      <c r="Y39" s="45">
        <v>6</v>
      </c>
      <c r="Z39" s="45">
        <v>10</v>
      </c>
      <c r="AA39" s="45">
        <v>10</v>
      </c>
      <c r="AB39" s="45">
        <v>10</v>
      </c>
      <c r="AC39" s="45">
        <v>10</v>
      </c>
      <c r="AD39" s="45">
        <v>3</v>
      </c>
      <c r="AE39" s="45">
        <v>3</v>
      </c>
      <c r="AF39" s="45">
        <v>0</v>
      </c>
      <c r="AG39" s="49">
        <v>12</v>
      </c>
      <c r="AH39" s="47">
        <f t="shared" si="2"/>
        <v>10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12</v>
      </c>
      <c r="C40" s="45">
        <v>12</v>
      </c>
      <c r="D40" s="45">
        <v>12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8</v>
      </c>
      <c r="O40" s="45">
        <v>8</v>
      </c>
      <c r="P40" s="45">
        <v>8</v>
      </c>
      <c r="Q40" s="45">
        <v>8</v>
      </c>
      <c r="R40" s="45">
        <v>8</v>
      </c>
      <c r="S40" s="45">
        <v>8</v>
      </c>
      <c r="T40" s="45">
        <v>8</v>
      </c>
      <c r="U40" s="45">
        <v>8</v>
      </c>
      <c r="V40" s="45">
        <v>8</v>
      </c>
      <c r="W40" s="45">
        <v>8</v>
      </c>
      <c r="X40" s="45">
        <v>8</v>
      </c>
      <c r="Y40" s="45">
        <v>8</v>
      </c>
      <c r="Z40" s="45">
        <v>8</v>
      </c>
      <c r="AA40" s="45">
        <v>8</v>
      </c>
      <c r="AB40" s="45">
        <v>8</v>
      </c>
      <c r="AC40" s="45">
        <v>8</v>
      </c>
      <c r="AD40" s="45">
        <v>8</v>
      </c>
      <c r="AE40" s="45">
        <v>8</v>
      </c>
      <c r="AF40" s="45">
        <v>8</v>
      </c>
      <c r="AG40" s="49">
        <v>12</v>
      </c>
      <c r="AH40" s="47">
        <f t="shared" si="2"/>
        <v>12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7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6</v>
      </c>
      <c r="M41" s="45">
        <v>6</v>
      </c>
      <c r="N41" s="45">
        <v>6</v>
      </c>
      <c r="O41" s="45">
        <v>6</v>
      </c>
      <c r="P41" s="45">
        <v>6</v>
      </c>
      <c r="Q41" s="45">
        <v>6</v>
      </c>
      <c r="R41" s="45">
        <v>6</v>
      </c>
      <c r="S41" s="45">
        <v>6</v>
      </c>
      <c r="T41" s="45">
        <v>6</v>
      </c>
      <c r="U41" s="45">
        <v>6</v>
      </c>
      <c r="V41" s="45">
        <v>6</v>
      </c>
      <c r="W41" s="45">
        <v>6</v>
      </c>
      <c r="X41" s="45">
        <v>6</v>
      </c>
      <c r="Y41" s="45">
        <v>6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5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52">
        <v>22</v>
      </c>
      <c r="AH42" s="47">
        <f t="shared" si="2"/>
        <v>5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11.9</v>
      </c>
      <c r="C43" s="45">
        <v>11.9</v>
      </c>
      <c r="D43" s="45">
        <v>11.9</v>
      </c>
      <c r="E43" s="45">
        <v>11.9</v>
      </c>
      <c r="F43" s="45">
        <v>11.9</v>
      </c>
      <c r="G43" s="45">
        <v>11.9</v>
      </c>
      <c r="H43" s="45">
        <v>11.9</v>
      </c>
      <c r="I43" s="45">
        <v>11.9</v>
      </c>
      <c r="J43" s="45">
        <v>11.9</v>
      </c>
      <c r="K43" s="45">
        <v>11.9</v>
      </c>
      <c r="L43" s="45">
        <v>11.9</v>
      </c>
      <c r="M43" s="45">
        <v>11.9</v>
      </c>
      <c r="N43" s="45">
        <v>11.9</v>
      </c>
      <c r="O43" s="45">
        <v>11.9</v>
      </c>
      <c r="P43" s="45">
        <v>11.9</v>
      </c>
      <c r="Q43" s="45">
        <v>11.9</v>
      </c>
      <c r="R43" s="45">
        <v>11.9</v>
      </c>
      <c r="S43" s="45">
        <v>11.9</v>
      </c>
      <c r="T43" s="45">
        <v>11.9</v>
      </c>
      <c r="U43" s="45">
        <v>11.9</v>
      </c>
      <c r="V43" s="45">
        <v>11.9</v>
      </c>
      <c r="W43" s="45">
        <v>11.9</v>
      </c>
      <c r="X43" s="45">
        <v>11.9</v>
      </c>
      <c r="Y43" s="45">
        <v>11.9</v>
      </c>
      <c r="Z43" s="45">
        <v>11.9</v>
      </c>
      <c r="AA43" s="45">
        <v>11.9</v>
      </c>
      <c r="AB43" s="45">
        <v>11.9</v>
      </c>
      <c r="AC43" s="45">
        <v>11.9</v>
      </c>
      <c r="AD43" s="45">
        <v>11.9</v>
      </c>
      <c r="AE43" s="45">
        <v>11.9</v>
      </c>
      <c r="AF43" s="45">
        <v>11.9</v>
      </c>
      <c r="AG43" s="51">
        <v>11.88</v>
      </c>
      <c r="AH43" s="47">
        <f t="shared" si="2"/>
        <v>11.9</v>
      </c>
      <c r="AI43" s="48">
        <f t="shared" si="3"/>
        <v>11.9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10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358</v>
      </c>
      <c r="C48" s="56">
        <v>358</v>
      </c>
      <c r="D48" s="56">
        <v>358</v>
      </c>
      <c r="E48" s="56">
        <v>358</v>
      </c>
      <c r="F48" s="56">
        <v>358</v>
      </c>
      <c r="G48" s="56">
        <v>358</v>
      </c>
      <c r="H48" s="56">
        <v>358</v>
      </c>
      <c r="I48" s="56">
        <v>358</v>
      </c>
      <c r="J48" s="56">
        <v>358</v>
      </c>
      <c r="K48" s="56">
        <v>358</v>
      </c>
      <c r="L48" s="56">
        <v>358</v>
      </c>
      <c r="M48" s="56">
        <v>358</v>
      </c>
      <c r="N48" s="56">
        <v>358</v>
      </c>
      <c r="O48" s="56">
        <v>358</v>
      </c>
      <c r="P48" s="56">
        <v>358</v>
      </c>
      <c r="Q48" s="56">
        <v>358</v>
      </c>
      <c r="R48" s="56">
        <v>358</v>
      </c>
      <c r="S48" s="56">
        <v>358</v>
      </c>
      <c r="T48" s="56">
        <v>358</v>
      </c>
      <c r="U48" s="56">
        <v>358</v>
      </c>
      <c r="V48" s="56">
        <v>358</v>
      </c>
      <c r="W48" s="56">
        <v>358</v>
      </c>
      <c r="X48" s="56">
        <v>358</v>
      </c>
      <c r="Y48" s="56">
        <v>358</v>
      </c>
      <c r="Z48" s="56">
        <v>358</v>
      </c>
      <c r="AA48" s="56">
        <v>358</v>
      </c>
      <c r="AB48" s="56">
        <v>358</v>
      </c>
      <c r="AC48" s="56">
        <v>358</v>
      </c>
      <c r="AD48" s="56">
        <v>358</v>
      </c>
      <c r="AE48" s="56">
        <v>358</v>
      </c>
      <c r="AF48" s="56">
        <v>358</v>
      </c>
      <c r="AG48" s="54">
        <v>85</v>
      </c>
      <c r="AH48" s="47">
        <f t="shared" si="2"/>
        <v>358</v>
      </c>
      <c r="AI48" s="48">
        <f t="shared" si="3"/>
        <v>358</v>
      </c>
      <c r="AK48" s="50"/>
    </row>
    <row r="49" spans="1:41" ht="15.75" thickBot="1" x14ac:dyDescent="0.3">
      <c r="A49" s="57" t="s">
        <v>57</v>
      </c>
      <c r="B49" s="56">
        <v>104.1</v>
      </c>
      <c r="C49" s="56">
        <v>106.9</v>
      </c>
      <c r="D49" s="56">
        <v>106.9</v>
      </c>
      <c r="E49" s="56">
        <v>106.9</v>
      </c>
      <c r="F49" s="56">
        <v>106.9</v>
      </c>
      <c r="G49" s="56">
        <v>103</v>
      </c>
      <c r="H49" s="56">
        <v>103</v>
      </c>
      <c r="I49" s="56">
        <v>103</v>
      </c>
      <c r="J49" s="56">
        <v>103</v>
      </c>
      <c r="K49" s="56">
        <v>103</v>
      </c>
      <c r="L49" s="56">
        <v>103</v>
      </c>
      <c r="M49" s="58">
        <v>100.8</v>
      </c>
      <c r="N49" s="58"/>
      <c r="O49" s="58"/>
      <c r="P49" s="58">
        <v>103.4</v>
      </c>
      <c r="Q49" s="58">
        <v>103.6</v>
      </c>
      <c r="R49" s="58">
        <v>103.6</v>
      </c>
      <c r="S49" s="58">
        <v>103.6</v>
      </c>
      <c r="T49" s="58">
        <v>103.6</v>
      </c>
      <c r="U49" s="58">
        <v>103.6</v>
      </c>
      <c r="V49" s="58">
        <v>103.6</v>
      </c>
      <c r="W49" s="58">
        <v>103.6</v>
      </c>
      <c r="X49" s="58">
        <v>103.6</v>
      </c>
      <c r="Y49" s="58">
        <v>103.6</v>
      </c>
      <c r="Z49" s="58">
        <v>103.6</v>
      </c>
      <c r="AA49" s="58">
        <v>103.6</v>
      </c>
      <c r="AB49" s="58">
        <v>103.6</v>
      </c>
      <c r="AC49" s="58">
        <v>103.6</v>
      </c>
      <c r="AD49" s="58">
        <v>103.6</v>
      </c>
      <c r="AE49" s="58">
        <v>103.6</v>
      </c>
      <c r="AF49" s="58">
        <v>103.6</v>
      </c>
      <c r="AG49" s="54">
        <v>240</v>
      </c>
      <c r="AH49" s="47">
        <f t="shared" si="2"/>
        <v>106.9</v>
      </c>
      <c r="AI49" s="48">
        <f t="shared" si="3"/>
        <v>100.8</v>
      </c>
      <c r="AK49" s="50"/>
    </row>
    <row r="50" spans="1:41" ht="15.75" thickBot="1" x14ac:dyDescent="0.3">
      <c r="A50" s="59" t="s">
        <v>58</v>
      </c>
      <c r="B50" s="60">
        <f>SUM(B11:B48)</f>
        <v>1078.7</v>
      </c>
      <c r="C50" s="60">
        <f>SUM(C11:C48)</f>
        <v>1039.5</v>
      </c>
      <c r="D50" s="60">
        <f t="shared" ref="D50:AF50" si="4">SUM(D11:D48)</f>
        <v>1017.6999999999999</v>
      </c>
      <c r="E50" s="60">
        <f t="shared" ref="E50:F50" si="5">SUM(E11:E48)</f>
        <v>1015.6</v>
      </c>
      <c r="F50" s="60">
        <f t="shared" si="5"/>
        <v>1018.6</v>
      </c>
      <c r="G50" s="60">
        <f t="shared" si="4"/>
        <v>1018.6</v>
      </c>
      <c r="H50" s="60">
        <f t="shared" si="4"/>
        <v>1047.7</v>
      </c>
      <c r="I50" s="60">
        <f t="shared" si="4"/>
        <v>1043.7</v>
      </c>
      <c r="J50" s="60">
        <f t="shared" si="4"/>
        <v>1047.9000000000001</v>
      </c>
      <c r="K50" s="60">
        <f t="shared" si="4"/>
        <v>1047.9000000000001</v>
      </c>
      <c r="L50" s="60">
        <f t="shared" si="4"/>
        <v>1053.9000000000001</v>
      </c>
      <c r="M50" s="60">
        <f t="shared" si="4"/>
        <v>1055.3</v>
      </c>
      <c r="N50" s="60">
        <f t="shared" si="4"/>
        <v>1011.3</v>
      </c>
      <c r="O50" s="60">
        <f t="shared" si="4"/>
        <v>1018.9</v>
      </c>
      <c r="P50" s="60">
        <f t="shared" si="4"/>
        <v>1067.4000000000001</v>
      </c>
      <c r="Q50" s="60">
        <f t="shared" ref="Q50:R50" si="6">SUM(Q11:Q48)</f>
        <v>1072.5999999999999</v>
      </c>
      <c r="R50" s="60">
        <f t="shared" si="6"/>
        <v>1072.5999999999999</v>
      </c>
      <c r="S50" s="60">
        <f t="shared" si="4"/>
        <v>1073.5999999999999</v>
      </c>
      <c r="T50" s="60">
        <f t="shared" ref="T50:U50" si="7">SUM(T11:T48)</f>
        <v>1078.9000000000001</v>
      </c>
      <c r="U50" s="60">
        <f t="shared" si="7"/>
        <v>1078.9000000000001</v>
      </c>
      <c r="V50" s="60">
        <f t="shared" ref="V50:Y50" si="8">SUM(V11:V48)</f>
        <v>1078</v>
      </c>
      <c r="W50" s="60">
        <f t="shared" si="8"/>
        <v>1070</v>
      </c>
      <c r="X50" s="60">
        <f t="shared" si="8"/>
        <v>1088</v>
      </c>
      <c r="Y50" s="60">
        <f t="shared" si="8"/>
        <v>1096</v>
      </c>
      <c r="Z50" s="60">
        <f t="shared" si="4"/>
        <v>1124</v>
      </c>
      <c r="AA50" s="60">
        <f t="shared" si="4"/>
        <v>1129</v>
      </c>
      <c r="AB50" s="60">
        <f t="shared" ref="AB50" si="9">SUM(AB11:AB48)</f>
        <v>1113.1999999999998</v>
      </c>
      <c r="AC50" s="60">
        <f t="shared" si="4"/>
        <v>1113.1999999999998</v>
      </c>
      <c r="AD50" s="60">
        <f t="shared" si="4"/>
        <v>1062.45</v>
      </c>
      <c r="AE50" s="60">
        <f t="shared" si="4"/>
        <v>1062.45</v>
      </c>
      <c r="AF50" s="60">
        <f t="shared" si="4"/>
        <v>987.69999999999993</v>
      </c>
      <c r="AG50" s="61">
        <f>SUM(AG13:AG48)</f>
        <v>922.14</v>
      </c>
      <c r="AH50" s="47">
        <f t="shared" si="2"/>
        <v>1129</v>
      </c>
      <c r="AI50" s="48">
        <f t="shared" si="3"/>
        <v>987.69999999999993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54</v>
      </c>
      <c r="D52" s="64">
        <v>54</v>
      </c>
      <c r="E52" s="64">
        <v>54</v>
      </c>
      <c r="F52" s="64">
        <v>54</v>
      </c>
      <c r="G52" s="64">
        <v>54</v>
      </c>
      <c r="H52" s="64">
        <v>54</v>
      </c>
      <c r="I52" s="64">
        <v>54</v>
      </c>
      <c r="J52" s="64">
        <v>54</v>
      </c>
      <c r="K52" s="64">
        <v>54</v>
      </c>
      <c r="L52" s="64">
        <v>54</v>
      </c>
      <c r="M52" s="64">
        <v>54</v>
      </c>
      <c r="N52" s="64">
        <v>54</v>
      </c>
      <c r="O52" s="64">
        <v>54</v>
      </c>
      <c r="P52" s="64">
        <v>54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54</v>
      </c>
      <c r="AK52" s="50"/>
    </row>
    <row r="53" spans="1:41" ht="15.75" thickBot="1" x14ac:dyDescent="0.3">
      <c r="A53" s="65" t="s">
        <v>61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22.4</v>
      </c>
      <c r="N53" s="66">
        <v>22.4</v>
      </c>
      <c r="O53" s="66">
        <v>22.4</v>
      </c>
      <c r="P53" s="66">
        <v>22.4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22.4</v>
      </c>
      <c r="AK53" s="50"/>
    </row>
    <row r="54" spans="1:41" ht="15.75" thickBot="1" x14ac:dyDescent="0.3">
      <c r="A54" s="68" t="s">
        <v>62</v>
      </c>
      <c r="B54" s="60">
        <f>SUM(B51:B53)</f>
        <v>533.4</v>
      </c>
      <c r="C54" s="60">
        <f t="shared" ref="C54:AG54" si="10">SUM(C51:C53)</f>
        <v>532.4</v>
      </c>
      <c r="D54" s="60">
        <f t="shared" si="10"/>
        <v>532.4</v>
      </c>
      <c r="E54" s="60">
        <f t="shared" si="10"/>
        <v>532.4</v>
      </c>
      <c r="F54" s="60">
        <f t="shared" si="10"/>
        <v>532.4</v>
      </c>
      <c r="G54" s="60">
        <f t="shared" si="10"/>
        <v>532.4</v>
      </c>
      <c r="H54" s="60">
        <f t="shared" si="10"/>
        <v>532.4</v>
      </c>
      <c r="I54" s="60">
        <f t="shared" si="10"/>
        <v>532.4</v>
      </c>
      <c r="J54" s="60">
        <f t="shared" si="10"/>
        <v>532.4</v>
      </c>
      <c r="K54" s="60">
        <f t="shared" si="10"/>
        <v>532.4</v>
      </c>
      <c r="L54" s="60">
        <f t="shared" si="10"/>
        <v>532.4</v>
      </c>
      <c r="M54" s="60">
        <f t="shared" si="10"/>
        <v>532.4</v>
      </c>
      <c r="N54" s="60">
        <f t="shared" si="10"/>
        <v>532.4</v>
      </c>
      <c r="O54" s="60">
        <f t="shared" si="10"/>
        <v>532.4</v>
      </c>
      <c r="P54" s="60">
        <f t="shared" si="10"/>
        <v>532.4</v>
      </c>
      <c r="Q54" s="60">
        <f t="shared" ref="Q54:R54" si="11">SUM(Q51:Q53)</f>
        <v>533.5</v>
      </c>
      <c r="R54" s="60">
        <f t="shared" si="11"/>
        <v>533.5</v>
      </c>
      <c r="S54" s="60">
        <f t="shared" si="10"/>
        <v>533.5</v>
      </c>
      <c r="T54" s="60">
        <f t="shared" ref="T54:U54" si="12">SUM(T51:T53)</f>
        <v>533.5</v>
      </c>
      <c r="U54" s="60">
        <f t="shared" si="12"/>
        <v>533.5</v>
      </c>
      <c r="V54" s="60">
        <f t="shared" ref="V54:Y54" si="13">SUM(V51:V53)</f>
        <v>533.5</v>
      </c>
      <c r="W54" s="60">
        <f t="shared" si="13"/>
        <v>533.5</v>
      </c>
      <c r="X54" s="60">
        <f t="shared" si="13"/>
        <v>533.5</v>
      </c>
      <c r="Y54" s="60">
        <f t="shared" si="13"/>
        <v>533.5</v>
      </c>
      <c r="Z54" s="60">
        <f t="shared" si="10"/>
        <v>533.5</v>
      </c>
      <c r="AA54" s="60">
        <f t="shared" si="10"/>
        <v>533.5</v>
      </c>
      <c r="AB54" s="60">
        <f t="shared" si="10"/>
        <v>533.5</v>
      </c>
      <c r="AC54" s="60">
        <f t="shared" si="10"/>
        <v>533.5</v>
      </c>
      <c r="AD54" s="60">
        <f t="shared" si="10"/>
        <v>533.5</v>
      </c>
      <c r="AE54" s="60">
        <f t="shared" si="10"/>
        <v>533.5</v>
      </c>
      <c r="AF54" s="60">
        <f t="shared" si="10"/>
        <v>533.5</v>
      </c>
      <c r="AG54" s="61">
        <f t="shared" si="10"/>
        <v>538.1</v>
      </c>
      <c r="AH54" s="47">
        <f t="shared" si="2"/>
        <v>533.5</v>
      </c>
      <c r="AI54" s="48">
        <f t="shared" si="3"/>
        <v>532.4</v>
      </c>
      <c r="AK54" s="50"/>
    </row>
    <row r="55" spans="1:41" x14ac:dyDescent="0.25">
      <c r="A55" s="44" t="s">
        <v>63</v>
      </c>
      <c r="B55" s="45">
        <v>135</v>
      </c>
      <c r="C55" s="45">
        <v>134.9</v>
      </c>
      <c r="D55" s="45">
        <v>134.9</v>
      </c>
      <c r="E55" s="45">
        <v>134.9</v>
      </c>
      <c r="F55" s="45">
        <v>134.9</v>
      </c>
      <c r="G55" s="45">
        <v>133.6</v>
      </c>
      <c r="H55" s="45">
        <v>133.6</v>
      </c>
      <c r="I55" s="45">
        <v>133.6</v>
      </c>
      <c r="J55" s="45">
        <v>133.6</v>
      </c>
      <c r="K55" s="45">
        <v>125.35</v>
      </c>
      <c r="L55" s="45">
        <v>133.5</v>
      </c>
      <c r="M55" s="45">
        <v>133.5</v>
      </c>
      <c r="N55" s="45">
        <v>133.5</v>
      </c>
      <c r="O55" s="45">
        <v>133.5</v>
      </c>
      <c r="P55" s="45">
        <v>133.80000000000001</v>
      </c>
      <c r="Q55" s="45">
        <v>133.80000000000001</v>
      </c>
      <c r="R55" s="45">
        <v>134.9</v>
      </c>
      <c r="S55" s="45">
        <v>134.9</v>
      </c>
      <c r="T55" s="45">
        <v>134.4</v>
      </c>
      <c r="U55" s="45">
        <v>134.69999999999999</v>
      </c>
      <c r="V55" s="45">
        <v>135.1</v>
      </c>
      <c r="W55" s="45">
        <v>135.1</v>
      </c>
      <c r="X55" s="45">
        <v>135.1</v>
      </c>
      <c r="Y55" s="45">
        <v>135.1</v>
      </c>
      <c r="Z55" s="45">
        <v>135.6</v>
      </c>
      <c r="AA55" s="45">
        <v>135.6</v>
      </c>
      <c r="AB55" s="45">
        <v>134.4</v>
      </c>
      <c r="AC55" s="45">
        <v>134.4</v>
      </c>
      <c r="AD55" s="45">
        <v>135.5</v>
      </c>
      <c r="AE55" s="45">
        <v>135.5</v>
      </c>
      <c r="AF55" s="45">
        <v>135.5</v>
      </c>
      <c r="AG55" s="51">
        <v>144</v>
      </c>
      <c r="AH55" s="47">
        <f t="shared" si="2"/>
        <v>135.6</v>
      </c>
      <c r="AI55" s="48">
        <f t="shared" si="3"/>
        <v>125.35</v>
      </c>
      <c r="AK55" s="50"/>
    </row>
    <row r="56" spans="1:41" x14ac:dyDescent="0.25">
      <c r="A56" s="53" t="s">
        <v>64</v>
      </c>
      <c r="B56" s="64">
        <v>70.5</v>
      </c>
      <c r="C56" s="64">
        <v>71.599999999999994</v>
      </c>
      <c r="D56" s="64">
        <v>71.599999999999994</v>
      </c>
      <c r="E56" s="64">
        <v>70</v>
      </c>
      <c r="F56" s="64">
        <v>71.599999999999994</v>
      </c>
      <c r="G56" s="64">
        <v>70.8</v>
      </c>
      <c r="H56" s="64">
        <v>70.8</v>
      </c>
      <c r="I56" s="64">
        <v>70.8</v>
      </c>
      <c r="J56" s="64">
        <v>70.8</v>
      </c>
      <c r="K56" s="64">
        <v>68.599999999999994</v>
      </c>
      <c r="L56" s="64">
        <v>70.2</v>
      </c>
      <c r="M56" s="64">
        <v>70.2</v>
      </c>
      <c r="N56" s="64">
        <v>70.2</v>
      </c>
      <c r="O56" s="64">
        <v>70.2</v>
      </c>
      <c r="P56" s="64">
        <v>69.900000000000006</v>
      </c>
      <c r="Q56" s="64">
        <v>70.099999999999994</v>
      </c>
      <c r="R56" s="64">
        <v>62</v>
      </c>
      <c r="S56" s="64">
        <v>70.8</v>
      </c>
      <c r="T56" s="64">
        <v>65.3</v>
      </c>
      <c r="U56" s="64">
        <v>69.3</v>
      </c>
      <c r="V56" s="64">
        <v>60</v>
      </c>
      <c r="W56" s="64">
        <v>60</v>
      </c>
      <c r="X56" s="64">
        <v>60</v>
      </c>
      <c r="Y56" s="64">
        <v>60</v>
      </c>
      <c r="Z56" s="45">
        <v>69.099999999999994</v>
      </c>
      <c r="AA56" s="45">
        <v>69.099999999999994</v>
      </c>
      <c r="AB56" s="45">
        <v>70</v>
      </c>
      <c r="AC56" s="45">
        <v>70</v>
      </c>
      <c r="AD56" s="45">
        <v>69.400000000000006</v>
      </c>
      <c r="AE56" s="45">
        <v>69.400000000000006</v>
      </c>
      <c r="AF56" s="45">
        <v>69.400000000000006</v>
      </c>
      <c r="AG56" s="54">
        <v>70</v>
      </c>
      <c r="AH56" s="47">
        <f t="shared" si="2"/>
        <v>71.599999999999994</v>
      </c>
      <c r="AI56" s="48">
        <f t="shared" si="3"/>
        <v>60</v>
      </c>
      <c r="AK56" s="50"/>
    </row>
    <row r="57" spans="1:41" x14ac:dyDescent="0.25">
      <c r="A57" s="53" t="s">
        <v>65</v>
      </c>
      <c r="B57" s="64">
        <v>64</v>
      </c>
      <c r="C57" s="64">
        <v>63.9</v>
      </c>
      <c r="D57" s="64">
        <v>63.9</v>
      </c>
      <c r="E57" s="64">
        <v>64.2</v>
      </c>
      <c r="F57" s="64">
        <v>63.9</v>
      </c>
      <c r="G57" s="64">
        <v>62.7</v>
      </c>
      <c r="H57" s="64">
        <v>62.7</v>
      </c>
      <c r="I57" s="64">
        <v>62.7</v>
      </c>
      <c r="J57" s="64">
        <v>62.7</v>
      </c>
      <c r="K57" s="64">
        <v>58.2</v>
      </c>
      <c r="L57" s="64">
        <v>63.4</v>
      </c>
      <c r="M57" s="64">
        <v>63.4</v>
      </c>
      <c r="N57" s="64">
        <v>54.5</v>
      </c>
      <c r="O57" s="64">
        <v>54.5</v>
      </c>
      <c r="P57" s="64">
        <v>63.8</v>
      </c>
      <c r="Q57" s="64">
        <v>64</v>
      </c>
      <c r="R57" s="64">
        <v>49.3</v>
      </c>
      <c r="S57" s="64">
        <v>49.3</v>
      </c>
      <c r="T57" s="64">
        <v>60.1</v>
      </c>
      <c r="U57" s="64">
        <v>60.3</v>
      </c>
      <c r="V57" s="64">
        <v>52.9</v>
      </c>
      <c r="W57" s="64">
        <v>52.9</v>
      </c>
      <c r="X57" s="64">
        <v>52.9</v>
      </c>
      <c r="Y57" s="64">
        <v>52.9</v>
      </c>
      <c r="Z57" s="45">
        <v>63.4</v>
      </c>
      <c r="AA57" s="45">
        <v>63.4</v>
      </c>
      <c r="AB57" s="45">
        <v>64.400000000000006</v>
      </c>
      <c r="AC57" s="45">
        <v>64.400000000000006</v>
      </c>
      <c r="AD57" s="45">
        <v>64.5</v>
      </c>
      <c r="AE57" s="45">
        <v>64.5</v>
      </c>
      <c r="AF57" s="45">
        <v>64.5</v>
      </c>
      <c r="AG57" s="54">
        <v>69</v>
      </c>
      <c r="AH57" s="47">
        <f t="shared" si="2"/>
        <v>64.5</v>
      </c>
      <c r="AI57" s="48">
        <f t="shared" si="3"/>
        <v>49.3</v>
      </c>
      <c r="AK57" s="50"/>
    </row>
    <row r="58" spans="1:41" x14ac:dyDescent="0.25">
      <c r="A58" s="53" t="s">
        <v>66</v>
      </c>
      <c r="B58" s="64">
        <v>30.5</v>
      </c>
      <c r="C58" s="64">
        <v>30.5</v>
      </c>
      <c r="D58" s="64">
        <v>30.5</v>
      </c>
      <c r="E58" s="64">
        <v>30.5</v>
      </c>
      <c r="F58" s="64">
        <v>30.5</v>
      </c>
      <c r="G58" s="64">
        <v>30.5</v>
      </c>
      <c r="H58" s="64">
        <v>30.5</v>
      </c>
      <c r="I58" s="64">
        <v>30.5</v>
      </c>
      <c r="J58" s="64">
        <v>30.5</v>
      </c>
      <c r="K58" s="64">
        <v>30.5</v>
      </c>
      <c r="L58" s="64">
        <v>30.5</v>
      </c>
      <c r="M58" s="64">
        <v>30.5</v>
      </c>
      <c r="N58" s="64">
        <v>28.7</v>
      </c>
      <c r="O58" s="64">
        <v>28.7</v>
      </c>
      <c r="P58" s="64">
        <v>30</v>
      </c>
      <c r="Q58" s="64">
        <v>28.9</v>
      </c>
      <c r="R58" s="64">
        <v>20.7</v>
      </c>
      <c r="S58" s="64">
        <v>20.7</v>
      </c>
      <c r="T58" s="64">
        <v>22.3</v>
      </c>
      <c r="U58" s="64">
        <v>29.7</v>
      </c>
      <c r="V58" s="64">
        <v>25.7</v>
      </c>
      <c r="W58" s="64">
        <v>25.7</v>
      </c>
      <c r="X58" s="64">
        <v>25.7</v>
      </c>
      <c r="Y58" s="64">
        <v>25.7</v>
      </c>
      <c r="Z58" s="45">
        <v>61.3</v>
      </c>
      <c r="AA58" s="45">
        <v>61.3</v>
      </c>
      <c r="AB58" s="45">
        <v>60.9</v>
      </c>
      <c r="AC58" s="45">
        <v>60.9</v>
      </c>
      <c r="AD58" s="45">
        <v>60.9</v>
      </c>
      <c r="AE58" s="45">
        <v>60.9</v>
      </c>
      <c r="AF58" s="45">
        <v>60.9</v>
      </c>
      <c r="AG58" s="54">
        <v>60</v>
      </c>
      <c r="AH58" s="47">
        <f t="shared" si="2"/>
        <v>61.3</v>
      </c>
      <c r="AI58" s="48">
        <f t="shared" si="3"/>
        <v>20.7</v>
      </c>
      <c r="AK58" s="50"/>
    </row>
    <row r="59" spans="1:41" x14ac:dyDescent="0.25">
      <c r="A59" s="53" t="s">
        <v>67</v>
      </c>
      <c r="B59" s="64">
        <v>15</v>
      </c>
      <c r="C59" s="64">
        <v>15</v>
      </c>
      <c r="D59" s="64">
        <v>15</v>
      </c>
      <c r="E59" s="64">
        <v>15</v>
      </c>
      <c r="F59" s="64">
        <v>15</v>
      </c>
      <c r="G59" s="64">
        <v>15</v>
      </c>
      <c r="H59" s="64">
        <v>15</v>
      </c>
      <c r="I59" s="64">
        <v>15</v>
      </c>
      <c r="J59" s="64">
        <v>15</v>
      </c>
      <c r="K59" s="64">
        <v>15</v>
      </c>
      <c r="L59" s="64">
        <v>15</v>
      </c>
      <c r="M59" s="64">
        <v>15</v>
      </c>
      <c r="N59" s="64">
        <v>15</v>
      </c>
      <c r="O59" s="64">
        <v>15</v>
      </c>
      <c r="P59" s="64">
        <v>15</v>
      </c>
      <c r="Q59" s="64">
        <v>15</v>
      </c>
      <c r="R59" s="64">
        <v>0</v>
      </c>
      <c r="S59" s="64">
        <v>0</v>
      </c>
      <c r="T59" s="64">
        <v>0</v>
      </c>
      <c r="U59" s="64">
        <v>15</v>
      </c>
      <c r="V59" s="64">
        <v>15</v>
      </c>
      <c r="W59" s="64">
        <v>15</v>
      </c>
      <c r="X59" s="64">
        <v>15</v>
      </c>
      <c r="Y59" s="64">
        <v>15</v>
      </c>
      <c r="Z59" s="64">
        <v>15</v>
      </c>
      <c r="AA59" s="64">
        <v>15</v>
      </c>
      <c r="AB59" s="45">
        <v>15</v>
      </c>
      <c r="AC59" s="45">
        <v>15</v>
      </c>
      <c r="AD59" s="45">
        <v>15</v>
      </c>
      <c r="AE59" s="45">
        <v>15</v>
      </c>
      <c r="AF59" s="45">
        <v>15</v>
      </c>
      <c r="AG59" s="54">
        <v>30</v>
      </c>
      <c r="AH59" s="47">
        <f t="shared" si="2"/>
        <v>15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2.2999999999999998</v>
      </c>
      <c r="M60" s="64">
        <v>2.2999999999999998</v>
      </c>
      <c r="N60" s="64">
        <v>6</v>
      </c>
      <c r="O60" s="64">
        <v>6</v>
      </c>
      <c r="P60" s="64">
        <v>5</v>
      </c>
      <c r="Q60" s="64">
        <v>6.2</v>
      </c>
      <c r="R60" s="64">
        <v>5.6</v>
      </c>
      <c r="S60" s="64">
        <v>5.6</v>
      </c>
      <c r="T60" s="64">
        <v>3.8</v>
      </c>
      <c r="U60" s="64">
        <v>2.7</v>
      </c>
      <c r="V60" s="64">
        <v>1.8</v>
      </c>
      <c r="W60" s="64">
        <v>1.8</v>
      </c>
      <c r="X60" s="64">
        <v>1.8</v>
      </c>
      <c r="Y60" s="64">
        <v>1.8</v>
      </c>
      <c r="Z60" s="64">
        <v>1.8</v>
      </c>
      <c r="AA60" s="64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6.2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3.1</v>
      </c>
      <c r="C62" s="64">
        <v>3.1</v>
      </c>
      <c r="D62" s="64">
        <v>3.1</v>
      </c>
      <c r="E62" s="64">
        <v>3.1</v>
      </c>
      <c r="F62" s="64">
        <v>3.1</v>
      </c>
      <c r="G62" s="64">
        <v>3.1</v>
      </c>
      <c r="H62" s="64">
        <v>3.1</v>
      </c>
      <c r="I62" s="64">
        <v>3.1</v>
      </c>
      <c r="J62" s="64">
        <v>3.1</v>
      </c>
      <c r="K62" s="64">
        <v>3.1</v>
      </c>
      <c r="L62" s="64">
        <v>3.1</v>
      </c>
      <c r="M62" s="64">
        <v>3.1</v>
      </c>
      <c r="N62" s="64">
        <v>3.1</v>
      </c>
      <c r="O62" s="64">
        <v>3.1</v>
      </c>
      <c r="P62" s="64">
        <v>3.1</v>
      </c>
      <c r="Q62" s="64">
        <v>0</v>
      </c>
      <c r="R62" s="64">
        <v>0</v>
      </c>
      <c r="S62" s="64">
        <v>0</v>
      </c>
      <c r="T62" s="64">
        <v>5.0999999999999996</v>
      </c>
      <c r="U62" s="64">
        <v>5.0999999999999996</v>
      </c>
      <c r="V62" s="64">
        <v>5.0999999999999996</v>
      </c>
      <c r="W62" s="64">
        <v>5.0999999999999996</v>
      </c>
      <c r="X62" s="64">
        <v>5.0999999999999996</v>
      </c>
      <c r="Y62" s="64">
        <v>5.0999999999999996</v>
      </c>
      <c r="Z62" s="64">
        <v>5.0999999999999996</v>
      </c>
      <c r="AA62" s="64">
        <v>5.0999999999999996</v>
      </c>
      <c r="AB62" s="64">
        <v>5.0999999999999996</v>
      </c>
      <c r="AC62" s="64">
        <v>5.0999999999999996</v>
      </c>
      <c r="AD62" s="64">
        <v>5.0999999999999996</v>
      </c>
      <c r="AE62" s="64">
        <v>5.0999999999999996</v>
      </c>
      <c r="AF62" s="64">
        <v>5.0999999999999996</v>
      </c>
      <c r="AG62" s="54">
        <v>15</v>
      </c>
      <c r="AH62" s="47">
        <f t="shared" si="2"/>
        <v>5.0999999999999996</v>
      </c>
      <c r="AI62" s="48">
        <f t="shared" si="3"/>
        <v>0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12.1</v>
      </c>
      <c r="C63" s="64">
        <v>11.8</v>
      </c>
      <c r="D63" s="64">
        <v>11.8</v>
      </c>
      <c r="E63" s="64">
        <v>11.8</v>
      </c>
      <c r="F63" s="64">
        <v>11.8</v>
      </c>
      <c r="G63" s="64">
        <v>11.8</v>
      </c>
      <c r="H63" s="64">
        <v>11.8</v>
      </c>
      <c r="I63" s="64">
        <v>11.8</v>
      </c>
      <c r="J63" s="64">
        <v>11.8</v>
      </c>
      <c r="K63" s="64">
        <v>11.8</v>
      </c>
      <c r="L63" s="64">
        <v>11.8</v>
      </c>
      <c r="M63" s="64">
        <v>11.8</v>
      </c>
      <c r="N63" s="64">
        <v>10.7</v>
      </c>
      <c r="O63" s="64">
        <v>10.7</v>
      </c>
      <c r="P63" s="64">
        <v>10.7</v>
      </c>
      <c r="Q63" s="64">
        <v>9.1999999999999993</v>
      </c>
      <c r="R63" s="64">
        <v>8</v>
      </c>
      <c r="S63" s="64">
        <v>8</v>
      </c>
      <c r="T63" s="64">
        <v>11.4</v>
      </c>
      <c r="U63" s="64">
        <v>11.1</v>
      </c>
      <c r="V63" s="64">
        <v>11</v>
      </c>
      <c r="W63" s="64">
        <v>11</v>
      </c>
      <c r="X63" s="64">
        <v>11</v>
      </c>
      <c r="Y63" s="64">
        <v>11</v>
      </c>
      <c r="Z63" s="64">
        <v>11</v>
      </c>
      <c r="AA63" s="64">
        <v>11</v>
      </c>
      <c r="AB63" s="64">
        <v>11</v>
      </c>
      <c r="AC63" s="64">
        <v>11</v>
      </c>
      <c r="AD63" s="64">
        <v>11</v>
      </c>
      <c r="AE63" s="64">
        <v>11</v>
      </c>
      <c r="AF63" s="64">
        <v>11</v>
      </c>
      <c r="AG63" s="54">
        <v>14.1</v>
      </c>
      <c r="AH63" s="47">
        <f t="shared" si="2"/>
        <v>12.1</v>
      </c>
      <c r="AI63" s="48">
        <f t="shared" si="3"/>
        <v>8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11.9</v>
      </c>
      <c r="C64" s="64">
        <v>11.4</v>
      </c>
      <c r="D64" s="64">
        <v>11.4</v>
      </c>
      <c r="E64" s="64">
        <v>4</v>
      </c>
      <c r="F64" s="64">
        <v>8.8000000000000007</v>
      </c>
      <c r="G64" s="64">
        <v>12</v>
      </c>
      <c r="H64" s="64">
        <v>12</v>
      </c>
      <c r="I64" s="64">
        <v>12</v>
      </c>
      <c r="J64" s="64">
        <v>12</v>
      </c>
      <c r="K64" s="64">
        <v>12</v>
      </c>
      <c r="L64" s="64">
        <v>12</v>
      </c>
      <c r="M64" s="64">
        <v>12</v>
      </c>
      <c r="N64" s="64">
        <v>4.3</v>
      </c>
      <c r="O64" s="64">
        <v>4.3</v>
      </c>
      <c r="P64" s="64">
        <v>4.3</v>
      </c>
      <c r="Q64" s="64">
        <v>13.8</v>
      </c>
      <c r="R64" s="64">
        <v>13.8</v>
      </c>
      <c r="S64" s="64">
        <v>13.8</v>
      </c>
      <c r="T64" s="64">
        <v>13.8</v>
      </c>
      <c r="U64" s="64">
        <v>13.8</v>
      </c>
      <c r="V64" s="64">
        <v>3.9</v>
      </c>
      <c r="W64" s="64">
        <v>3.9</v>
      </c>
      <c r="X64" s="64">
        <v>3.9</v>
      </c>
      <c r="Y64" s="64">
        <v>3.9</v>
      </c>
      <c r="Z64" s="64">
        <v>3.9</v>
      </c>
      <c r="AA64" s="64">
        <v>3.9</v>
      </c>
      <c r="AB64" s="64">
        <v>7</v>
      </c>
      <c r="AC64" s="64">
        <v>7</v>
      </c>
      <c r="AD64" s="64">
        <v>3.9</v>
      </c>
      <c r="AE64" s="64">
        <v>2</v>
      </c>
      <c r="AF64" s="64">
        <v>2</v>
      </c>
      <c r="AG64" s="54">
        <v>14</v>
      </c>
      <c r="AH64" s="47">
        <f t="shared" si="2"/>
        <v>13.8</v>
      </c>
      <c r="AI64" s="48">
        <f t="shared" si="3"/>
        <v>2</v>
      </c>
      <c r="AK64" s="50"/>
    </row>
    <row r="65" spans="1:40" x14ac:dyDescent="0.25">
      <c r="A65" s="53" t="s">
        <v>73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8.9</v>
      </c>
      <c r="R65" s="64">
        <v>8.9</v>
      </c>
      <c r="S65" s="64">
        <v>8.9</v>
      </c>
      <c r="T65" s="64">
        <v>8.9</v>
      </c>
      <c r="U65" s="64">
        <v>8.9</v>
      </c>
      <c r="V65" s="64">
        <v>8.9</v>
      </c>
      <c r="W65" s="64">
        <v>8.9</v>
      </c>
      <c r="X65" s="64">
        <v>8.9</v>
      </c>
      <c r="Y65" s="64">
        <v>8.9</v>
      </c>
      <c r="Z65" s="64">
        <v>8.9</v>
      </c>
      <c r="AA65" s="64">
        <v>8.9</v>
      </c>
      <c r="AB65" s="64">
        <v>8.9</v>
      </c>
      <c r="AC65" s="64">
        <v>8.9</v>
      </c>
      <c r="AD65" s="64">
        <v>8.9</v>
      </c>
      <c r="AE65" s="64">
        <v>8.9</v>
      </c>
      <c r="AF65" s="64">
        <v>8.9</v>
      </c>
      <c r="AG65" s="54">
        <v>10.050000000000001</v>
      </c>
      <c r="AH65" s="47">
        <f t="shared" si="2"/>
        <v>9.5</v>
      </c>
      <c r="AI65" s="48">
        <f t="shared" si="3"/>
        <v>0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>SUM(B55:B67)</f>
        <v>376.34000000000003</v>
      </c>
      <c r="C68" s="60">
        <f t="shared" ref="C68:AG68" si="14">SUM(C55:C67)</f>
        <v>376.44</v>
      </c>
      <c r="D68" s="60">
        <f t="shared" si="14"/>
        <v>376.44</v>
      </c>
      <c r="E68" s="60">
        <f t="shared" si="14"/>
        <v>367.74000000000007</v>
      </c>
      <c r="F68" s="60">
        <f t="shared" si="14"/>
        <v>373.84000000000003</v>
      </c>
      <c r="G68" s="60">
        <f t="shared" si="14"/>
        <v>373.74</v>
      </c>
      <c r="H68" s="60">
        <f t="shared" si="14"/>
        <v>373.74</v>
      </c>
      <c r="I68" s="60">
        <f t="shared" si="14"/>
        <v>373.74</v>
      </c>
      <c r="J68" s="60">
        <f t="shared" si="14"/>
        <v>373.74</v>
      </c>
      <c r="K68" s="60">
        <f t="shared" si="14"/>
        <v>358.79</v>
      </c>
      <c r="L68" s="60">
        <f t="shared" si="14"/>
        <v>366.54</v>
      </c>
      <c r="M68" s="60">
        <f t="shared" si="14"/>
        <v>366.54</v>
      </c>
      <c r="N68" s="60">
        <f t="shared" si="14"/>
        <v>350.74</v>
      </c>
      <c r="O68" s="60">
        <f t="shared" si="14"/>
        <v>350.74</v>
      </c>
      <c r="P68" s="60">
        <f t="shared" si="14"/>
        <v>360.34000000000003</v>
      </c>
      <c r="Q68" s="60">
        <f t="shared" si="14"/>
        <v>374.63999999999993</v>
      </c>
      <c r="R68" s="60">
        <f t="shared" ref="R68" si="15">SUM(R55:R67)</f>
        <v>327.94</v>
      </c>
      <c r="S68" s="60">
        <f t="shared" si="14"/>
        <v>336.74</v>
      </c>
      <c r="T68" s="60">
        <f t="shared" ref="T68:U68" si="16">SUM(T55:T67)</f>
        <v>349.84000000000003</v>
      </c>
      <c r="U68" s="60">
        <f t="shared" si="16"/>
        <v>375.34000000000003</v>
      </c>
      <c r="V68" s="60">
        <f t="shared" ref="V68" si="17">SUM(V55:V67)</f>
        <v>344.14</v>
      </c>
      <c r="W68" s="60">
        <f t="shared" si="14"/>
        <v>344.14</v>
      </c>
      <c r="X68" s="60">
        <f t="shared" si="14"/>
        <v>344.14</v>
      </c>
      <c r="Y68" s="60">
        <f t="shared" si="14"/>
        <v>344.14</v>
      </c>
      <c r="Z68" s="60">
        <f t="shared" si="14"/>
        <v>399.84</v>
      </c>
      <c r="AA68" s="60">
        <f t="shared" si="14"/>
        <v>398.03999999999996</v>
      </c>
      <c r="AB68" s="60">
        <f t="shared" si="14"/>
        <v>401.44</v>
      </c>
      <c r="AC68" s="60">
        <f t="shared" si="14"/>
        <v>401.44</v>
      </c>
      <c r="AD68" s="60">
        <f t="shared" si="14"/>
        <v>398.93999999999994</v>
      </c>
      <c r="AE68" s="60">
        <f t="shared" si="14"/>
        <v>397.03999999999996</v>
      </c>
      <c r="AF68" s="60">
        <f t="shared" si="14"/>
        <v>397.03999999999996</v>
      </c>
      <c r="AG68" s="61">
        <f t="shared" si="14"/>
        <v>489.91</v>
      </c>
      <c r="AH68" s="47">
        <f t="shared" si="2"/>
        <v>401.44</v>
      </c>
      <c r="AI68" s="48">
        <f t="shared" si="3"/>
        <v>327.94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 t="shared" ref="B72" si="18"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9">M69+M70+M71</f>
        <v>0</v>
      </c>
      <c r="N72" s="60">
        <f t="shared" si="19"/>
        <v>0</v>
      </c>
      <c r="O72" s="60">
        <f t="shared" si="19"/>
        <v>0</v>
      </c>
      <c r="P72" s="60">
        <f t="shared" si="19"/>
        <v>0</v>
      </c>
      <c r="Q72" s="60">
        <f t="shared" si="19"/>
        <v>0</v>
      </c>
      <c r="R72" s="60">
        <f t="shared" ref="R72" si="20">R69+R70+R71</f>
        <v>0</v>
      </c>
      <c r="S72" s="60">
        <f t="shared" si="19"/>
        <v>0</v>
      </c>
      <c r="T72" s="60">
        <f t="shared" ref="T72:U72" si="21">T69+T70+T71</f>
        <v>0</v>
      </c>
      <c r="U72" s="60">
        <f t="shared" si="21"/>
        <v>0</v>
      </c>
      <c r="V72" s="60">
        <f t="shared" ref="V72" si="22">V69+V70+V71</f>
        <v>0</v>
      </c>
      <c r="W72" s="60">
        <f t="shared" si="19"/>
        <v>0</v>
      </c>
      <c r="X72" s="60">
        <f t="shared" si="19"/>
        <v>0</v>
      </c>
      <c r="Y72" s="60">
        <f t="shared" si="19"/>
        <v>0</v>
      </c>
      <c r="Z72" s="60">
        <f t="shared" si="19"/>
        <v>0</v>
      </c>
      <c r="AA72" s="60">
        <f t="shared" si="19"/>
        <v>0</v>
      </c>
      <c r="AB72" s="60">
        <f t="shared" si="19"/>
        <v>0</v>
      </c>
      <c r="AC72" s="60">
        <f t="shared" si="19"/>
        <v>0</v>
      </c>
      <c r="AD72" s="60">
        <f t="shared" si="19"/>
        <v>0</v>
      </c>
      <c r="AE72" s="60">
        <f t="shared" si="19"/>
        <v>0</v>
      </c>
      <c r="AF72" s="60">
        <f t="shared" si="19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-15</v>
      </c>
      <c r="C73" s="45">
        <v>-12</v>
      </c>
      <c r="D73" s="45">
        <v>-20</v>
      </c>
      <c r="E73" s="45">
        <v>-11.5</v>
      </c>
      <c r="F73" s="45">
        <v>-15.9</v>
      </c>
      <c r="G73" s="45">
        <v>-25.9</v>
      </c>
      <c r="H73" s="45">
        <v>-24</v>
      </c>
      <c r="I73" s="45">
        <v>-22</v>
      </c>
      <c r="J73" s="45">
        <v>-20.6</v>
      </c>
      <c r="K73" s="45">
        <v>-27</v>
      </c>
      <c r="L73" s="45">
        <v>0</v>
      </c>
      <c r="M73" s="45">
        <v>-20.7</v>
      </c>
      <c r="N73" s="45">
        <v>-24.3</v>
      </c>
      <c r="O73" s="45">
        <v>-20.7</v>
      </c>
      <c r="P73" s="45">
        <v>-14.5</v>
      </c>
      <c r="Q73" s="45">
        <v>-7</v>
      </c>
      <c r="R73" s="45">
        <v>-11.3</v>
      </c>
      <c r="S73" s="45">
        <v>-35</v>
      </c>
      <c r="T73" s="45">
        <v>-33.6</v>
      </c>
      <c r="U73" s="45">
        <v>-12</v>
      </c>
      <c r="V73" s="45">
        <v>-10</v>
      </c>
      <c r="W73" s="45">
        <v>-2.4</v>
      </c>
      <c r="X73" s="45">
        <v>-3</v>
      </c>
      <c r="Y73" s="45">
        <v>-0.9</v>
      </c>
      <c r="Z73" s="45">
        <v>-0.9</v>
      </c>
      <c r="AA73" s="45">
        <v>-4</v>
      </c>
      <c r="AB73" s="45">
        <v>1.1000000000000001</v>
      </c>
      <c r="AC73" s="45">
        <v>7.8</v>
      </c>
      <c r="AD73" s="45">
        <v>-13.7</v>
      </c>
      <c r="AE73" s="45">
        <v>-7.3</v>
      </c>
      <c r="AF73" s="45">
        <v>1.5</v>
      </c>
      <c r="AG73" s="51"/>
      <c r="AH73" s="47">
        <f t="shared" si="2"/>
        <v>7.8</v>
      </c>
      <c r="AI73" s="48">
        <f t="shared" si="3"/>
        <v>-35</v>
      </c>
      <c r="AK73" s="50"/>
    </row>
    <row r="74" spans="1:40" x14ac:dyDescent="0.25">
      <c r="A74" s="53" t="s">
        <v>82</v>
      </c>
      <c r="B74" s="64">
        <v>0</v>
      </c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-344</v>
      </c>
      <c r="C75" s="64">
        <v>-332</v>
      </c>
      <c r="D75" s="64">
        <v>-340</v>
      </c>
      <c r="E75" s="64">
        <v>-369</v>
      </c>
      <c r="F75" s="64">
        <v>-390</v>
      </c>
      <c r="G75" s="64">
        <v>-387</v>
      </c>
      <c r="H75" s="64">
        <v>-450</v>
      </c>
      <c r="I75" s="64">
        <v>-425</v>
      </c>
      <c r="J75" s="64">
        <v>-360</v>
      </c>
      <c r="K75" s="64">
        <v>-361</v>
      </c>
      <c r="L75" s="64">
        <v>-331</v>
      </c>
      <c r="M75" s="64">
        <v>-331.3</v>
      </c>
      <c r="N75" s="64">
        <v>-323</v>
      </c>
      <c r="O75" s="64">
        <v>-283</v>
      </c>
      <c r="P75" s="64">
        <v>-292.7</v>
      </c>
      <c r="Q75" s="64">
        <v>-298</v>
      </c>
      <c r="R75" s="64">
        <v>-281.60000000000002</v>
      </c>
      <c r="S75" s="64">
        <v>-285</v>
      </c>
      <c r="T75" s="64">
        <v>-308.89999999999998</v>
      </c>
      <c r="U75" s="64">
        <v>-289.5</v>
      </c>
      <c r="V75" s="64">
        <v>-312.60000000000002</v>
      </c>
      <c r="W75" s="64">
        <v>-375</v>
      </c>
      <c r="X75" s="64">
        <v>-370</v>
      </c>
      <c r="Y75" s="64">
        <v>-340</v>
      </c>
      <c r="Z75" s="64">
        <v>-325</v>
      </c>
      <c r="AA75" s="64">
        <v>-320</v>
      </c>
      <c r="AB75" s="64">
        <v>-308</v>
      </c>
      <c r="AC75" s="64">
        <v>-270</v>
      </c>
      <c r="AD75" s="64">
        <v>-273</v>
      </c>
      <c r="AE75" s="64">
        <v>-390</v>
      </c>
      <c r="AF75" s="64">
        <v>-275</v>
      </c>
      <c r="AG75" s="74"/>
      <c r="AH75" s="47">
        <f t="shared" si="2"/>
        <v>-270</v>
      </c>
      <c r="AI75" s="48">
        <f t="shared" si="3"/>
        <v>-450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75"/>
      <c r="F76" s="75"/>
      <c r="G76" s="75"/>
      <c r="H76" s="75"/>
      <c r="I76" s="75"/>
      <c r="J76" s="75"/>
      <c r="K76" s="75"/>
      <c r="L76" s="75"/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64"/>
      <c r="E77" s="45"/>
      <c r="F77" s="45"/>
      <c r="G77" s="45"/>
      <c r="H77" s="45"/>
      <c r="I77" s="45"/>
      <c r="J77" s="45"/>
      <c r="K77" s="45"/>
      <c r="L77" s="45"/>
      <c r="M77" s="75">
        <v>0</v>
      </c>
      <c r="N77" s="75">
        <v>0</v>
      </c>
      <c r="O77" s="75">
        <v>0</v>
      </c>
      <c r="P77" s="75">
        <v>0</v>
      </c>
      <c r="Q77" s="75">
        <v>0</v>
      </c>
      <c r="R77" s="75">
        <v>0</v>
      </c>
      <c r="S77" s="75">
        <v>0</v>
      </c>
      <c r="T77" s="75">
        <v>0</v>
      </c>
      <c r="U77" s="75">
        <v>0</v>
      </c>
      <c r="V77" s="75">
        <v>0</v>
      </c>
      <c r="W77" s="75">
        <v>0</v>
      </c>
      <c r="X77" s="75">
        <v>0</v>
      </c>
      <c r="Y77" s="75">
        <v>0</v>
      </c>
      <c r="Z77" s="75">
        <v>0</v>
      </c>
      <c r="AA77" s="75">
        <v>0</v>
      </c>
      <c r="AB77" s="75">
        <v>0</v>
      </c>
      <c r="AC77" s="75">
        <v>0</v>
      </c>
      <c r="AD77" s="75">
        <v>0</v>
      </c>
      <c r="AE77" s="75">
        <v>0</v>
      </c>
      <c r="AF77" s="75">
        <v>0</v>
      </c>
      <c r="AG77" s="74"/>
      <c r="AH77" s="47">
        <f t="shared" ref="AH77:AH120" si="23">MAX(B77:AF77)</f>
        <v>0</v>
      </c>
      <c r="AI77" s="48">
        <f t="shared" ref="AI77:AI120" si="24">MIN(B77:AF77)</f>
        <v>0</v>
      </c>
      <c r="AK77" s="50"/>
    </row>
    <row r="78" spans="1:40" x14ac:dyDescent="0.25">
      <c r="A78" s="53" t="s">
        <v>86</v>
      </c>
      <c r="B78" s="45">
        <v>0</v>
      </c>
      <c r="C78" s="76"/>
      <c r="D78" s="64"/>
      <c r="E78" s="76"/>
      <c r="F78" s="76"/>
      <c r="G78" s="76"/>
      <c r="H78" s="76"/>
      <c r="I78" s="76"/>
      <c r="J78" s="76"/>
      <c r="K78" s="76"/>
      <c r="L78" s="76"/>
      <c r="M78" s="75">
        <v>0</v>
      </c>
      <c r="N78" s="75">
        <v>0</v>
      </c>
      <c r="O78" s="75">
        <v>0</v>
      </c>
      <c r="P78" s="75">
        <v>0</v>
      </c>
      <c r="Q78" s="75">
        <v>0</v>
      </c>
      <c r="R78" s="75">
        <v>0</v>
      </c>
      <c r="S78" s="75">
        <v>0</v>
      </c>
      <c r="T78" s="75">
        <v>0</v>
      </c>
      <c r="U78" s="75">
        <v>0</v>
      </c>
      <c r="V78" s="75">
        <v>0</v>
      </c>
      <c r="W78" s="75">
        <v>0</v>
      </c>
      <c r="X78" s="75">
        <v>0</v>
      </c>
      <c r="Y78" s="75">
        <v>0</v>
      </c>
      <c r="Z78" s="75">
        <v>0</v>
      </c>
      <c r="AA78" s="75">
        <v>0</v>
      </c>
      <c r="AB78" s="75">
        <v>0</v>
      </c>
      <c r="AC78" s="75">
        <v>0</v>
      </c>
      <c r="AD78" s="75">
        <v>0</v>
      </c>
      <c r="AE78" s="75">
        <v>0</v>
      </c>
      <c r="AF78" s="75">
        <v>0</v>
      </c>
      <c r="AG78" s="74"/>
      <c r="AH78" s="47">
        <f t="shared" si="23"/>
        <v>0</v>
      </c>
      <c r="AI78" s="48">
        <f t="shared" si="24"/>
        <v>0</v>
      </c>
      <c r="AK78" s="50"/>
    </row>
    <row r="79" spans="1:40" ht="15.75" thickBot="1" x14ac:dyDescent="0.3">
      <c r="A79" s="53" t="s">
        <v>87</v>
      </c>
      <c r="B79" s="45">
        <v>0</v>
      </c>
      <c r="C79" s="76"/>
      <c r="D79" s="64"/>
      <c r="E79" s="76"/>
      <c r="F79" s="76"/>
      <c r="G79" s="76"/>
      <c r="H79" s="76"/>
      <c r="I79" s="76"/>
      <c r="J79" s="76"/>
      <c r="K79" s="76"/>
      <c r="L79" s="76"/>
      <c r="M79" s="75">
        <v>0</v>
      </c>
      <c r="N79" s="75">
        <v>0</v>
      </c>
      <c r="O79" s="75">
        <v>0</v>
      </c>
      <c r="P79" s="75">
        <v>0</v>
      </c>
      <c r="Q79" s="75">
        <v>0</v>
      </c>
      <c r="R79" s="75">
        <v>0</v>
      </c>
      <c r="S79" s="75">
        <v>0</v>
      </c>
      <c r="T79" s="75">
        <v>0</v>
      </c>
      <c r="U79" s="75">
        <v>0</v>
      </c>
      <c r="V79" s="75">
        <v>0</v>
      </c>
      <c r="W79" s="75">
        <v>0</v>
      </c>
      <c r="X79" s="75">
        <v>0</v>
      </c>
      <c r="Y79" s="75">
        <v>0</v>
      </c>
      <c r="Z79" s="75">
        <v>0</v>
      </c>
      <c r="AA79" s="75">
        <v>0</v>
      </c>
      <c r="AB79" s="75">
        <v>0</v>
      </c>
      <c r="AC79" s="75">
        <v>0</v>
      </c>
      <c r="AD79" s="75">
        <v>0</v>
      </c>
      <c r="AE79" s="75">
        <v>0</v>
      </c>
      <c r="AF79" s="75">
        <v>0</v>
      </c>
      <c r="AG79" s="74"/>
      <c r="AH79" s="47">
        <f t="shared" si="23"/>
        <v>0</v>
      </c>
      <c r="AI79" s="48">
        <f t="shared" si="24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>
        <v>0</v>
      </c>
      <c r="C80" s="76"/>
      <c r="D80" s="64"/>
      <c r="E80" s="76"/>
      <c r="F80" s="76"/>
      <c r="G80" s="76"/>
      <c r="H80" s="76"/>
      <c r="I80" s="76"/>
      <c r="J80" s="76"/>
      <c r="K80" s="76"/>
      <c r="L80" s="76"/>
      <c r="M80" s="75">
        <v>0</v>
      </c>
      <c r="N80" s="75">
        <v>0</v>
      </c>
      <c r="O80" s="75">
        <v>0</v>
      </c>
      <c r="P80" s="75">
        <v>0</v>
      </c>
      <c r="Q80" s="75">
        <v>0</v>
      </c>
      <c r="R80" s="75">
        <v>0</v>
      </c>
      <c r="S80" s="75">
        <v>0</v>
      </c>
      <c r="T80" s="75">
        <v>0</v>
      </c>
      <c r="U80" s="75">
        <v>0</v>
      </c>
      <c r="V80" s="75">
        <v>0</v>
      </c>
      <c r="W80" s="75">
        <v>0</v>
      </c>
      <c r="X80" s="75">
        <v>0</v>
      </c>
      <c r="Y80" s="75">
        <v>0</v>
      </c>
      <c r="Z80" s="75">
        <v>0</v>
      </c>
      <c r="AA80" s="75">
        <v>0</v>
      </c>
      <c r="AB80" s="75">
        <v>0</v>
      </c>
      <c r="AC80" s="75">
        <v>0</v>
      </c>
      <c r="AD80" s="75">
        <v>0</v>
      </c>
      <c r="AE80" s="75">
        <v>0</v>
      </c>
      <c r="AF80" s="75">
        <v>0</v>
      </c>
      <c r="AG80" s="74"/>
      <c r="AH80" s="47">
        <f t="shared" si="23"/>
        <v>0</v>
      </c>
      <c r="AI80" s="48">
        <f t="shared" si="24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>
        <v>0</v>
      </c>
      <c r="C81" s="76"/>
      <c r="D81" s="64"/>
      <c r="E81" s="76"/>
      <c r="F81" s="76"/>
      <c r="G81" s="76"/>
      <c r="H81" s="76"/>
      <c r="I81" s="76"/>
      <c r="J81" s="76"/>
      <c r="K81" s="76"/>
      <c r="L81" s="76"/>
      <c r="M81" s="75">
        <v>0</v>
      </c>
      <c r="N81" s="75">
        <v>0</v>
      </c>
      <c r="O81" s="75">
        <v>0</v>
      </c>
      <c r="P81" s="75">
        <v>0</v>
      </c>
      <c r="Q81" s="75">
        <v>0</v>
      </c>
      <c r="R81" s="75">
        <v>0</v>
      </c>
      <c r="S81" s="75">
        <v>0</v>
      </c>
      <c r="T81" s="75">
        <v>0</v>
      </c>
      <c r="U81" s="75">
        <v>0</v>
      </c>
      <c r="V81" s="75">
        <v>0</v>
      </c>
      <c r="W81" s="75">
        <v>0</v>
      </c>
      <c r="X81" s="75">
        <v>0</v>
      </c>
      <c r="Y81" s="75">
        <v>0</v>
      </c>
      <c r="Z81" s="75">
        <v>0</v>
      </c>
      <c r="AA81" s="75">
        <v>0</v>
      </c>
      <c r="AB81" s="75">
        <v>0</v>
      </c>
      <c r="AC81" s="75">
        <v>0</v>
      </c>
      <c r="AD81" s="75">
        <v>0</v>
      </c>
      <c r="AE81" s="75">
        <v>0</v>
      </c>
      <c r="AF81" s="75">
        <v>0</v>
      </c>
      <c r="AG81" s="74"/>
      <c r="AH81" s="47">
        <f t="shared" si="23"/>
        <v>0</v>
      </c>
      <c r="AI81" s="48">
        <f t="shared" si="24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>
        <v>0</v>
      </c>
      <c r="C82" s="76"/>
      <c r="D82" s="64"/>
      <c r="E82" s="76"/>
      <c r="F82" s="76"/>
      <c r="G82" s="76"/>
      <c r="H82" s="76"/>
      <c r="I82" s="76"/>
      <c r="J82" s="76"/>
      <c r="K82" s="76"/>
      <c r="L82" s="76"/>
      <c r="M82" s="75">
        <v>0</v>
      </c>
      <c r="N82" s="75">
        <v>0</v>
      </c>
      <c r="O82" s="75">
        <v>0</v>
      </c>
      <c r="P82" s="75">
        <v>0</v>
      </c>
      <c r="Q82" s="75">
        <v>0</v>
      </c>
      <c r="R82" s="75">
        <v>0</v>
      </c>
      <c r="S82" s="75">
        <v>0</v>
      </c>
      <c r="T82" s="75">
        <v>0</v>
      </c>
      <c r="U82" s="75">
        <v>0</v>
      </c>
      <c r="V82" s="75">
        <v>0</v>
      </c>
      <c r="W82" s="75">
        <v>0</v>
      </c>
      <c r="X82" s="75">
        <v>0</v>
      </c>
      <c r="Y82" s="75">
        <v>0</v>
      </c>
      <c r="Z82" s="75">
        <v>0</v>
      </c>
      <c r="AA82" s="75">
        <v>0</v>
      </c>
      <c r="AB82" s="75">
        <v>0</v>
      </c>
      <c r="AC82" s="75">
        <v>0</v>
      </c>
      <c r="AD82" s="75">
        <v>0</v>
      </c>
      <c r="AE82" s="75">
        <v>0</v>
      </c>
      <c r="AF82" s="75">
        <v>0</v>
      </c>
      <c r="AG82" s="84"/>
      <c r="AH82" s="47">
        <f t="shared" si="23"/>
        <v>0</v>
      </c>
      <c r="AI82" s="48">
        <f t="shared" si="24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>
        <v>0</v>
      </c>
      <c r="C83" s="76"/>
      <c r="D83" s="64"/>
      <c r="E83" s="76"/>
      <c r="F83" s="76"/>
      <c r="G83" s="76"/>
      <c r="H83" s="76"/>
      <c r="I83" s="76"/>
      <c r="J83" s="76"/>
      <c r="K83" s="76"/>
      <c r="L83" s="76"/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84"/>
      <c r="AH83" s="47">
        <f t="shared" si="23"/>
        <v>0</v>
      </c>
      <c r="AI83" s="48">
        <f t="shared" si="24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>SUMIF(B73:B83,"&gt;0")</f>
        <v>0</v>
      </c>
      <c r="C84" s="60">
        <f t="shared" ref="C84:AF84" si="25">SUMIF(C73:C83,"&gt;0")</f>
        <v>0</v>
      </c>
      <c r="D84" s="60">
        <f t="shared" si="25"/>
        <v>0</v>
      </c>
      <c r="E84" s="60">
        <f t="shared" si="25"/>
        <v>0</v>
      </c>
      <c r="F84" s="60">
        <f t="shared" si="25"/>
        <v>0</v>
      </c>
      <c r="G84" s="60">
        <f t="shared" si="25"/>
        <v>0</v>
      </c>
      <c r="H84" s="60">
        <f t="shared" si="25"/>
        <v>0</v>
      </c>
      <c r="I84" s="60">
        <f t="shared" si="25"/>
        <v>0</v>
      </c>
      <c r="J84" s="60">
        <f t="shared" si="25"/>
        <v>0</v>
      </c>
      <c r="K84" s="60">
        <f t="shared" si="25"/>
        <v>0</v>
      </c>
      <c r="L84" s="60">
        <f t="shared" si="25"/>
        <v>0</v>
      </c>
      <c r="M84" s="60">
        <f t="shared" si="25"/>
        <v>0</v>
      </c>
      <c r="N84" s="60">
        <f t="shared" si="25"/>
        <v>0</v>
      </c>
      <c r="O84" s="60">
        <f t="shared" si="25"/>
        <v>0</v>
      </c>
      <c r="P84" s="60">
        <f t="shared" si="25"/>
        <v>0</v>
      </c>
      <c r="Q84" s="60">
        <f t="shared" si="25"/>
        <v>0</v>
      </c>
      <c r="R84" s="60">
        <f t="shared" ref="R84" si="26">SUMIF(R73:R83,"&gt;0")</f>
        <v>0</v>
      </c>
      <c r="S84" s="60">
        <f t="shared" si="25"/>
        <v>0</v>
      </c>
      <c r="T84" s="60">
        <f t="shared" ref="T84:U84" si="27">SUMIF(T73:T83,"&gt;0")</f>
        <v>0</v>
      </c>
      <c r="U84" s="60">
        <f t="shared" si="27"/>
        <v>0</v>
      </c>
      <c r="V84" s="60">
        <f t="shared" ref="V84" si="28">SUMIF(V73:V83,"&gt;0")</f>
        <v>0</v>
      </c>
      <c r="W84" s="60">
        <f t="shared" si="25"/>
        <v>0</v>
      </c>
      <c r="X84" s="60">
        <f t="shared" si="25"/>
        <v>0</v>
      </c>
      <c r="Y84" s="60">
        <f t="shared" si="25"/>
        <v>0</v>
      </c>
      <c r="Z84" s="60">
        <f t="shared" si="25"/>
        <v>0</v>
      </c>
      <c r="AA84" s="60">
        <f t="shared" si="25"/>
        <v>0</v>
      </c>
      <c r="AB84" s="60">
        <f t="shared" si="25"/>
        <v>1.1000000000000001</v>
      </c>
      <c r="AC84" s="60">
        <f t="shared" si="25"/>
        <v>7.8</v>
      </c>
      <c r="AD84" s="60">
        <f t="shared" si="25"/>
        <v>0</v>
      </c>
      <c r="AE84" s="60">
        <f t="shared" si="25"/>
        <v>0</v>
      </c>
      <c r="AF84" s="60">
        <f t="shared" si="25"/>
        <v>1.5</v>
      </c>
      <c r="AG84" s="87">
        <f>SUM(AG73:AG83)</f>
        <v>0</v>
      </c>
      <c r="AH84" s="47">
        <f t="shared" si="23"/>
        <v>7.8</v>
      </c>
      <c r="AI84" s="48">
        <f t="shared" si="24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23"/>
        <v>0</v>
      </c>
      <c r="AI85" s="48">
        <f t="shared" si="24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23"/>
        <v>0</v>
      </c>
      <c r="AI86" s="48">
        <f t="shared" si="24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23"/>
        <v>0</v>
      </c>
      <c r="AI87" s="48">
        <f t="shared" si="24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23"/>
        <v>0</v>
      </c>
      <c r="AI88" s="48">
        <f t="shared" si="24"/>
        <v>0</v>
      </c>
    </row>
    <row r="89" spans="1:40" ht="15.75" thickBot="1" x14ac:dyDescent="0.3">
      <c r="A89" s="73" t="s">
        <v>100</v>
      </c>
      <c r="B89" s="94">
        <f t="shared" ref="B89" si="29">B50+B54+B72+B68+B84+B88</f>
        <v>1988.44</v>
      </c>
      <c r="C89" s="94">
        <f t="shared" ref="C89:AG89" si="30">C50+C54+C72+C68+C84+C88</f>
        <v>1948.3400000000001</v>
      </c>
      <c r="D89" s="94">
        <f t="shared" si="30"/>
        <v>1926.54</v>
      </c>
      <c r="E89" s="94">
        <f t="shared" si="30"/>
        <v>1915.74</v>
      </c>
      <c r="F89" s="94">
        <f t="shared" si="30"/>
        <v>1924.8400000000001</v>
      </c>
      <c r="G89" s="94">
        <f t="shared" si="30"/>
        <v>1924.74</v>
      </c>
      <c r="H89" s="94">
        <f t="shared" si="30"/>
        <v>1953.84</v>
      </c>
      <c r="I89" s="94">
        <f t="shared" si="30"/>
        <v>1949.84</v>
      </c>
      <c r="J89" s="94">
        <f t="shared" si="30"/>
        <v>1954.0400000000002</v>
      </c>
      <c r="K89" s="94">
        <f t="shared" si="30"/>
        <v>1939.0900000000001</v>
      </c>
      <c r="L89" s="94">
        <f t="shared" si="30"/>
        <v>1952.8400000000001</v>
      </c>
      <c r="M89" s="94">
        <f t="shared" si="30"/>
        <v>1954.2399999999998</v>
      </c>
      <c r="N89" s="94">
        <f t="shared" si="30"/>
        <v>1894.4399999999998</v>
      </c>
      <c r="O89" s="94">
        <f t="shared" si="30"/>
        <v>1902.04</v>
      </c>
      <c r="P89" s="94">
        <f t="shared" si="30"/>
        <v>1960.1400000000003</v>
      </c>
      <c r="Q89" s="94">
        <f t="shared" si="30"/>
        <v>1980.7399999999998</v>
      </c>
      <c r="R89" s="94">
        <f t="shared" ref="R89" si="31">R50+R54+R72+R68+R84+R88</f>
        <v>1934.04</v>
      </c>
      <c r="S89" s="94">
        <f t="shared" si="30"/>
        <v>1943.84</v>
      </c>
      <c r="T89" s="94">
        <f t="shared" ref="T89:U89" si="32">T50+T54+T72+T68+T84+T88</f>
        <v>1962.2400000000002</v>
      </c>
      <c r="U89" s="94">
        <f t="shared" si="32"/>
        <v>1987.7400000000002</v>
      </c>
      <c r="V89" s="94">
        <f t="shared" ref="V89" si="33">V50+V54+V72+V68+V84+V88</f>
        <v>1955.6399999999999</v>
      </c>
      <c r="W89" s="94">
        <f t="shared" si="30"/>
        <v>1947.6399999999999</v>
      </c>
      <c r="X89" s="94">
        <f t="shared" si="30"/>
        <v>1965.6399999999999</v>
      </c>
      <c r="Y89" s="94">
        <f t="shared" si="30"/>
        <v>1973.6399999999999</v>
      </c>
      <c r="Z89" s="94">
        <f t="shared" si="30"/>
        <v>2057.34</v>
      </c>
      <c r="AA89" s="94">
        <f t="shared" si="30"/>
        <v>2060.54</v>
      </c>
      <c r="AB89" s="94">
        <f t="shared" si="30"/>
        <v>2049.2399999999998</v>
      </c>
      <c r="AC89" s="94">
        <f t="shared" si="30"/>
        <v>2055.94</v>
      </c>
      <c r="AD89" s="94">
        <f t="shared" si="30"/>
        <v>1994.8899999999999</v>
      </c>
      <c r="AE89" s="94">
        <f t="shared" si="30"/>
        <v>1992.99</v>
      </c>
      <c r="AF89" s="94">
        <f t="shared" si="30"/>
        <v>1919.7399999999998</v>
      </c>
      <c r="AG89" s="61">
        <f t="shared" si="30"/>
        <v>2111.5500000000002</v>
      </c>
      <c r="AH89" s="47">
        <f t="shared" si="23"/>
        <v>2060.54</v>
      </c>
      <c r="AI89" s="48">
        <f t="shared" si="24"/>
        <v>1894.4399999999998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23"/>
        <v>0</v>
      </c>
      <c r="AI90" s="48">
        <f t="shared" si="24"/>
        <v>0</v>
      </c>
    </row>
    <row r="91" spans="1:40" ht="15.75" thickBot="1" x14ac:dyDescent="0.3">
      <c r="A91" s="73" t="s">
        <v>102</v>
      </c>
      <c r="B91" s="94">
        <f t="shared" ref="B91" si="34">B89+B90</f>
        <v>1988.44</v>
      </c>
      <c r="C91" s="94">
        <f t="shared" ref="C91:AF91" si="35">C89+C90</f>
        <v>1948.3400000000001</v>
      </c>
      <c r="D91" s="94">
        <f t="shared" si="35"/>
        <v>1926.54</v>
      </c>
      <c r="E91" s="94">
        <f t="shared" si="35"/>
        <v>1915.74</v>
      </c>
      <c r="F91" s="94">
        <f t="shared" si="35"/>
        <v>1924.8400000000001</v>
      </c>
      <c r="G91" s="94">
        <f t="shared" si="35"/>
        <v>1924.74</v>
      </c>
      <c r="H91" s="94">
        <f t="shared" si="35"/>
        <v>1953.84</v>
      </c>
      <c r="I91" s="94">
        <f t="shared" si="35"/>
        <v>1949.84</v>
      </c>
      <c r="J91" s="94">
        <f t="shared" si="35"/>
        <v>1954.0400000000002</v>
      </c>
      <c r="K91" s="94">
        <f t="shared" si="35"/>
        <v>1939.0900000000001</v>
      </c>
      <c r="L91" s="94">
        <f t="shared" si="35"/>
        <v>1952.8400000000001</v>
      </c>
      <c r="M91" s="94">
        <f t="shared" si="35"/>
        <v>1954.2399999999998</v>
      </c>
      <c r="N91" s="94">
        <f t="shared" si="35"/>
        <v>1894.4399999999998</v>
      </c>
      <c r="O91" s="94">
        <f t="shared" si="35"/>
        <v>1902.04</v>
      </c>
      <c r="P91" s="94">
        <f t="shared" si="35"/>
        <v>1960.1400000000003</v>
      </c>
      <c r="Q91" s="94">
        <f t="shared" si="35"/>
        <v>1980.7399999999998</v>
      </c>
      <c r="R91" s="94">
        <f t="shared" ref="R91" si="36">R89+R90</f>
        <v>1934.04</v>
      </c>
      <c r="S91" s="94">
        <f t="shared" si="35"/>
        <v>1943.84</v>
      </c>
      <c r="T91" s="94">
        <f t="shared" ref="T91:U91" si="37">T89+T90</f>
        <v>1962.2400000000002</v>
      </c>
      <c r="U91" s="94">
        <f t="shared" si="37"/>
        <v>1987.7400000000002</v>
      </c>
      <c r="V91" s="94">
        <f t="shared" ref="V91" si="38">V89+V90</f>
        <v>1955.6399999999999</v>
      </c>
      <c r="W91" s="94">
        <f t="shared" si="35"/>
        <v>1947.6399999999999</v>
      </c>
      <c r="X91" s="94">
        <f t="shared" si="35"/>
        <v>1965.6399999999999</v>
      </c>
      <c r="Y91" s="94">
        <f t="shared" si="35"/>
        <v>1973.6399999999999</v>
      </c>
      <c r="Z91" s="94">
        <f t="shared" si="35"/>
        <v>2057.34</v>
      </c>
      <c r="AA91" s="94">
        <f t="shared" si="35"/>
        <v>2060.54</v>
      </c>
      <c r="AB91" s="94">
        <f t="shared" si="35"/>
        <v>2049.2399999999998</v>
      </c>
      <c r="AC91" s="94">
        <f t="shared" si="35"/>
        <v>2055.94</v>
      </c>
      <c r="AD91" s="94">
        <f t="shared" si="35"/>
        <v>1994.8899999999999</v>
      </c>
      <c r="AE91" s="94">
        <f t="shared" si="35"/>
        <v>1992.99</v>
      </c>
      <c r="AF91" s="94">
        <f t="shared" si="35"/>
        <v>1919.7399999999998</v>
      </c>
      <c r="AG91" s="87">
        <f>AG88+AG84+AG72+AG68+AG50+AG90</f>
        <v>1573.45</v>
      </c>
      <c r="AH91" s="47">
        <f t="shared" si="23"/>
        <v>2060.54</v>
      </c>
      <c r="AI91" s="48">
        <f t="shared" si="24"/>
        <v>1894.4399999999998</v>
      </c>
    </row>
    <row r="92" spans="1:40" ht="15.75" thickBot="1" x14ac:dyDescent="0.3">
      <c r="A92" s="73" t="s">
        <v>103</v>
      </c>
      <c r="B92" s="94">
        <f t="shared" ref="B92" si="39">B91-B99</f>
        <v>1988.44</v>
      </c>
      <c r="C92" s="94">
        <f t="shared" ref="C92:AF92" si="40">C91-C99</f>
        <v>1948.3400000000001</v>
      </c>
      <c r="D92" s="94">
        <f t="shared" si="40"/>
        <v>1926.54</v>
      </c>
      <c r="E92" s="94">
        <f t="shared" si="40"/>
        <v>1915.74</v>
      </c>
      <c r="F92" s="94">
        <f t="shared" si="40"/>
        <v>1924.8400000000001</v>
      </c>
      <c r="G92" s="94">
        <f t="shared" si="40"/>
        <v>1924.74</v>
      </c>
      <c r="H92" s="94">
        <f t="shared" si="40"/>
        <v>1953.84</v>
      </c>
      <c r="I92" s="94">
        <f t="shared" si="40"/>
        <v>1949.84</v>
      </c>
      <c r="J92" s="94">
        <f t="shared" si="40"/>
        <v>1954.0400000000002</v>
      </c>
      <c r="K92" s="94">
        <f t="shared" si="40"/>
        <v>1939.0900000000001</v>
      </c>
      <c r="L92" s="94">
        <f t="shared" si="40"/>
        <v>1952.8400000000001</v>
      </c>
      <c r="M92" s="94">
        <f t="shared" si="40"/>
        <v>1954.2399999999998</v>
      </c>
      <c r="N92" s="94">
        <f t="shared" si="40"/>
        <v>1894.4399999999998</v>
      </c>
      <c r="O92" s="94">
        <f t="shared" si="40"/>
        <v>1902.04</v>
      </c>
      <c r="P92" s="94">
        <f t="shared" si="40"/>
        <v>1960.1400000000003</v>
      </c>
      <c r="Q92" s="94">
        <f t="shared" si="40"/>
        <v>1980.7399999999998</v>
      </c>
      <c r="R92" s="94">
        <f t="shared" ref="R92" si="41">R91-R99</f>
        <v>1934.04</v>
      </c>
      <c r="S92" s="94">
        <f t="shared" si="40"/>
        <v>1943.84</v>
      </c>
      <c r="T92" s="94">
        <f t="shared" ref="T92:U92" si="42">T91-T99</f>
        <v>1962.2400000000002</v>
      </c>
      <c r="U92" s="94">
        <f t="shared" si="42"/>
        <v>1987.7400000000002</v>
      </c>
      <c r="V92" s="94">
        <f t="shared" ref="V92" si="43">V91-V99</f>
        <v>1955.6399999999999</v>
      </c>
      <c r="W92" s="94">
        <f t="shared" si="40"/>
        <v>1947.6399999999999</v>
      </c>
      <c r="X92" s="94">
        <f t="shared" si="40"/>
        <v>1965.6399999999999</v>
      </c>
      <c r="Y92" s="94">
        <f t="shared" si="40"/>
        <v>1973.6399999999999</v>
      </c>
      <c r="Z92" s="94">
        <f t="shared" si="40"/>
        <v>2057.34</v>
      </c>
      <c r="AA92" s="94">
        <f t="shared" si="40"/>
        <v>2060.54</v>
      </c>
      <c r="AB92" s="94">
        <f t="shared" si="40"/>
        <v>2049.2399999999998</v>
      </c>
      <c r="AC92" s="94">
        <f t="shared" si="40"/>
        <v>2055.94</v>
      </c>
      <c r="AD92" s="94">
        <f t="shared" si="40"/>
        <v>1994.8899999999999</v>
      </c>
      <c r="AE92" s="94">
        <f t="shared" si="40"/>
        <v>1992.99</v>
      </c>
      <c r="AF92" s="94">
        <f t="shared" si="40"/>
        <v>1919.7399999999998</v>
      </c>
      <c r="AG92" s="87"/>
      <c r="AH92" s="47">
        <f t="shared" si="23"/>
        <v>2060.54</v>
      </c>
      <c r="AI92" s="48">
        <f t="shared" si="24"/>
        <v>1894.4399999999998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23"/>
        <v>0</v>
      </c>
      <c r="AI93" s="48">
        <f t="shared" si="24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23"/>
        <v>0</v>
      </c>
      <c r="AI94" s="48">
        <f t="shared" si="24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23"/>
        <v>0</v>
      </c>
      <c r="AI95" s="48">
        <f t="shared" si="24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23"/>
        <v>0</v>
      </c>
      <c r="AI96" s="48">
        <f t="shared" si="24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23"/>
        <v>0</v>
      </c>
      <c r="AI97" s="48">
        <f t="shared" si="24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23"/>
        <v>0</v>
      </c>
      <c r="AI98" s="48">
        <f t="shared" si="24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23"/>
        <v>0</v>
      </c>
      <c r="AI99" s="48">
        <f t="shared" si="24"/>
        <v>0</v>
      </c>
      <c r="AK99" s="50"/>
    </row>
    <row r="100" spans="1:37" ht="15.75" thickBot="1" x14ac:dyDescent="0.3">
      <c r="A100" s="73" t="s">
        <v>108</v>
      </c>
      <c r="B100" s="60">
        <f t="shared" ref="B100" si="44">B84-B99</f>
        <v>0</v>
      </c>
      <c r="C100" s="60">
        <f t="shared" ref="C100:AF100" si="45">C84-C99</f>
        <v>0</v>
      </c>
      <c r="D100" s="60">
        <f t="shared" si="45"/>
        <v>0</v>
      </c>
      <c r="E100" s="60">
        <f t="shared" si="45"/>
        <v>0</v>
      </c>
      <c r="F100" s="60">
        <f t="shared" si="45"/>
        <v>0</v>
      </c>
      <c r="G100" s="60">
        <f t="shared" si="45"/>
        <v>0</v>
      </c>
      <c r="H100" s="60">
        <f t="shared" si="45"/>
        <v>0</v>
      </c>
      <c r="I100" s="60">
        <f t="shared" si="45"/>
        <v>0</v>
      </c>
      <c r="J100" s="60">
        <f t="shared" si="45"/>
        <v>0</v>
      </c>
      <c r="K100" s="60">
        <f t="shared" si="45"/>
        <v>0</v>
      </c>
      <c r="L100" s="60">
        <f t="shared" si="45"/>
        <v>0</v>
      </c>
      <c r="M100" s="60">
        <f t="shared" si="45"/>
        <v>0</v>
      </c>
      <c r="N100" s="60">
        <f t="shared" si="45"/>
        <v>0</v>
      </c>
      <c r="O100" s="60">
        <f t="shared" si="45"/>
        <v>0</v>
      </c>
      <c r="P100" s="60">
        <f t="shared" si="45"/>
        <v>0</v>
      </c>
      <c r="Q100" s="60">
        <f t="shared" si="45"/>
        <v>0</v>
      </c>
      <c r="R100" s="60">
        <f t="shared" ref="R100" si="46">R84-R99</f>
        <v>0</v>
      </c>
      <c r="S100" s="60">
        <f t="shared" si="45"/>
        <v>0</v>
      </c>
      <c r="T100" s="60">
        <f t="shared" ref="T100:U100" si="47">T84-T99</f>
        <v>0</v>
      </c>
      <c r="U100" s="60">
        <f t="shared" si="47"/>
        <v>0</v>
      </c>
      <c r="V100" s="60">
        <f t="shared" ref="V100" si="48">V84-V99</f>
        <v>0</v>
      </c>
      <c r="W100" s="60">
        <f t="shared" si="45"/>
        <v>0</v>
      </c>
      <c r="X100" s="60">
        <f t="shared" si="45"/>
        <v>0</v>
      </c>
      <c r="Y100" s="60">
        <f t="shared" si="45"/>
        <v>0</v>
      </c>
      <c r="Z100" s="60">
        <f t="shared" si="45"/>
        <v>0</v>
      </c>
      <c r="AA100" s="60">
        <f t="shared" si="45"/>
        <v>0</v>
      </c>
      <c r="AB100" s="60">
        <f t="shared" si="45"/>
        <v>1.1000000000000001</v>
      </c>
      <c r="AC100" s="60">
        <f t="shared" si="45"/>
        <v>7.8</v>
      </c>
      <c r="AD100" s="60">
        <f t="shared" si="45"/>
        <v>0</v>
      </c>
      <c r="AE100" s="60">
        <f t="shared" si="45"/>
        <v>0</v>
      </c>
      <c r="AF100" s="60">
        <f t="shared" si="45"/>
        <v>1.5</v>
      </c>
      <c r="AG100" s="87"/>
      <c r="AH100" s="47">
        <f t="shared" si="23"/>
        <v>7.8</v>
      </c>
      <c r="AI100" s="48">
        <f t="shared" si="24"/>
        <v>0</v>
      </c>
    </row>
    <row r="101" spans="1:37" x14ac:dyDescent="0.25">
      <c r="A101" s="99" t="s">
        <v>109</v>
      </c>
      <c r="B101" s="100">
        <v>49.98</v>
      </c>
      <c r="C101" s="100">
        <v>49.957000000000001</v>
      </c>
      <c r="D101" s="100">
        <v>49.993000000000002</v>
      </c>
      <c r="E101" s="100">
        <v>49.98</v>
      </c>
      <c r="F101" s="100">
        <v>50</v>
      </c>
      <c r="G101" s="100">
        <v>49.956000000000003</v>
      </c>
      <c r="H101" s="100">
        <v>49.9</v>
      </c>
      <c r="I101" s="100">
        <v>50</v>
      </c>
      <c r="J101" s="100">
        <v>50.018000000000001</v>
      </c>
      <c r="K101" s="100">
        <v>50</v>
      </c>
      <c r="L101" s="100">
        <v>49.972000000000001</v>
      </c>
      <c r="M101" s="100">
        <v>50.018999999999998</v>
      </c>
      <c r="N101" s="100">
        <v>50.018000000000001</v>
      </c>
      <c r="O101" s="100">
        <v>50.061999999999998</v>
      </c>
      <c r="P101" s="100">
        <v>49.953000000000003</v>
      </c>
      <c r="Q101" s="100">
        <v>50.13</v>
      </c>
      <c r="R101" s="100">
        <v>49.98</v>
      </c>
      <c r="S101" s="100">
        <v>50.04</v>
      </c>
      <c r="T101" s="100">
        <v>49.97</v>
      </c>
      <c r="U101" s="100">
        <v>50.09</v>
      </c>
      <c r="V101" s="100">
        <v>49.965000000000003</v>
      </c>
      <c r="W101" s="100">
        <v>49.965000000000003</v>
      </c>
      <c r="X101" s="100">
        <v>50.01</v>
      </c>
      <c r="Y101" s="100">
        <v>50.03</v>
      </c>
      <c r="Z101" s="100">
        <v>50.05</v>
      </c>
      <c r="AA101" s="100">
        <v>50.05</v>
      </c>
      <c r="AB101" s="100">
        <v>49.906999999999996</v>
      </c>
      <c r="AC101" s="100">
        <v>49.906999999999996</v>
      </c>
      <c r="AD101" s="100">
        <v>49.996000000000002</v>
      </c>
      <c r="AE101" s="100">
        <v>50.036999999999999</v>
      </c>
      <c r="AF101" s="100">
        <v>50.046999999999997</v>
      </c>
      <c r="AG101" s="101"/>
      <c r="AH101" s="47">
        <f t="shared" si="23"/>
        <v>50.13</v>
      </c>
      <c r="AI101" s="48">
        <f t="shared" si="24"/>
        <v>49.9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23"/>
        <v>0</v>
      </c>
      <c r="AI102" s="48">
        <f t="shared" si="24"/>
        <v>0</v>
      </c>
    </row>
    <row r="103" spans="1:37" x14ac:dyDescent="0.25">
      <c r="A103" s="102" t="s">
        <v>111</v>
      </c>
      <c r="B103" s="64">
        <v>127.4</v>
      </c>
      <c r="C103" s="64">
        <v>129.4</v>
      </c>
      <c r="D103" s="64">
        <v>129.1</v>
      </c>
      <c r="E103" s="64">
        <v>129</v>
      </c>
      <c r="F103" s="64">
        <v>129</v>
      </c>
      <c r="G103" s="64">
        <v>129</v>
      </c>
      <c r="H103" s="64">
        <v>129</v>
      </c>
      <c r="I103" s="64">
        <v>126.5</v>
      </c>
      <c r="J103" s="64">
        <v>126</v>
      </c>
      <c r="K103" s="64">
        <v>126</v>
      </c>
      <c r="L103" s="64">
        <v>125</v>
      </c>
      <c r="M103" s="64">
        <v>125.3</v>
      </c>
      <c r="N103" s="64">
        <v>125.4</v>
      </c>
      <c r="O103" s="64">
        <v>125.9</v>
      </c>
      <c r="P103" s="64">
        <v>122.4</v>
      </c>
      <c r="Q103" s="64">
        <v>125.1</v>
      </c>
      <c r="R103" s="64">
        <v>124.4</v>
      </c>
      <c r="S103" s="64">
        <v>125.9</v>
      </c>
      <c r="T103" s="64">
        <v>127.6</v>
      </c>
      <c r="U103" s="64">
        <v>126.2</v>
      </c>
      <c r="V103" s="64">
        <v>127</v>
      </c>
      <c r="W103" s="64">
        <v>127.2</v>
      </c>
      <c r="X103" s="64">
        <v>128.19999999999999</v>
      </c>
      <c r="Y103" s="64">
        <v>126.9</v>
      </c>
      <c r="Z103" s="64">
        <v>127.1</v>
      </c>
      <c r="AA103" s="64">
        <v>127.1</v>
      </c>
      <c r="AB103" s="64">
        <v>127.5</v>
      </c>
      <c r="AC103" s="64">
        <v>127.5</v>
      </c>
      <c r="AD103" s="64">
        <v>129.5</v>
      </c>
      <c r="AE103" s="64">
        <v>129.4</v>
      </c>
      <c r="AF103" s="64">
        <v>129.4</v>
      </c>
      <c r="AG103" s="103"/>
      <c r="AH103" s="47">
        <f t="shared" si="23"/>
        <v>129.5</v>
      </c>
      <c r="AI103" s="48">
        <f t="shared" si="24"/>
        <v>122.4</v>
      </c>
    </row>
    <row r="104" spans="1:37" x14ac:dyDescent="0.25">
      <c r="A104" s="102" t="s">
        <v>112</v>
      </c>
      <c r="B104" s="64">
        <v>129</v>
      </c>
      <c r="C104" s="64">
        <v>128.1</v>
      </c>
      <c r="D104" s="64">
        <v>129.19999999999999</v>
      </c>
      <c r="E104" s="64">
        <v>130</v>
      </c>
      <c r="F104" s="64">
        <v>130</v>
      </c>
      <c r="G104" s="64">
        <v>130</v>
      </c>
      <c r="H104" s="64">
        <v>130</v>
      </c>
      <c r="I104" s="64">
        <v>128</v>
      </c>
      <c r="J104" s="64">
        <v>129</v>
      </c>
      <c r="K104" s="64">
        <v>129</v>
      </c>
      <c r="L104" s="64">
        <v>126.8</v>
      </c>
      <c r="M104" s="64">
        <v>125</v>
      </c>
      <c r="N104" s="64">
        <v>125.6</v>
      </c>
      <c r="O104" s="64">
        <v>125.9</v>
      </c>
      <c r="P104" s="64">
        <v>126.8</v>
      </c>
      <c r="Q104" s="64">
        <v>126</v>
      </c>
      <c r="R104" s="64">
        <v>127.6</v>
      </c>
      <c r="S104" s="64">
        <v>129.69999999999999</v>
      </c>
      <c r="T104" s="64">
        <v>127.9</v>
      </c>
      <c r="U104" s="64">
        <v>126.6</v>
      </c>
      <c r="V104" s="64">
        <v>126.8</v>
      </c>
      <c r="W104" s="64">
        <v>126.6</v>
      </c>
      <c r="X104" s="64">
        <v>129.9</v>
      </c>
      <c r="Y104" s="64">
        <v>126.1</v>
      </c>
      <c r="Z104" s="64">
        <v>128.19999999999999</v>
      </c>
      <c r="AA104" s="64">
        <v>128.19999999999999</v>
      </c>
      <c r="AB104" s="64">
        <v>124.2</v>
      </c>
      <c r="AC104" s="64">
        <v>124.2</v>
      </c>
      <c r="AD104" s="64">
        <v>128.30000000000001</v>
      </c>
      <c r="AE104" s="64">
        <v>135.9</v>
      </c>
      <c r="AF104" s="64">
        <v>128.6</v>
      </c>
      <c r="AG104" s="103"/>
      <c r="AH104" s="47">
        <f t="shared" si="23"/>
        <v>135.9</v>
      </c>
      <c r="AI104" s="48">
        <f t="shared" si="24"/>
        <v>124.2</v>
      </c>
    </row>
    <row r="105" spans="1:37" x14ac:dyDescent="0.25">
      <c r="A105" s="104" t="s">
        <v>113</v>
      </c>
      <c r="B105" s="64">
        <v>130.69999999999999</v>
      </c>
      <c r="C105" s="64">
        <v>130.5</v>
      </c>
      <c r="D105" s="64">
        <v>131.4</v>
      </c>
      <c r="E105" s="64">
        <v>132</v>
      </c>
      <c r="F105" s="64">
        <v>132</v>
      </c>
      <c r="G105" s="64">
        <v>132</v>
      </c>
      <c r="H105" s="64">
        <v>132</v>
      </c>
      <c r="I105" s="64">
        <v>130.6</v>
      </c>
      <c r="J105" s="64">
        <v>131</v>
      </c>
      <c r="K105" s="64">
        <v>131</v>
      </c>
      <c r="L105" s="64">
        <v>129</v>
      </c>
      <c r="M105" s="64">
        <v>126.1</v>
      </c>
      <c r="N105" s="64">
        <v>126.3</v>
      </c>
      <c r="O105" s="64">
        <v>125.8</v>
      </c>
      <c r="P105" s="64">
        <v>126.3</v>
      </c>
      <c r="Q105" s="64">
        <v>126.3</v>
      </c>
      <c r="R105" s="64">
        <v>128.30000000000001</v>
      </c>
      <c r="S105" s="64">
        <v>128.69999999999999</v>
      </c>
      <c r="T105" s="64">
        <v>127</v>
      </c>
      <c r="U105" s="64">
        <v>126.1</v>
      </c>
      <c r="V105" s="64">
        <v>128.4</v>
      </c>
      <c r="W105" s="64">
        <v>127</v>
      </c>
      <c r="X105" s="64">
        <v>126.5</v>
      </c>
      <c r="Y105" s="64">
        <v>126.1</v>
      </c>
      <c r="Z105" s="64">
        <v>130.9</v>
      </c>
      <c r="AA105" s="64">
        <v>130.9</v>
      </c>
      <c r="AB105" s="64">
        <v>128.19999999999999</v>
      </c>
      <c r="AC105" s="64">
        <v>128.19999999999999</v>
      </c>
      <c r="AD105" s="64">
        <v>131</v>
      </c>
      <c r="AE105" s="64"/>
      <c r="AF105" s="64">
        <v>131.19999999999999</v>
      </c>
      <c r="AG105" s="103"/>
      <c r="AH105" s="47">
        <f t="shared" si="23"/>
        <v>132</v>
      </c>
      <c r="AI105" s="48">
        <f t="shared" si="24"/>
        <v>125.8</v>
      </c>
    </row>
    <row r="106" spans="1:37" x14ac:dyDescent="0.25">
      <c r="A106" s="104" t="s">
        <v>114</v>
      </c>
      <c r="B106" s="105">
        <v>130.6</v>
      </c>
      <c r="C106" s="105">
        <v>132.30000000000001</v>
      </c>
      <c r="D106" s="105">
        <v>134</v>
      </c>
      <c r="E106" s="105">
        <v>133.5</v>
      </c>
      <c r="F106" s="105">
        <v>133.5</v>
      </c>
      <c r="G106" s="105">
        <v>133.5</v>
      </c>
      <c r="H106" s="105">
        <v>133.5</v>
      </c>
      <c r="I106" s="105">
        <v>131</v>
      </c>
      <c r="J106" s="105">
        <v>136</v>
      </c>
      <c r="K106" s="105">
        <v>136</v>
      </c>
      <c r="L106" s="105">
        <v>133.5</v>
      </c>
      <c r="M106" s="105">
        <v>132.4</v>
      </c>
      <c r="N106" s="105">
        <v>130.4</v>
      </c>
      <c r="O106" s="105">
        <v>132.80000000000001</v>
      </c>
      <c r="P106" s="105">
        <v>131.69999999999999</v>
      </c>
      <c r="Q106" s="105">
        <v>135</v>
      </c>
      <c r="R106" s="105">
        <v>131.19999999999999</v>
      </c>
      <c r="S106" s="105">
        <v>129.9</v>
      </c>
      <c r="T106" s="105">
        <v>134.6</v>
      </c>
      <c r="U106" s="105">
        <v>132.69999999999999</v>
      </c>
      <c r="V106" s="105">
        <v>135.5</v>
      </c>
      <c r="W106" s="105">
        <v>135</v>
      </c>
      <c r="X106" s="105">
        <v>135.5</v>
      </c>
      <c r="Y106" s="105">
        <v>134.1</v>
      </c>
      <c r="Z106" s="105">
        <v>130.4</v>
      </c>
      <c r="AA106" s="105">
        <v>130.4</v>
      </c>
      <c r="AB106" s="105">
        <v>130.80000000000001</v>
      </c>
      <c r="AC106" s="105">
        <v>130.80000000000001</v>
      </c>
      <c r="AD106" s="105">
        <v>132.30000000000001</v>
      </c>
      <c r="AE106" s="105">
        <v>133.9</v>
      </c>
      <c r="AF106" s="105">
        <v>133.1</v>
      </c>
      <c r="AG106" s="106"/>
      <c r="AH106" s="47">
        <f t="shared" si="23"/>
        <v>136</v>
      </c>
      <c r="AI106" s="48">
        <f t="shared" si="24"/>
        <v>129.9</v>
      </c>
    </row>
    <row r="107" spans="1:37" x14ac:dyDescent="0.25">
      <c r="A107" s="102" t="s">
        <v>115</v>
      </c>
      <c r="B107" s="64">
        <v>127.2</v>
      </c>
      <c r="C107" s="64">
        <v>130.6</v>
      </c>
      <c r="D107" s="64">
        <v>132.80000000000001</v>
      </c>
      <c r="E107" s="64">
        <v>132</v>
      </c>
      <c r="F107" s="64">
        <v>132</v>
      </c>
      <c r="G107" s="64">
        <v>132</v>
      </c>
      <c r="H107" s="64">
        <v>132</v>
      </c>
      <c r="I107" s="64">
        <v>134</v>
      </c>
      <c r="J107" s="64">
        <v>130</v>
      </c>
      <c r="K107" s="64">
        <v>130</v>
      </c>
      <c r="L107" s="64">
        <v>131</v>
      </c>
      <c r="M107" s="64">
        <v>131.69999999999999</v>
      </c>
      <c r="N107" s="64">
        <v>126.5</v>
      </c>
      <c r="O107" s="64">
        <v>134.19999999999999</v>
      </c>
      <c r="P107" s="64">
        <v>129.9</v>
      </c>
      <c r="Q107" s="64">
        <v>128.80000000000001</v>
      </c>
      <c r="R107" s="64">
        <v>126.2</v>
      </c>
      <c r="S107" s="64">
        <v>132</v>
      </c>
      <c r="T107" s="64">
        <v>127.8</v>
      </c>
      <c r="U107" s="64">
        <v>133.9</v>
      </c>
      <c r="V107" s="64">
        <v>129.30000000000001</v>
      </c>
      <c r="W107" s="64">
        <v>129.30000000000001</v>
      </c>
      <c r="X107" s="64">
        <v>129.30000000000001</v>
      </c>
      <c r="Y107" s="64">
        <v>132.80000000000001</v>
      </c>
      <c r="Z107" s="64">
        <v>125.1</v>
      </c>
      <c r="AA107" s="64">
        <v>125.1</v>
      </c>
      <c r="AB107" s="64">
        <v>128.4</v>
      </c>
      <c r="AC107" s="64">
        <v>128.4</v>
      </c>
      <c r="AD107" s="64">
        <v>128.6</v>
      </c>
      <c r="AE107" s="64">
        <v>130.4</v>
      </c>
      <c r="AF107" s="64">
        <v>124.6</v>
      </c>
      <c r="AG107" s="103"/>
      <c r="AH107" s="47">
        <f t="shared" si="23"/>
        <v>134.19999999999999</v>
      </c>
      <c r="AI107" s="48">
        <f t="shared" si="24"/>
        <v>124.6</v>
      </c>
    </row>
    <row r="108" spans="1:37" ht="15.75" thickBot="1" x14ac:dyDescent="0.3">
      <c r="A108" s="102" t="s">
        <v>116</v>
      </c>
      <c r="B108" s="91">
        <v>63.9</v>
      </c>
      <c r="C108" s="91">
        <v>65.099999999999994</v>
      </c>
      <c r="D108" s="91">
        <v>64.900000000000006</v>
      </c>
      <c r="E108" s="91">
        <v>64.900000000000006</v>
      </c>
      <c r="F108" s="91">
        <v>64.900000000000006</v>
      </c>
      <c r="G108" s="91">
        <v>64.900000000000006</v>
      </c>
      <c r="H108" s="91">
        <v>64.900000000000006</v>
      </c>
      <c r="I108" s="91">
        <v>63.2</v>
      </c>
      <c r="J108" s="91">
        <v>63.2</v>
      </c>
      <c r="K108" s="91">
        <v>63.2</v>
      </c>
      <c r="L108" s="91">
        <v>62.7</v>
      </c>
      <c r="M108" s="91">
        <v>62.9</v>
      </c>
      <c r="N108" s="91">
        <v>62.8</v>
      </c>
      <c r="O108" s="91">
        <v>63</v>
      </c>
      <c r="P108" s="91">
        <v>61.1</v>
      </c>
      <c r="Q108" s="91">
        <v>62.1</v>
      </c>
      <c r="R108" s="91">
        <v>62.1</v>
      </c>
      <c r="S108" s="91">
        <v>63.1</v>
      </c>
      <c r="T108" s="91">
        <v>63.5</v>
      </c>
      <c r="U108" s="91">
        <v>63</v>
      </c>
      <c r="V108" s="91">
        <v>64.2</v>
      </c>
      <c r="W108" s="91">
        <v>64.2</v>
      </c>
      <c r="X108" s="91">
        <v>63.7</v>
      </c>
      <c r="Y108" s="91">
        <v>63.4</v>
      </c>
      <c r="Z108" s="91">
        <v>64</v>
      </c>
      <c r="AA108" s="91">
        <v>64</v>
      </c>
      <c r="AB108" s="91">
        <v>64</v>
      </c>
      <c r="AC108" s="91">
        <v>64</v>
      </c>
      <c r="AD108" s="91">
        <v>65.400000000000006</v>
      </c>
      <c r="AE108" s="91">
        <v>65.2</v>
      </c>
      <c r="AF108" s="91">
        <v>65.099999999999994</v>
      </c>
      <c r="AG108" s="107"/>
      <c r="AH108" s="47">
        <f t="shared" si="23"/>
        <v>65.400000000000006</v>
      </c>
      <c r="AI108" s="48">
        <f t="shared" si="24"/>
        <v>61.1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23"/>
        <v>0</v>
      </c>
      <c r="AI109" s="48">
        <f t="shared" si="24"/>
        <v>0</v>
      </c>
    </row>
    <row r="110" spans="1:37" ht="15.75" thickBot="1" x14ac:dyDescent="0.3">
      <c r="A110" s="109" t="s">
        <v>118</v>
      </c>
      <c r="B110" s="110">
        <f>SUM(B20,B26,B29:B30,B58,B60:B61,B63,B65,B111:B115,B138,B144,B150,B159,B161,B173,B180,B183:B184,B191,B193,B195,B199:B201,B203:B205,B210,B216:B217,B219:B221,B229,B234)</f>
        <v>46.599999999999987</v>
      </c>
      <c r="C110" s="110">
        <f t="shared" ref="C110:O110" si="49">SUM(C20,C26,C29:C30,C58,C60:C61,C63,C65,C111:C115,C138,C144,C150,C159,C161,C173,C180,C183:C184,C191,C193,C195,C199:C201,C203:C205,C210,C216:C217,C219:C221,C229,C234)</f>
        <v>25.039999999999996</v>
      </c>
      <c r="D110" s="110">
        <f t="shared" si="49"/>
        <v>32.639999999999979</v>
      </c>
      <c r="E110" s="110">
        <f t="shared" si="49"/>
        <v>26.740000000000009</v>
      </c>
      <c r="F110" s="110">
        <f t="shared" si="49"/>
        <v>33.44</v>
      </c>
      <c r="G110" s="110">
        <f t="shared" si="49"/>
        <v>42.939999999999991</v>
      </c>
      <c r="H110" s="110">
        <f t="shared" si="49"/>
        <v>65.540000000000006</v>
      </c>
      <c r="I110" s="110">
        <f t="shared" si="49"/>
        <v>102.14</v>
      </c>
      <c r="J110" s="110">
        <f t="shared" si="49"/>
        <v>102.14</v>
      </c>
      <c r="K110" s="110">
        <f t="shared" si="49"/>
        <v>153.14000000000001</v>
      </c>
      <c r="L110" s="110">
        <f t="shared" si="49"/>
        <v>174.84000000000003</v>
      </c>
      <c r="M110" s="110">
        <f t="shared" si="49"/>
        <v>189.04</v>
      </c>
      <c r="N110" s="110">
        <f t="shared" si="49"/>
        <v>189.74</v>
      </c>
      <c r="O110" s="110">
        <f t="shared" si="49"/>
        <v>185.04000000000002</v>
      </c>
      <c r="P110" s="110">
        <v>42</v>
      </c>
      <c r="Q110" s="110">
        <f t="shared" ref="Q110:AF110" si="50">SUM(Q20,Q26,Q29:Q30,Q58,Q60:Q61,Q63,Q65,Q111:Q115,Q138,Q144,Q150,Q159,Q161,Q173,Q180,Q183:Q184,Q191,Q193,Q195,Q199:Q201,Q203:Q205,Q210,Q216:Q217,Q219:Q221,Q229,Q234)</f>
        <v>170.7</v>
      </c>
      <c r="R110" s="110">
        <f t="shared" ref="R110" si="51">SUM(R20,R26,R29:R30,R58,R60:R61,R63,R65,R111:R115,R138,R144,R150,R159,R161,R173,R180,R183:R184,R191,R193,R195,R199:R201,R203:R205,R210,R216:R217,R219:R221,R229,R234)</f>
        <v>168.1</v>
      </c>
      <c r="S110" s="110">
        <f t="shared" si="50"/>
        <v>146.49999999999997</v>
      </c>
      <c r="T110" s="110">
        <f t="shared" ref="T110:U110" si="52">SUM(T20,T26,T29:T30,T58,T60:T61,T63,T65,T111:T115,T138,T144,T150,T159,T161,T173,T180,T183:T184,T191,T193,T195,T199:T201,T203:T205,T210,T216:T217,T219:T221,T229,T234)</f>
        <v>-319.2</v>
      </c>
      <c r="U110" s="110">
        <f t="shared" si="52"/>
        <v>173.82</v>
      </c>
      <c r="V110" s="110">
        <f t="shared" ref="V110" si="53">SUM(V20,V26,V29:V30,V58,V60:V61,V63,V65,V111:V115,V138,V144,V150,V159,V161,V173,V180,V183:V184,V191,V193,V195,V199:V201,V203:V205,V210,V216:V217,V219:V221,V229,V234)</f>
        <v>154.29999999999998</v>
      </c>
      <c r="W110" s="110">
        <f t="shared" si="50"/>
        <v>146.4</v>
      </c>
      <c r="X110" s="110">
        <f t="shared" si="50"/>
        <v>199.5</v>
      </c>
      <c r="Y110" s="110">
        <f t="shared" si="50"/>
        <v>213.20000000000005</v>
      </c>
      <c r="Z110" s="110">
        <f t="shared" si="50"/>
        <v>229.50000000000003</v>
      </c>
      <c r="AA110" s="110">
        <f t="shared" si="50"/>
        <v>215.40000000000006</v>
      </c>
      <c r="AB110" s="110">
        <f t="shared" si="50"/>
        <v>82</v>
      </c>
      <c r="AC110" s="110">
        <f t="shared" si="50"/>
        <v>82</v>
      </c>
      <c r="AD110" s="110"/>
      <c r="AE110" s="110">
        <f t="shared" si="50"/>
        <v>83.999999999999986</v>
      </c>
      <c r="AF110" s="110">
        <f t="shared" si="50"/>
        <v>85.3</v>
      </c>
      <c r="AG110" s="111"/>
      <c r="AH110" s="47">
        <f t="shared" si="23"/>
        <v>229.50000000000003</v>
      </c>
      <c r="AI110" s="48">
        <f t="shared" si="24"/>
        <v>-319.2</v>
      </c>
    </row>
    <row r="111" spans="1:37" x14ac:dyDescent="0.25">
      <c r="A111" s="99" t="s">
        <v>119</v>
      </c>
      <c r="B111" s="112">
        <v>30.7</v>
      </c>
      <c r="C111" s="112">
        <v>18.8</v>
      </c>
      <c r="D111" s="112">
        <v>28.1</v>
      </c>
      <c r="E111" s="112">
        <v>30.6</v>
      </c>
      <c r="F111" s="112">
        <v>34.799999999999997</v>
      </c>
      <c r="G111" s="112">
        <v>33.200000000000003</v>
      </c>
      <c r="H111" s="112">
        <v>40</v>
      </c>
      <c r="I111" s="112">
        <v>61</v>
      </c>
      <c r="J111" s="112">
        <v>61</v>
      </c>
      <c r="K111" s="112">
        <v>43.3</v>
      </c>
      <c r="L111" s="112">
        <v>59</v>
      </c>
      <c r="M111" s="112">
        <v>66.8</v>
      </c>
      <c r="N111" s="112">
        <v>58</v>
      </c>
      <c r="O111" s="112">
        <v>55.7</v>
      </c>
      <c r="P111" s="112">
        <v>64.099999999999994</v>
      </c>
      <c r="Q111" s="112">
        <v>51.9</v>
      </c>
      <c r="R111" s="112">
        <v>56</v>
      </c>
      <c r="S111" s="112">
        <v>30.4</v>
      </c>
      <c r="T111" s="112">
        <v>56.1</v>
      </c>
      <c r="U111" s="112">
        <v>51.2</v>
      </c>
      <c r="V111" s="112">
        <v>50.6</v>
      </c>
      <c r="W111" s="112">
        <v>42</v>
      </c>
      <c r="X111" s="112">
        <v>49</v>
      </c>
      <c r="Y111" s="112">
        <v>46.2</v>
      </c>
      <c r="Z111" s="112">
        <v>47</v>
      </c>
      <c r="AA111" s="112">
        <v>41</v>
      </c>
      <c r="AB111" s="112">
        <v>38.1</v>
      </c>
      <c r="AC111" s="112">
        <v>38.1</v>
      </c>
      <c r="AD111" s="112">
        <v>46.1</v>
      </c>
      <c r="AE111" s="112">
        <v>41.2</v>
      </c>
      <c r="AF111" s="112">
        <v>25.2</v>
      </c>
      <c r="AG111" s="113">
        <v>75</v>
      </c>
      <c r="AH111" s="47">
        <f t="shared" si="23"/>
        <v>66.8</v>
      </c>
      <c r="AI111" s="48">
        <f t="shared" si="24"/>
        <v>18.8</v>
      </c>
    </row>
    <row r="112" spans="1:37" x14ac:dyDescent="0.25">
      <c r="A112" s="102" t="s">
        <v>120</v>
      </c>
      <c r="B112" s="114">
        <v>49.2</v>
      </c>
      <c r="C112" s="114">
        <v>30.5</v>
      </c>
      <c r="D112" s="114">
        <v>47.8</v>
      </c>
      <c r="E112" s="114">
        <v>48.5</v>
      </c>
      <c r="F112" s="114">
        <v>55.4</v>
      </c>
      <c r="G112" s="114">
        <v>54.1</v>
      </c>
      <c r="H112" s="114">
        <v>70</v>
      </c>
      <c r="I112" s="114">
        <v>92.7</v>
      </c>
      <c r="J112" s="114">
        <v>92.7</v>
      </c>
      <c r="K112" s="114">
        <v>65.5</v>
      </c>
      <c r="L112" s="114">
        <v>87</v>
      </c>
      <c r="M112" s="114">
        <v>98.2</v>
      </c>
      <c r="N112" s="114">
        <v>80</v>
      </c>
      <c r="O112" s="114">
        <v>82.7</v>
      </c>
      <c r="P112" s="114">
        <v>93.8</v>
      </c>
      <c r="Q112" s="114">
        <v>75.900000000000006</v>
      </c>
      <c r="R112" s="114">
        <v>82.2</v>
      </c>
      <c r="S112" s="114">
        <v>46.3</v>
      </c>
      <c r="T112" s="114">
        <v>36.6</v>
      </c>
      <c r="U112" s="114">
        <v>33.9</v>
      </c>
      <c r="V112" s="114">
        <v>34.700000000000003</v>
      </c>
      <c r="W112" s="114">
        <v>38</v>
      </c>
      <c r="X112" s="114">
        <v>42</v>
      </c>
      <c r="Y112" s="114">
        <v>66.400000000000006</v>
      </c>
      <c r="Z112" s="114">
        <v>67.900000000000006</v>
      </c>
      <c r="AA112" s="114">
        <v>60</v>
      </c>
      <c r="AB112" s="114">
        <v>54.9</v>
      </c>
      <c r="AC112" s="114">
        <v>54.9</v>
      </c>
      <c r="AD112" s="114">
        <v>66</v>
      </c>
      <c r="AE112" s="114">
        <v>57.7</v>
      </c>
      <c r="AF112" s="114">
        <v>39.700000000000003</v>
      </c>
      <c r="AG112" s="113">
        <v>240</v>
      </c>
      <c r="AH112" s="47">
        <f t="shared" si="23"/>
        <v>98.2</v>
      </c>
      <c r="AI112" s="48">
        <f t="shared" si="24"/>
        <v>30.5</v>
      </c>
    </row>
    <row r="113" spans="1:37" x14ac:dyDescent="0.25">
      <c r="A113" s="102" t="s">
        <v>121</v>
      </c>
      <c r="B113" s="114">
        <v>-156.30000000000001</v>
      </c>
      <c r="C113" s="114">
        <v>-136.5</v>
      </c>
      <c r="D113" s="114">
        <v>-153.30000000000001</v>
      </c>
      <c r="E113" s="114">
        <v>-162</v>
      </c>
      <c r="F113" s="114">
        <v>-170</v>
      </c>
      <c r="G113" s="114">
        <v>-151</v>
      </c>
      <c r="H113" s="114">
        <v>-160</v>
      </c>
      <c r="I113" s="114">
        <v>-164</v>
      </c>
      <c r="J113" s="114">
        <v>-164</v>
      </c>
      <c r="K113" s="114">
        <v>-90</v>
      </c>
      <c r="L113" s="114">
        <v>-97.9</v>
      </c>
      <c r="M113" s="114">
        <v>-110</v>
      </c>
      <c r="N113" s="114">
        <v>-90</v>
      </c>
      <c r="O113" s="114">
        <v>-98</v>
      </c>
      <c r="P113" s="114">
        <f>-53.8-58.1</f>
        <v>-111.9</v>
      </c>
      <c r="Q113" s="114">
        <f>-47.1-52.2</f>
        <v>-99.300000000000011</v>
      </c>
      <c r="R113" s="114">
        <v>-101.2</v>
      </c>
      <c r="S113" s="114">
        <f>-31.8-34.1</f>
        <v>-65.900000000000006</v>
      </c>
      <c r="T113" s="114">
        <v>-556.5</v>
      </c>
      <c r="U113" s="114">
        <v>-64.58</v>
      </c>
      <c r="V113" s="114">
        <v>-66.7</v>
      </c>
      <c r="W113" s="114">
        <v>-68</v>
      </c>
      <c r="X113" s="114">
        <v>-39.299999999999997</v>
      </c>
      <c r="Y113" s="114">
        <f>-24.1-26.2</f>
        <v>-50.3</v>
      </c>
      <c r="Z113" s="114">
        <f>-45.9-39.7</f>
        <v>-85.6</v>
      </c>
      <c r="AA113" s="114">
        <v>-82</v>
      </c>
      <c r="AB113" s="114">
        <v>-82.9</v>
      </c>
      <c r="AC113" s="114">
        <v>-82.9</v>
      </c>
      <c r="AD113" s="114">
        <v>-49</v>
      </c>
      <c r="AE113" s="114">
        <v>-170</v>
      </c>
      <c r="AF113" s="114">
        <v>-134</v>
      </c>
      <c r="AG113" s="113">
        <v>240</v>
      </c>
      <c r="AH113" s="47">
        <f t="shared" si="23"/>
        <v>-39.299999999999997</v>
      </c>
      <c r="AI113" s="48">
        <f t="shared" si="24"/>
        <v>-556.5</v>
      </c>
    </row>
    <row r="114" spans="1:37" x14ac:dyDescent="0.25">
      <c r="A114" s="102" t="s">
        <v>122</v>
      </c>
      <c r="B114" s="114">
        <v>-19.7</v>
      </c>
      <c r="C114" s="114">
        <v>-9.9</v>
      </c>
      <c r="D114" s="114">
        <v>-12.3</v>
      </c>
      <c r="E114" s="114">
        <v>-12.9</v>
      </c>
      <c r="F114" s="114">
        <v>-9</v>
      </c>
      <c r="G114" s="114">
        <v>-14.9</v>
      </c>
      <c r="H114" s="114">
        <v>-16</v>
      </c>
      <c r="I114" s="114">
        <v>-19</v>
      </c>
      <c r="J114" s="114">
        <v>-19</v>
      </c>
      <c r="K114" s="114">
        <v>-7.8</v>
      </c>
      <c r="L114" s="114">
        <v>-7.7</v>
      </c>
      <c r="M114" s="114">
        <v>2.1</v>
      </c>
      <c r="N114" s="114">
        <v>9</v>
      </c>
      <c r="O114" s="114">
        <v>7</v>
      </c>
      <c r="P114" s="114">
        <v>2.6</v>
      </c>
      <c r="Q114" s="114">
        <v>4</v>
      </c>
      <c r="R114" s="114">
        <v>3.2</v>
      </c>
      <c r="S114" s="114">
        <v>7.6</v>
      </c>
      <c r="T114" s="114">
        <v>8.3000000000000007</v>
      </c>
      <c r="U114" s="114">
        <v>10</v>
      </c>
      <c r="V114" s="114">
        <v>8.1</v>
      </c>
      <c r="W114" s="114">
        <v>6.4</v>
      </c>
      <c r="X114" s="114">
        <v>10.199999999999999</v>
      </c>
      <c r="Y114" s="114">
        <v>14.3</v>
      </c>
      <c r="Z114" s="114">
        <v>12.1</v>
      </c>
      <c r="AA114" s="114">
        <v>9.9</v>
      </c>
      <c r="AB114" s="114">
        <v>-92.9</v>
      </c>
      <c r="AC114" s="114">
        <v>-92.9</v>
      </c>
      <c r="AD114" s="114">
        <v>-2.4</v>
      </c>
      <c r="AE114" s="114">
        <v>-6.4</v>
      </c>
      <c r="AF114" s="114">
        <v>-7.8</v>
      </c>
      <c r="AG114" s="113">
        <v>60</v>
      </c>
      <c r="AH114" s="47">
        <f t="shared" si="23"/>
        <v>14.3</v>
      </c>
      <c r="AI114" s="48">
        <f t="shared" si="24"/>
        <v>-92.9</v>
      </c>
    </row>
    <row r="115" spans="1:37" x14ac:dyDescent="0.25">
      <c r="A115" s="115" t="s">
        <v>123</v>
      </c>
      <c r="B115" s="116">
        <v>13.6</v>
      </c>
      <c r="C115" s="116">
        <v>2.4</v>
      </c>
      <c r="D115" s="116">
        <v>2.6</v>
      </c>
      <c r="E115" s="116">
        <v>2.8</v>
      </c>
      <c r="F115" s="116">
        <v>2.5</v>
      </c>
      <c r="G115" s="116">
        <v>1.8</v>
      </c>
      <c r="H115" s="116">
        <v>1.8</v>
      </c>
      <c r="I115" s="116">
        <v>1.7</v>
      </c>
      <c r="J115" s="116">
        <v>1.7</v>
      </c>
      <c r="K115" s="116">
        <v>12.4</v>
      </c>
      <c r="L115" s="116">
        <v>11.9</v>
      </c>
      <c r="M115" s="116">
        <v>13</v>
      </c>
      <c r="N115" s="116">
        <v>13</v>
      </c>
      <c r="O115" s="116">
        <v>14.3</v>
      </c>
      <c r="P115" s="116">
        <v>12.5</v>
      </c>
      <c r="Q115" s="116">
        <v>12.7</v>
      </c>
      <c r="R115" s="116">
        <v>12.4</v>
      </c>
      <c r="S115" s="116">
        <v>12.6</v>
      </c>
      <c r="T115" s="116">
        <v>12.5</v>
      </c>
      <c r="U115" s="116">
        <v>13.5</v>
      </c>
      <c r="V115" s="116">
        <v>13.2</v>
      </c>
      <c r="W115" s="116">
        <v>13.6</v>
      </c>
      <c r="X115" s="116">
        <v>13.2</v>
      </c>
      <c r="Y115" s="116">
        <v>12.2</v>
      </c>
      <c r="Z115" s="116">
        <v>22.1</v>
      </c>
      <c r="AA115" s="116">
        <v>22.3</v>
      </c>
      <c r="AB115" s="116">
        <v>6</v>
      </c>
      <c r="AC115" s="116">
        <v>6</v>
      </c>
      <c r="AD115" s="116">
        <v>23.4</v>
      </c>
      <c r="AE115" s="116">
        <v>8.6999999999999993</v>
      </c>
      <c r="AF115" s="116">
        <v>9.4</v>
      </c>
      <c r="AG115" s="117">
        <v>120</v>
      </c>
      <c r="AH115" s="47">
        <f t="shared" si="23"/>
        <v>23.4</v>
      </c>
      <c r="AI115" s="48">
        <f t="shared" si="24"/>
        <v>1.7</v>
      </c>
    </row>
    <row r="116" spans="1:37" x14ac:dyDescent="0.25">
      <c r="A116" s="115" t="s">
        <v>124</v>
      </c>
      <c r="B116" s="116">
        <v>52.2</v>
      </c>
      <c r="C116" s="116">
        <v>57.5</v>
      </c>
      <c r="D116" s="116">
        <v>52.6</v>
      </c>
      <c r="E116" s="116">
        <v>50.6</v>
      </c>
      <c r="F116" s="116">
        <v>39.799999999999997</v>
      </c>
      <c r="G116" s="116">
        <v>49.3</v>
      </c>
      <c r="H116" s="116">
        <v>46</v>
      </c>
      <c r="I116" s="116">
        <v>45.1</v>
      </c>
      <c r="J116" s="116">
        <v>45.1</v>
      </c>
      <c r="K116" s="116">
        <v>91.3</v>
      </c>
      <c r="L116" s="116">
        <v>90.8</v>
      </c>
      <c r="M116" s="116">
        <v>83.2</v>
      </c>
      <c r="N116" s="116">
        <v>85</v>
      </c>
      <c r="O116" s="116">
        <v>92</v>
      </c>
      <c r="P116" s="116">
        <v>86.7</v>
      </c>
      <c r="Q116" s="116">
        <v>93</v>
      </c>
      <c r="R116" s="116">
        <v>89.87</v>
      </c>
      <c r="S116" s="116">
        <v>88.9</v>
      </c>
      <c r="T116" s="116">
        <v>61.2</v>
      </c>
      <c r="U116" s="116">
        <v>80</v>
      </c>
      <c r="V116" s="116">
        <v>71.599999999999994</v>
      </c>
      <c r="W116" s="116">
        <v>65</v>
      </c>
      <c r="X116" s="116">
        <v>68.2</v>
      </c>
      <c r="Y116" s="116">
        <v>65.8</v>
      </c>
      <c r="Z116" s="116">
        <v>45.3</v>
      </c>
      <c r="AA116" s="116">
        <v>67</v>
      </c>
      <c r="AB116" s="116">
        <v>48.5</v>
      </c>
      <c r="AC116" s="116">
        <v>48.5</v>
      </c>
      <c r="AD116" s="116">
        <v>51.1</v>
      </c>
      <c r="AE116" s="116">
        <v>47</v>
      </c>
      <c r="AF116" s="116">
        <v>66.599999999999994</v>
      </c>
      <c r="AG116" s="117"/>
      <c r="AH116" s="47">
        <f t="shared" si="23"/>
        <v>93</v>
      </c>
      <c r="AI116" s="48">
        <f t="shared" si="24"/>
        <v>39.799999999999997</v>
      </c>
    </row>
    <row r="117" spans="1:37" x14ac:dyDescent="0.25">
      <c r="A117" s="115" t="s">
        <v>125</v>
      </c>
      <c r="B117" s="116">
        <v>31.6</v>
      </c>
      <c r="C117" s="116">
        <v>26.3</v>
      </c>
      <c r="D117" s="116">
        <v>26.2</v>
      </c>
      <c r="E117" s="116">
        <v>33.4</v>
      </c>
      <c r="F117" s="116">
        <v>26.5</v>
      </c>
      <c r="G117" s="116">
        <v>23.9</v>
      </c>
      <c r="H117" s="116">
        <v>18.5</v>
      </c>
      <c r="I117" s="116">
        <v>12.8</v>
      </c>
      <c r="J117" s="116">
        <v>12.8</v>
      </c>
      <c r="K117" s="116">
        <v>7.7</v>
      </c>
      <c r="L117" s="116">
        <v>11.8</v>
      </c>
      <c r="M117" s="116">
        <v>-8</v>
      </c>
      <c r="N117" s="116">
        <v>4</v>
      </c>
      <c r="O117" s="116">
        <v>3</v>
      </c>
      <c r="P117" s="116">
        <v>-6.9</v>
      </c>
      <c r="Q117" s="116">
        <v>6.8</v>
      </c>
      <c r="R117" s="116">
        <v>-4.2</v>
      </c>
      <c r="S117" s="116">
        <v>13.2</v>
      </c>
      <c r="T117" s="116">
        <v>-7.5</v>
      </c>
      <c r="U117" s="116">
        <v>-4.7</v>
      </c>
      <c r="V117" s="116">
        <v>10.7</v>
      </c>
      <c r="W117" s="116">
        <v>9.1999999999999993</v>
      </c>
      <c r="X117" s="116">
        <v>6</v>
      </c>
      <c r="Y117" s="116">
        <v>-5.4</v>
      </c>
      <c r="Z117" s="116">
        <v>-5.7</v>
      </c>
      <c r="AA117" s="116">
        <v>-0.7</v>
      </c>
      <c r="AB117" s="116">
        <v>-9.5</v>
      </c>
      <c r="AC117" s="116">
        <v>-9.5</v>
      </c>
      <c r="AD117" s="116">
        <v>12.2</v>
      </c>
      <c r="AE117" s="116">
        <v>12.2</v>
      </c>
      <c r="AF117" s="116">
        <v>23.4</v>
      </c>
      <c r="AG117" s="118"/>
      <c r="AH117" s="47">
        <f t="shared" si="23"/>
        <v>33.4</v>
      </c>
      <c r="AI117" s="48">
        <f t="shared" si="24"/>
        <v>-9.5</v>
      </c>
    </row>
    <row r="118" spans="1:37" x14ac:dyDescent="0.25">
      <c r="A118" s="119" t="s">
        <v>126</v>
      </c>
      <c r="B118" s="105">
        <v>36.5</v>
      </c>
      <c r="C118" s="105">
        <v>38.9</v>
      </c>
      <c r="D118" s="105">
        <v>40.9</v>
      </c>
      <c r="E118" s="105">
        <v>44.4</v>
      </c>
      <c r="F118" s="105">
        <v>46</v>
      </c>
      <c r="G118" s="105">
        <v>41.8</v>
      </c>
      <c r="H118" s="105">
        <v>45</v>
      </c>
      <c r="I118" s="105">
        <v>47.02</v>
      </c>
      <c r="J118" s="105">
        <v>47.02</v>
      </c>
      <c r="K118" s="105">
        <v>44</v>
      </c>
      <c r="L118" s="105">
        <v>39.9</v>
      </c>
      <c r="M118" s="105">
        <v>33.4</v>
      </c>
      <c r="N118" s="105">
        <v>35</v>
      </c>
      <c r="O118" s="105">
        <v>34</v>
      </c>
      <c r="P118" s="105">
        <v>30.4</v>
      </c>
      <c r="Q118" s="105">
        <v>29.7</v>
      </c>
      <c r="R118" s="105">
        <v>31.5</v>
      </c>
      <c r="S118" s="105">
        <v>25.3</v>
      </c>
      <c r="T118" s="105">
        <v>25.6</v>
      </c>
      <c r="U118" s="105">
        <v>25.4</v>
      </c>
      <c r="V118" s="105">
        <v>27.2</v>
      </c>
      <c r="W118" s="105">
        <v>26</v>
      </c>
      <c r="X118" s="105">
        <v>25.9</v>
      </c>
      <c r="Y118" s="105">
        <v>21.4</v>
      </c>
      <c r="Z118" s="105">
        <v>30.6</v>
      </c>
      <c r="AA118" s="105">
        <v>31.6</v>
      </c>
      <c r="AB118" s="105">
        <v>34.799999999999997</v>
      </c>
      <c r="AC118" s="105">
        <v>34.799999999999997</v>
      </c>
      <c r="AD118" s="105">
        <v>34.700000000000003</v>
      </c>
      <c r="AE118" s="105">
        <v>9.3000000000000007</v>
      </c>
      <c r="AF118" s="105">
        <v>28.7</v>
      </c>
      <c r="AG118" s="118"/>
      <c r="AH118" s="47">
        <f t="shared" si="23"/>
        <v>47.02</v>
      </c>
      <c r="AI118" s="48">
        <f t="shared" si="24"/>
        <v>9.3000000000000007</v>
      </c>
    </row>
    <row r="119" spans="1:37" x14ac:dyDescent="0.25">
      <c r="A119" s="120" t="s">
        <v>127</v>
      </c>
      <c r="B119" s="105">
        <v>92</v>
      </c>
      <c r="C119" s="105">
        <v>72.5</v>
      </c>
      <c r="D119" s="105">
        <v>78.900000000000006</v>
      </c>
      <c r="E119" s="105">
        <v>84</v>
      </c>
      <c r="F119" s="105">
        <v>92</v>
      </c>
      <c r="G119" s="105">
        <v>85</v>
      </c>
      <c r="H119" s="105">
        <v>82</v>
      </c>
      <c r="I119" s="105">
        <v>77.400000000000006</v>
      </c>
      <c r="J119" s="105">
        <v>77.400000000000006</v>
      </c>
      <c r="K119" s="105">
        <v>83.3</v>
      </c>
      <c r="L119" s="105">
        <v>69.400000000000006</v>
      </c>
      <c r="M119" s="105">
        <v>92</v>
      </c>
      <c r="N119" s="105">
        <v>60</v>
      </c>
      <c r="O119" s="105">
        <v>73.2</v>
      </c>
      <c r="P119" s="105">
        <v>81.900000000000006</v>
      </c>
      <c r="Q119" s="105">
        <v>96.5</v>
      </c>
      <c r="R119" s="105">
        <v>82.5</v>
      </c>
      <c r="S119" s="105">
        <v>85</v>
      </c>
      <c r="T119" s="105">
        <v>72.3</v>
      </c>
      <c r="U119" s="105">
        <v>86.7</v>
      </c>
      <c r="V119" s="105">
        <v>89.9</v>
      </c>
      <c r="W119" s="105">
        <v>90</v>
      </c>
      <c r="X119" s="105">
        <v>94</v>
      </c>
      <c r="Y119" s="105">
        <v>77.099999999999994</v>
      </c>
      <c r="Z119" s="105">
        <v>63.9</v>
      </c>
      <c r="AA119" s="105">
        <v>63.5</v>
      </c>
      <c r="AB119" s="105">
        <v>69.5</v>
      </c>
      <c r="AC119" s="105">
        <v>69.5</v>
      </c>
      <c r="AD119" s="105">
        <v>78.599999999999994</v>
      </c>
      <c r="AE119" s="105">
        <v>84.9</v>
      </c>
      <c r="AF119" s="105">
        <v>69.7</v>
      </c>
      <c r="AG119" s="118"/>
      <c r="AH119" s="47">
        <f t="shared" si="23"/>
        <v>96.5</v>
      </c>
      <c r="AI119" s="48">
        <f t="shared" si="24"/>
        <v>60</v>
      </c>
    </row>
    <row r="120" spans="1:37" ht="15.75" thickBot="1" x14ac:dyDescent="0.3">
      <c r="A120" s="119" t="s">
        <v>128</v>
      </c>
      <c r="B120" s="105">
        <v>19</v>
      </c>
      <c r="C120" s="105">
        <v>18.5</v>
      </c>
      <c r="D120" s="105">
        <v>15.1</v>
      </c>
      <c r="E120" s="105">
        <v>12.4</v>
      </c>
      <c r="F120" s="105">
        <v>9</v>
      </c>
      <c r="G120" s="105">
        <v>4.8</v>
      </c>
      <c r="H120" s="105">
        <v>2</v>
      </c>
      <c r="I120" s="105">
        <v>-1.9</v>
      </c>
      <c r="J120" s="105">
        <v>-1.9</v>
      </c>
      <c r="K120" s="105">
        <v>-1.4</v>
      </c>
      <c r="L120" s="105">
        <v>8.6999999999999993</v>
      </c>
      <c r="M120" s="105">
        <v>13.2</v>
      </c>
      <c r="N120" s="105">
        <v>18</v>
      </c>
      <c r="O120" s="105">
        <v>21</v>
      </c>
      <c r="P120" s="105">
        <v>24.2</v>
      </c>
      <c r="Q120" s="105">
        <v>26.3</v>
      </c>
      <c r="R120" s="105">
        <v>23.5</v>
      </c>
      <c r="S120" s="105">
        <v>30</v>
      </c>
      <c r="T120" s="105">
        <v>27.41</v>
      </c>
      <c r="U120" s="105">
        <v>32</v>
      </c>
      <c r="V120" s="105">
        <v>30</v>
      </c>
      <c r="W120" s="105">
        <v>30</v>
      </c>
      <c r="X120" s="105">
        <v>32</v>
      </c>
      <c r="Y120" s="105">
        <v>31.5</v>
      </c>
      <c r="Z120" s="105">
        <v>38.6</v>
      </c>
      <c r="AA120" s="105">
        <v>41.1</v>
      </c>
      <c r="AB120" s="105">
        <v>45.1</v>
      </c>
      <c r="AC120" s="105">
        <v>45.1</v>
      </c>
      <c r="AD120" s="105">
        <v>51.4</v>
      </c>
      <c r="AE120" s="105">
        <v>48.5</v>
      </c>
      <c r="AF120" s="105">
        <v>49.6</v>
      </c>
      <c r="AG120" s="118"/>
      <c r="AH120" s="47">
        <f t="shared" si="23"/>
        <v>51.4</v>
      </c>
      <c r="AI120" s="48">
        <f t="shared" si="24"/>
        <v>-1.9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54">SUM(B122:B226)</f>
        <v>0</v>
      </c>
      <c r="C227" s="136">
        <f t="shared" si="54"/>
        <v>0</v>
      </c>
      <c r="D227" s="136">
        <f t="shared" si="54"/>
        <v>0</v>
      </c>
      <c r="E227" s="136">
        <f t="shared" si="54"/>
        <v>0</v>
      </c>
      <c r="F227" s="136">
        <f t="shared" si="54"/>
        <v>0</v>
      </c>
      <c r="G227" s="136">
        <f t="shared" si="54"/>
        <v>0</v>
      </c>
      <c r="H227" s="136">
        <f t="shared" si="54"/>
        <v>0</v>
      </c>
      <c r="I227" s="136">
        <f t="shared" si="54"/>
        <v>0</v>
      </c>
      <c r="J227" s="136">
        <f t="shared" si="54"/>
        <v>0</v>
      </c>
      <c r="K227" s="136">
        <f t="shared" si="54"/>
        <v>0</v>
      </c>
      <c r="L227" s="136">
        <f t="shared" si="54"/>
        <v>0</v>
      </c>
      <c r="M227" s="136">
        <f t="shared" si="54"/>
        <v>0</v>
      </c>
      <c r="N227" s="136">
        <f t="shared" si="54"/>
        <v>0</v>
      </c>
      <c r="O227" s="136">
        <f t="shared" si="54"/>
        <v>0</v>
      </c>
      <c r="P227" s="136">
        <f t="shared" si="54"/>
        <v>0</v>
      </c>
      <c r="Q227" s="136">
        <f t="shared" si="54"/>
        <v>0</v>
      </c>
      <c r="R227" s="136">
        <f t="shared" si="54"/>
        <v>0</v>
      </c>
      <c r="S227" s="136">
        <f t="shared" si="54"/>
        <v>0</v>
      </c>
      <c r="T227" s="136">
        <f t="shared" si="54"/>
        <v>0</v>
      </c>
      <c r="U227" s="136">
        <f t="shared" si="54"/>
        <v>0</v>
      </c>
      <c r="V227" s="136">
        <f t="shared" si="54"/>
        <v>0</v>
      </c>
      <c r="W227" s="136">
        <f t="shared" si="54"/>
        <v>0</v>
      </c>
      <c r="X227" s="136">
        <f t="shared" si="54"/>
        <v>0</v>
      </c>
      <c r="Y227" s="136">
        <f t="shared" si="54"/>
        <v>0</v>
      </c>
      <c r="Z227" s="136">
        <f t="shared" si="54"/>
        <v>0</v>
      </c>
      <c r="AA227" s="136">
        <f t="shared" si="54"/>
        <v>0</v>
      </c>
      <c r="AB227" s="136">
        <f t="shared" si="54"/>
        <v>0</v>
      </c>
      <c r="AC227" s="136">
        <f t="shared" si="54"/>
        <v>0</v>
      </c>
      <c r="AD227" s="136">
        <f t="shared" si="54"/>
        <v>0</v>
      </c>
      <c r="AE227" s="136">
        <f t="shared" si="54"/>
        <v>0</v>
      </c>
      <c r="AF227" s="137">
        <f t="shared" si="54"/>
        <v>0</v>
      </c>
      <c r="AG227" s="138">
        <f t="shared" si="54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55">AF229</f>
        <v>0</v>
      </c>
      <c r="C229" s="140">
        <v>0.3</v>
      </c>
      <c r="D229" s="140">
        <f t="shared" ref="D229:P234" si="56">C229</f>
        <v>0.3</v>
      </c>
      <c r="E229" s="140">
        <f t="shared" si="56"/>
        <v>0.3</v>
      </c>
      <c r="F229" s="140">
        <f t="shared" si="56"/>
        <v>0.3</v>
      </c>
      <c r="G229" s="140">
        <f t="shared" si="56"/>
        <v>0.3</v>
      </c>
      <c r="H229" s="140">
        <f t="shared" si="56"/>
        <v>0.3</v>
      </c>
      <c r="I229" s="140">
        <f t="shared" si="56"/>
        <v>0.3</v>
      </c>
      <c r="J229" s="140">
        <f t="shared" si="56"/>
        <v>0.3</v>
      </c>
      <c r="K229" s="140">
        <f t="shared" si="56"/>
        <v>0.3</v>
      </c>
      <c r="L229" s="140">
        <f t="shared" si="56"/>
        <v>0.3</v>
      </c>
      <c r="M229" s="140">
        <f t="shared" si="56"/>
        <v>0.3</v>
      </c>
      <c r="N229" s="140">
        <f t="shared" si="56"/>
        <v>0.3</v>
      </c>
      <c r="O229" s="140">
        <f t="shared" si="56"/>
        <v>0.3</v>
      </c>
      <c r="P229" s="140">
        <f t="shared" si="56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55"/>
        <v>0</v>
      </c>
      <c r="C230" s="128">
        <v>0.4</v>
      </c>
      <c r="D230" s="128">
        <f t="shared" si="56"/>
        <v>0.4</v>
      </c>
      <c r="E230" s="128">
        <f t="shared" si="56"/>
        <v>0.4</v>
      </c>
      <c r="F230" s="128">
        <f t="shared" si="56"/>
        <v>0.4</v>
      </c>
      <c r="G230" s="128">
        <f t="shared" si="56"/>
        <v>0.4</v>
      </c>
      <c r="H230" s="128">
        <f t="shared" si="56"/>
        <v>0.4</v>
      </c>
      <c r="I230" s="128">
        <f t="shared" si="56"/>
        <v>0.4</v>
      </c>
      <c r="J230" s="128">
        <f t="shared" si="56"/>
        <v>0.4</v>
      </c>
      <c r="K230" s="128">
        <f t="shared" si="56"/>
        <v>0.4</v>
      </c>
      <c r="L230" s="128">
        <f t="shared" si="56"/>
        <v>0.4</v>
      </c>
      <c r="M230" s="128">
        <f t="shared" si="56"/>
        <v>0.4</v>
      </c>
      <c r="N230" s="128">
        <f t="shared" si="56"/>
        <v>0.4</v>
      </c>
      <c r="O230" s="128">
        <f t="shared" si="56"/>
        <v>0.4</v>
      </c>
      <c r="P230" s="128">
        <f t="shared" si="56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55"/>
        <v>0</v>
      </c>
      <c r="C231" s="128">
        <v>1.5</v>
      </c>
      <c r="D231" s="128">
        <f t="shared" si="56"/>
        <v>1.5</v>
      </c>
      <c r="E231" s="128">
        <f t="shared" si="56"/>
        <v>1.5</v>
      </c>
      <c r="F231" s="128">
        <f t="shared" si="56"/>
        <v>1.5</v>
      </c>
      <c r="G231" s="128">
        <f t="shared" si="56"/>
        <v>1.5</v>
      </c>
      <c r="H231" s="128">
        <f t="shared" si="56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56"/>
        <v>123.21900000000009</v>
      </c>
      <c r="K231" s="128">
        <f t="shared" ca="1" si="56"/>
        <v>123.21900000000009</v>
      </c>
      <c r="L231" s="128">
        <f t="shared" ca="1" si="56"/>
        <v>123.21900000000009</v>
      </c>
      <c r="M231" s="128">
        <f t="shared" ca="1" si="56"/>
        <v>119.19900000000008</v>
      </c>
      <c r="N231" s="128">
        <f t="shared" ca="1" si="56"/>
        <v>119.19900000000008</v>
      </c>
      <c r="O231" s="128">
        <f t="shared" ca="1" si="56"/>
        <v>119.19900000000008</v>
      </c>
      <c r="P231" s="128">
        <f t="shared" ca="1" si="56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55"/>
        <v>0</v>
      </c>
      <c r="C232" s="128">
        <v>0.3</v>
      </c>
      <c r="D232" s="128">
        <f t="shared" si="56"/>
        <v>0.3</v>
      </c>
      <c r="E232" s="128">
        <f t="shared" si="56"/>
        <v>0.3</v>
      </c>
      <c r="F232" s="128">
        <f t="shared" si="56"/>
        <v>0.3</v>
      </c>
      <c r="G232" s="128">
        <f t="shared" si="56"/>
        <v>0.3</v>
      </c>
      <c r="H232" s="128">
        <f t="shared" si="56"/>
        <v>0.3</v>
      </c>
      <c r="I232" s="128">
        <f t="shared" si="56"/>
        <v>0.3</v>
      </c>
      <c r="J232" s="128">
        <f t="shared" si="56"/>
        <v>0.3</v>
      </c>
      <c r="K232" s="128">
        <f t="shared" si="56"/>
        <v>0.3</v>
      </c>
      <c r="L232" s="128">
        <f t="shared" si="56"/>
        <v>0.3</v>
      </c>
      <c r="M232" s="128">
        <f t="shared" si="56"/>
        <v>0.3</v>
      </c>
      <c r="N232" s="128">
        <f t="shared" si="56"/>
        <v>0.3</v>
      </c>
      <c r="O232" s="128">
        <f t="shared" si="56"/>
        <v>0.3</v>
      </c>
      <c r="P232" s="128">
        <f t="shared" si="56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55"/>
        <v>0</v>
      </c>
      <c r="C233" s="128">
        <v>0.4</v>
      </c>
      <c r="D233" s="128">
        <f t="shared" si="56"/>
        <v>0.4</v>
      </c>
      <c r="E233" s="128">
        <f t="shared" si="56"/>
        <v>0.4</v>
      </c>
      <c r="F233" s="128">
        <f t="shared" si="56"/>
        <v>0.4</v>
      </c>
      <c r="G233" s="128">
        <f t="shared" si="56"/>
        <v>0.4</v>
      </c>
      <c r="H233" s="128">
        <f t="shared" si="56"/>
        <v>0.4</v>
      </c>
      <c r="I233" s="128">
        <f t="shared" si="56"/>
        <v>0.4</v>
      </c>
      <c r="J233" s="128">
        <f t="shared" si="56"/>
        <v>0.4</v>
      </c>
      <c r="K233" s="128">
        <f t="shared" si="56"/>
        <v>0.4</v>
      </c>
      <c r="L233" s="128">
        <f t="shared" si="56"/>
        <v>0.4</v>
      </c>
      <c r="M233" s="128">
        <f t="shared" si="56"/>
        <v>0.4</v>
      </c>
      <c r="N233" s="128">
        <f t="shared" si="56"/>
        <v>0.4</v>
      </c>
      <c r="O233" s="128">
        <f t="shared" si="56"/>
        <v>0.4</v>
      </c>
      <c r="P233" s="128">
        <f t="shared" si="56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55"/>
        <v>0</v>
      </c>
      <c r="C234" s="132">
        <v>0.64</v>
      </c>
      <c r="D234" s="132">
        <f t="shared" si="56"/>
        <v>0.64</v>
      </c>
      <c r="E234" s="132">
        <f t="shared" si="56"/>
        <v>0.64</v>
      </c>
      <c r="F234" s="132">
        <f t="shared" si="56"/>
        <v>0.64</v>
      </c>
      <c r="G234" s="132">
        <f t="shared" si="56"/>
        <v>0.64</v>
      </c>
      <c r="H234" s="132">
        <f t="shared" si="56"/>
        <v>0.64</v>
      </c>
      <c r="I234" s="132">
        <f t="shared" si="56"/>
        <v>0.64</v>
      </c>
      <c r="J234" s="132">
        <f t="shared" si="56"/>
        <v>0.64</v>
      </c>
      <c r="K234" s="132">
        <f t="shared" si="56"/>
        <v>0.64</v>
      </c>
      <c r="L234" s="132">
        <f t="shared" si="56"/>
        <v>0.64</v>
      </c>
      <c r="M234" s="132">
        <f t="shared" si="56"/>
        <v>0.64</v>
      </c>
      <c r="N234" s="132">
        <f t="shared" si="56"/>
        <v>0.64</v>
      </c>
      <c r="O234" s="132">
        <f t="shared" si="56"/>
        <v>0.64</v>
      </c>
      <c r="P234" s="132">
        <f t="shared" si="56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57">SUM(B229:B234)</f>
        <v>0</v>
      </c>
      <c r="C235" s="136">
        <f t="shared" si="57"/>
        <v>3.54</v>
      </c>
      <c r="D235" s="136">
        <f t="shared" si="57"/>
        <v>3.54</v>
      </c>
      <c r="E235" s="136">
        <f t="shared" si="57"/>
        <v>3.54</v>
      </c>
      <c r="F235" s="136">
        <f t="shared" si="57"/>
        <v>3.54</v>
      </c>
      <c r="G235" s="136">
        <f t="shared" si="57"/>
        <v>3.54</v>
      </c>
      <c r="H235" s="136">
        <f t="shared" si="57"/>
        <v>3.54</v>
      </c>
      <c r="I235" s="136">
        <f t="shared" ca="1" si="57"/>
        <v>121.23900000000009</v>
      </c>
      <c r="J235" s="136">
        <f t="shared" ca="1" si="57"/>
        <v>121.23900000000009</v>
      </c>
      <c r="K235" s="136">
        <f t="shared" ca="1" si="57"/>
        <v>121.23900000000009</v>
      </c>
      <c r="L235" s="136">
        <f t="shared" ca="1" si="57"/>
        <v>125.2590000000001</v>
      </c>
      <c r="M235" s="136">
        <f t="shared" ca="1" si="57"/>
        <v>121.23900000000009</v>
      </c>
      <c r="N235" s="136">
        <f t="shared" ca="1" si="57"/>
        <v>121.23900000000009</v>
      </c>
      <c r="O235" s="136">
        <f t="shared" ca="1" si="57"/>
        <v>121.23900000000009</v>
      </c>
      <c r="P235" s="136">
        <f t="shared" ca="1" si="57"/>
        <v>121.23900000000009</v>
      </c>
      <c r="Q235" s="136">
        <f t="shared" si="57"/>
        <v>0</v>
      </c>
      <c r="R235" s="136">
        <f t="shared" si="57"/>
        <v>0</v>
      </c>
      <c r="S235" s="136">
        <f t="shared" si="57"/>
        <v>0</v>
      </c>
      <c r="T235" s="136">
        <f t="shared" si="57"/>
        <v>0</v>
      </c>
      <c r="U235" s="136">
        <f t="shared" si="57"/>
        <v>0</v>
      </c>
      <c r="V235" s="136">
        <f t="shared" si="57"/>
        <v>0</v>
      </c>
      <c r="W235" s="136">
        <f t="shared" si="57"/>
        <v>0</v>
      </c>
      <c r="X235" s="136">
        <f t="shared" si="57"/>
        <v>0</v>
      </c>
      <c r="Y235" s="136">
        <f t="shared" si="57"/>
        <v>0</v>
      </c>
      <c r="Z235" s="136">
        <f t="shared" si="57"/>
        <v>0</v>
      </c>
      <c r="AA235" s="136">
        <f t="shared" si="57"/>
        <v>0</v>
      </c>
      <c r="AB235" s="136">
        <f t="shared" si="57"/>
        <v>0</v>
      </c>
      <c r="AC235" s="136">
        <f t="shared" si="57"/>
        <v>0</v>
      </c>
      <c r="AD235" s="136">
        <f t="shared" si="57"/>
        <v>0</v>
      </c>
      <c r="AE235" s="136">
        <f t="shared" si="57"/>
        <v>0</v>
      </c>
      <c r="AF235" s="136">
        <f t="shared" si="57"/>
        <v>0</v>
      </c>
      <c r="AG235" s="145">
        <f t="shared" si="57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1954.2399999999998</v>
      </c>
      <c r="C244" s="161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21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2080/04/21)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2080/04/21)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58">B91</f>
        <v>1988.44</v>
      </c>
      <c r="U249" s="170">
        <f t="shared" si="58"/>
        <v>1948.3400000000001</v>
      </c>
      <c r="V249" s="170">
        <f t="shared" si="58"/>
        <v>1926.54</v>
      </c>
      <c r="W249" s="170">
        <f t="shared" si="58"/>
        <v>1915.74</v>
      </c>
      <c r="X249" s="170">
        <f t="shared" si="58"/>
        <v>1924.8400000000001</v>
      </c>
      <c r="Y249" s="170">
        <f t="shared" si="58"/>
        <v>1924.74</v>
      </c>
      <c r="Z249" s="170">
        <f t="shared" si="58"/>
        <v>1953.84</v>
      </c>
      <c r="AA249" s="170">
        <f t="shared" si="58"/>
        <v>1949.84</v>
      </c>
      <c r="AB249" s="170">
        <f t="shared" si="58"/>
        <v>1954.0400000000002</v>
      </c>
      <c r="AC249" s="170">
        <f t="shared" si="58"/>
        <v>1939.0900000000001</v>
      </c>
      <c r="AD249" s="170">
        <f t="shared" si="58"/>
        <v>1952.8400000000001</v>
      </c>
      <c r="AE249" s="170">
        <f t="shared" si="58"/>
        <v>1954.2399999999998</v>
      </c>
      <c r="AF249" s="170">
        <f t="shared" si="58"/>
        <v>1894.4399999999998</v>
      </c>
      <c r="AG249" s="170">
        <f t="shared" si="58"/>
        <v>1902.04</v>
      </c>
      <c r="AH249" s="170">
        <f t="shared" si="58"/>
        <v>1960.1400000000003</v>
      </c>
      <c r="AI249" s="170">
        <f t="shared" si="58"/>
        <v>1980.7399999999998</v>
      </c>
      <c r="AJ249" s="170">
        <f t="shared" si="58"/>
        <v>1934.04</v>
      </c>
      <c r="AK249" s="170">
        <f t="shared" si="58"/>
        <v>1943.84</v>
      </c>
      <c r="AL249" s="170">
        <f t="shared" si="58"/>
        <v>1962.2400000000002</v>
      </c>
      <c r="AM249" s="170">
        <f t="shared" si="58"/>
        <v>1987.7400000000002</v>
      </c>
      <c r="AN249" s="170">
        <f t="shared" si="58"/>
        <v>1955.6399999999999</v>
      </c>
      <c r="AO249" s="170">
        <f t="shared" si="58"/>
        <v>1947.6399999999999</v>
      </c>
      <c r="AP249" s="170">
        <f t="shared" si="58"/>
        <v>1965.6399999999999</v>
      </c>
      <c r="AQ249" s="170">
        <f t="shared" si="58"/>
        <v>1973.6399999999999</v>
      </c>
      <c r="AR249" s="170">
        <f t="shared" si="58"/>
        <v>2057.34</v>
      </c>
      <c r="AS249" s="170">
        <f t="shared" si="58"/>
        <v>2060.54</v>
      </c>
      <c r="AT249" s="170">
        <f t="shared" si="58"/>
        <v>2049.2399999999998</v>
      </c>
      <c r="AU249" s="170">
        <f t="shared" si="58"/>
        <v>2055.94</v>
      </c>
      <c r="AV249" s="170">
        <f t="shared" si="58"/>
        <v>1994.8899999999999</v>
      </c>
      <c r="AW249" s="170">
        <f t="shared" si="58"/>
        <v>1992.99</v>
      </c>
      <c r="AX249" s="170">
        <f t="shared" si="58"/>
        <v>1919.7399999999998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59">C234</f>
        <v>0.64</v>
      </c>
      <c r="C270" s="173">
        <f t="shared" si="59"/>
        <v>0.64</v>
      </c>
      <c r="D270" s="173">
        <f t="shared" si="59"/>
        <v>0.64</v>
      </c>
      <c r="E270" s="173">
        <f t="shared" si="59"/>
        <v>0.64</v>
      </c>
      <c r="F270" s="173">
        <f t="shared" si="59"/>
        <v>0.64</v>
      </c>
      <c r="G270" s="173">
        <f t="shared" si="59"/>
        <v>0.64</v>
      </c>
      <c r="H270" s="173">
        <f t="shared" si="59"/>
        <v>0.64</v>
      </c>
      <c r="I270" s="173">
        <f t="shared" si="59"/>
        <v>0.64</v>
      </c>
      <c r="J270" s="173">
        <f t="shared" si="59"/>
        <v>0.64</v>
      </c>
      <c r="K270" s="173">
        <f t="shared" si="59"/>
        <v>0.64</v>
      </c>
      <c r="L270" s="173">
        <f t="shared" si="59"/>
        <v>0.64</v>
      </c>
      <c r="M270" s="173">
        <f t="shared" si="59"/>
        <v>0.64</v>
      </c>
      <c r="N270" s="173">
        <f t="shared" si="59"/>
        <v>0.64</v>
      </c>
      <c r="O270" s="173">
        <f t="shared" si="59"/>
        <v>0.64</v>
      </c>
      <c r="P270" s="173">
        <f t="shared" si="59"/>
        <v>0</v>
      </c>
      <c r="Q270" s="173">
        <f t="shared" si="59"/>
        <v>0</v>
      </c>
      <c r="R270" s="173">
        <f t="shared" si="59"/>
        <v>0</v>
      </c>
      <c r="S270" s="173">
        <f t="shared" si="59"/>
        <v>0</v>
      </c>
      <c r="T270" s="173">
        <f t="shared" si="59"/>
        <v>0</v>
      </c>
      <c r="U270" s="173">
        <f t="shared" si="59"/>
        <v>0</v>
      </c>
      <c r="V270" s="173">
        <f t="shared" si="59"/>
        <v>0</v>
      </c>
      <c r="W270" s="173">
        <f t="shared" si="59"/>
        <v>0</v>
      </c>
      <c r="X270" s="173">
        <f t="shared" si="59"/>
        <v>0</v>
      </c>
      <c r="Y270" s="173">
        <f t="shared" si="59"/>
        <v>0</v>
      </c>
      <c r="Z270" s="173">
        <f t="shared" si="59"/>
        <v>0</v>
      </c>
      <c r="AA270" s="173">
        <f t="shared" si="59"/>
        <v>0</v>
      </c>
      <c r="AB270" s="173">
        <f t="shared" si="59"/>
        <v>0</v>
      </c>
      <c r="AC270" s="173">
        <f t="shared" si="59"/>
        <v>0</v>
      </c>
      <c r="AD270" s="173">
        <f t="shared" si="59"/>
        <v>0</v>
      </c>
      <c r="AE270" s="173">
        <f t="shared" si="59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60">IF(B238&lt;100,"",B238-520)</f>
        <v/>
      </c>
      <c r="C271" s="174" t="str">
        <f t="shared" si="60"/>
        <v/>
      </c>
      <c r="D271" s="174" t="str">
        <f t="shared" si="60"/>
        <v/>
      </c>
      <c r="E271" s="174" t="str">
        <f t="shared" si="60"/>
        <v/>
      </c>
      <c r="F271" s="174" t="str">
        <f t="shared" si="60"/>
        <v/>
      </c>
      <c r="G271" s="174" t="str">
        <f t="shared" si="60"/>
        <v/>
      </c>
      <c r="H271" s="174" t="str">
        <f t="shared" si="60"/>
        <v/>
      </c>
      <c r="I271" s="174" t="str">
        <f t="shared" si="60"/>
        <v/>
      </c>
      <c r="J271" s="174" t="str">
        <f t="shared" si="60"/>
        <v/>
      </c>
      <c r="K271" s="174" t="str">
        <f t="shared" si="60"/>
        <v/>
      </c>
      <c r="L271" s="174" t="str">
        <f t="shared" si="60"/>
        <v/>
      </c>
      <c r="M271" s="174" t="str">
        <f t="shared" si="60"/>
        <v/>
      </c>
      <c r="N271" s="174" t="str">
        <f t="shared" si="60"/>
        <v/>
      </c>
      <c r="O271" s="174" t="str">
        <f t="shared" si="60"/>
        <v/>
      </c>
      <c r="P271" s="174" t="str">
        <f t="shared" si="60"/>
        <v/>
      </c>
      <c r="Q271" s="174" t="str">
        <f t="shared" si="60"/>
        <v/>
      </c>
      <c r="R271" s="174" t="str">
        <f t="shared" si="60"/>
        <v/>
      </c>
      <c r="S271" s="174" t="str">
        <f t="shared" si="60"/>
        <v/>
      </c>
      <c r="T271" s="174" t="str">
        <f t="shared" si="60"/>
        <v/>
      </c>
      <c r="U271" s="174" t="str">
        <f t="shared" si="60"/>
        <v/>
      </c>
      <c r="V271" s="174" t="str">
        <f t="shared" si="60"/>
        <v/>
      </c>
      <c r="W271" s="174" t="str">
        <f t="shared" si="60"/>
        <v/>
      </c>
      <c r="X271" s="174" t="str">
        <f t="shared" si="60"/>
        <v/>
      </c>
      <c r="Y271" s="174" t="str">
        <f t="shared" si="60"/>
        <v/>
      </c>
      <c r="Z271" s="174" t="str">
        <f t="shared" si="60"/>
        <v/>
      </c>
      <c r="AA271" s="174" t="str">
        <f t="shared" si="60"/>
        <v/>
      </c>
      <c r="AB271" s="174" t="str">
        <f t="shared" si="60"/>
        <v/>
      </c>
      <c r="AC271" s="174" t="str">
        <f t="shared" si="60"/>
        <v/>
      </c>
      <c r="AD271" s="174" t="str">
        <f t="shared" si="60"/>
        <v/>
      </c>
      <c r="AE271" s="174" t="str">
        <f t="shared" si="60"/>
        <v/>
      </c>
      <c r="AF271" s="174" t="str">
        <f t="shared" si="60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61">IF(B239&lt;100,"",B239-620)</f>
        <v/>
      </c>
      <c r="C272" s="174" t="str">
        <f t="shared" si="61"/>
        <v/>
      </c>
      <c r="D272" s="174" t="str">
        <f t="shared" si="61"/>
        <v/>
      </c>
      <c r="E272" s="174" t="str">
        <f t="shared" si="61"/>
        <v/>
      </c>
      <c r="F272" s="174" t="str">
        <f t="shared" si="61"/>
        <v/>
      </c>
      <c r="G272" s="174" t="str">
        <f t="shared" si="61"/>
        <v/>
      </c>
      <c r="H272" s="174" t="str">
        <f t="shared" si="61"/>
        <v/>
      </c>
      <c r="I272" s="174" t="str">
        <f t="shared" si="61"/>
        <v/>
      </c>
      <c r="J272" s="174" t="str">
        <f t="shared" si="61"/>
        <v/>
      </c>
      <c r="K272" s="174" t="str">
        <f t="shared" si="61"/>
        <v/>
      </c>
      <c r="L272" s="174" t="str">
        <f t="shared" si="61"/>
        <v/>
      </c>
      <c r="M272" s="174" t="str">
        <f t="shared" si="61"/>
        <v/>
      </c>
      <c r="N272" s="174" t="str">
        <f t="shared" si="61"/>
        <v/>
      </c>
      <c r="O272" s="174" t="str">
        <f t="shared" si="61"/>
        <v/>
      </c>
      <c r="P272" s="174" t="str">
        <f t="shared" si="61"/>
        <v/>
      </c>
      <c r="Q272" s="174" t="str">
        <f t="shared" si="61"/>
        <v/>
      </c>
      <c r="R272" s="174" t="str">
        <f t="shared" si="61"/>
        <v/>
      </c>
      <c r="S272" s="174" t="str">
        <f t="shared" si="61"/>
        <v/>
      </c>
      <c r="T272" s="174" t="str">
        <f t="shared" si="61"/>
        <v/>
      </c>
      <c r="U272" s="174" t="str">
        <f t="shared" si="61"/>
        <v/>
      </c>
      <c r="V272" s="174" t="str">
        <f t="shared" si="61"/>
        <v/>
      </c>
      <c r="W272" s="174" t="str">
        <f t="shared" si="61"/>
        <v/>
      </c>
      <c r="X272" s="174" t="str">
        <f t="shared" si="61"/>
        <v/>
      </c>
      <c r="Y272" s="174" t="str">
        <f t="shared" si="61"/>
        <v/>
      </c>
      <c r="Z272" s="174" t="str">
        <f t="shared" si="61"/>
        <v/>
      </c>
      <c r="AA272" s="174" t="str">
        <f t="shared" si="61"/>
        <v/>
      </c>
      <c r="AB272" s="174" t="str">
        <f t="shared" si="61"/>
        <v/>
      </c>
      <c r="AC272" s="174" t="str">
        <f t="shared" si="61"/>
        <v/>
      </c>
      <c r="AD272" s="174" t="str">
        <f t="shared" si="61"/>
        <v/>
      </c>
      <c r="AE272" s="174" t="str">
        <f t="shared" si="61"/>
        <v/>
      </c>
      <c r="AF272" s="174" t="str">
        <f t="shared" si="61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62">IF(B240&lt;100,"",B240-330)</f>
        <v/>
      </c>
      <c r="C273" s="174" t="str">
        <f t="shared" si="62"/>
        <v/>
      </c>
      <c r="D273" s="174" t="str">
        <f t="shared" si="62"/>
        <v/>
      </c>
      <c r="E273" s="174" t="str">
        <f t="shared" si="62"/>
        <v/>
      </c>
      <c r="F273" s="174" t="str">
        <f t="shared" si="62"/>
        <v/>
      </c>
      <c r="G273" s="174" t="str">
        <f t="shared" si="62"/>
        <v/>
      </c>
      <c r="H273" s="174" t="str">
        <f t="shared" si="62"/>
        <v/>
      </c>
      <c r="I273" s="174" t="str">
        <f t="shared" si="62"/>
        <v/>
      </c>
      <c r="J273" s="174" t="str">
        <f t="shared" si="62"/>
        <v/>
      </c>
      <c r="K273" s="174" t="str">
        <f t="shared" si="62"/>
        <v/>
      </c>
      <c r="L273" s="174" t="str">
        <f t="shared" si="62"/>
        <v/>
      </c>
      <c r="M273" s="174" t="str">
        <f t="shared" si="62"/>
        <v/>
      </c>
      <c r="N273" s="174" t="str">
        <f t="shared" si="62"/>
        <v/>
      </c>
      <c r="O273" s="174" t="str">
        <f t="shared" si="62"/>
        <v/>
      </c>
      <c r="P273" s="174" t="str">
        <f t="shared" si="62"/>
        <v/>
      </c>
      <c r="Q273" s="174" t="str">
        <f t="shared" si="62"/>
        <v/>
      </c>
      <c r="R273" s="174" t="str">
        <f t="shared" si="62"/>
        <v/>
      </c>
      <c r="S273" s="174" t="str">
        <f t="shared" si="62"/>
        <v/>
      </c>
      <c r="T273" s="174" t="str">
        <f t="shared" si="62"/>
        <v/>
      </c>
      <c r="U273" s="174" t="str">
        <f t="shared" si="62"/>
        <v/>
      </c>
      <c r="V273" s="174" t="str">
        <f t="shared" si="62"/>
        <v/>
      </c>
      <c r="W273" s="174" t="str">
        <f t="shared" si="62"/>
        <v/>
      </c>
      <c r="X273" s="174" t="str">
        <f t="shared" si="62"/>
        <v/>
      </c>
      <c r="Y273" s="174" t="str">
        <f t="shared" si="62"/>
        <v/>
      </c>
      <c r="Z273" s="174" t="str">
        <f t="shared" si="62"/>
        <v/>
      </c>
      <c r="AA273" s="174" t="str">
        <f t="shared" si="62"/>
        <v/>
      </c>
      <c r="AB273" s="174" t="str">
        <f t="shared" si="62"/>
        <v/>
      </c>
      <c r="AC273" s="174" t="str">
        <f t="shared" si="62"/>
        <v/>
      </c>
      <c r="AD273" s="174" t="str">
        <f t="shared" si="62"/>
        <v/>
      </c>
      <c r="AE273" s="174" t="str">
        <f t="shared" si="62"/>
        <v/>
      </c>
      <c r="AF273" s="174" t="str">
        <f t="shared" si="62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63">IF(B241&lt;100,"",B241-1500)</f>
        <v/>
      </c>
      <c r="C274" s="174" t="str">
        <f t="shared" si="63"/>
        <v/>
      </c>
      <c r="D274" s="174" t="str">
        <f t="shared" si="63"/>
        <v/>
      </c>
      <c r="E274" s="174" t="str">
        <f t="shared" si="63"/>
        <v/>
      </c>
      <c r="F274" s="174" t="str">
        <f t="shared" si="63"/>
        <v/>
      </c>
      <c r="G274" s="174" t="str">
        <f t="shared" si="63"/>
        <v/>
      </c>
      <c r="H274" s="174" t="str">
        <f t="shared" si="63"/>
        <v/>
      </c>
      <c r="I274" s="174" t="str">
        <f t="shared" si="63"/>
        <v/>
      </c>
      <c r="J274" s="174" t="str">
        <f t="shared" si="63"/>
        <v/>
      </c>
      <c r="K274" s="174" t="str">
        <f t="shared" si="63"/>
        <v/>
      </c>
      <c r="L274" s="174" t="str">
        <f t="shared" si="63"/>
        <v/>
      </c>
      <c r="M274" s="174" t="str">
        <f t="shared" si="63"/>
        <v/>
      </c>
      <c r="N274" s="174" t="str">
        <f t="shared" si="63"/>
        <v/>
      </c>
      <c r="O274" s="174" t="str">
        <f t="shared" si="63"/>
        <v/>
      </c>
      <c r="P274" s="174" t="str">
        <f t="shared" si="63"/>
        <v/>
      </c>
      <c r="Q274" s="174" t="str">
        <f t="shared" si="63"/>
        <v/>
      </c>
      <c r="R274" s="174" t="str">
        <f t="shared" si="63"/>
        <v/>
      </c>
      <c r="S274" s="174" t="str">
        <f t="shared" si="63"/>
        <v/>
      </c>
      <c r="T274" s="174" t="str">
        <f t="shared" si="63"/>
        <v/>
      </c>
      <c r="U274" s="174" t="str">
        <f t="shared" si="63"/>
        <v/>
      </c>
      <c r="V274" s="174" t="str">
        <f t="shared" si="63"/>
        <v/>
      </c>
      <c r="W274" s="174" t="str">
        <f t="shared" si="63"/>
        <v/>
      </c>
      <c r="X274" s="174" t="str">
        <f t="shared" si="63"/>
        <v/>
      </c>
      <c r="Y274" s="174" t="str">
        <f t="shared" si="63"/>
        <v/>
      </c>
      <c r="Z274" s="174" t="str">
        <f t="shared" si="63"/>
        <v/>
      </c>
      <c r="AA274" s="174" t="str">
        <f t="shared" si="63"/>
        <v/>
      </c>
      <c r="AB274" s="174" t="str">
        <f t="shared" si="63"/>
        <v/>
      </c>
      <c r="AC274" s="174" t="str">
        <f t="shared" si="63"/>
        <v/>
      </c>
      <c r="AD274" s="174" t="str">
        <f t="shared" si="63"/>
        <v/>
      </c>
      <c r="AE274" s="174" t="str">
        <f t="shared" si="63"/>
        <v/>
      </c>
      <c r="AF274" s="174" t="str">
        <f t="shared" si="63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684" priority="64">
      <formula>$AH11=0</formula>
    </cfRule>
  </conditionalFormatting>
  <conditionalFormatting sqref="B8 M8 S8 AB8">
    <cfRule type="expression" dxfId="683" priority="117">
      <formula>C$9&lt;8/24</formula>
    </cfRule>
    <cfRule type="expression" dxfId="682" priority="116">
      <formula>AND(C$9&gt;=8/24,C$9&lt;14/24)</formula>
    </cfRule>
    <cfRule type="expression" dxfId="681" priority="115">
      <formula>AND(C$9&gt;=14/24,C$9&lt;20/24)</formula>
    </cfRule>
  </conditionalFormatting>
  <conditionalFormatting sqref="B54:C54">
    <cfRule type="expression" dxfId="680" priority="38">
      <formula>B$9&gt;=20/24</formula>
    </cfRule>
    <cfRule type="expression" dxfId="679" priority="39">
      <formula>AND(B$9&gt;=14/24,B$9&lt;20/24)</formula>
    </cfRule>
    <cfRule type="expression" dxfId="678" priority="41">
      <formula>B$9&lt;8/24</formula>
    </cfRule>
    <cfRule type="expression" dxfId="677" priority="40">
      <formula>AND(B$9&gt;=8/24,B$9&lt;14/24)</formula>
    </cfRule>
  </conditionalFormatting>
  <conditionalFormatting sqref="B55:Y59">
    <cfRule type="expression" dxfId="676" priority="63">
      <formula>B$9&lt;8/24</formula>
    </cfRule>
    <cfRule type="expression" dxfId="675" priority="62">
      <formula>AND(B$9&gt;=8/24,B$9&lt;14/24)</formula>
    </cfRule>
    <cfRule type="expression" dxfId="674" priority="61">
      <formula>AND(B$9&gt;=14/24,B$9&lt;20/24)</formula>
    </cfRule>
    <cfRule type="expression" dxfId="673" priority="60">
      <formula>B$9&gt;=20/24</formula>
    </cfRule>
  </conditionalFormatting>
  <conditionalFormatting sqref="B60:AA60">
    <cfRule type="expression" dxfId="672" priority="53">
      <formula>AND(B$9&gt;=8/24,B$9&lt;14/24)</formula>
    </cfRule>
    <cfRule type="expression" dxfId="671" priority="52">
      <formula>AND(B$9&gt;=14/24,B$9&lt;20/24)</formula>
    </cfRule>
    <cfRule type="expression" dxfId="670" priority="54">
      <formula>B$9&lt;8/24</formula>
    </cfRule>
    <cfRule type="expression" dxfId="669" priority="51">
      <formula>B$9&gt;=20/24</formula>
    </cfRule>
  </conditionalFormatting>
  <conditionalFormatting sqref="B9:AF45">
    <cfRule type="expression" dxfId="668" priority="26">
      <formula>B$9&lt;8/24</formula>
    </cfRule>
    <cfRule type="expression" dxfId="667" priority="23">
      <formula>B$9&gt;=20/24</formula>
    </cfRule>
    <cfRule type="expression" dxfId="666" priority="25">
      <formula>AND(B$9&gt;=8/24,B$9&lt;14/24)</formula>
    </cfRule>
    <cfRule type="expression" dxfId="665" priority="24">
      <formula>AND(B$9&gt;=14/24,B$9&lt;20/24)</formula>
    </cfRule>
  </conditionalFormatting>
  <conditionalFormatting sqref="B11:AF46">
    <cfRule type="expression" dxfId="664" priority="22">
      <formula>B11&gt;$AG11</formula>
    </cfRule>
  </conditionalFormatting>
  <conditionalFormatting sqref="B46:AF46">
    <cfRule type="expression" dxfId="663" priority="21">
      <formula>B$9&lt;8/24</formula>
    </cfRule>
    <cfRule type="expression" dxfId="662" priority="18">
      <formula>B$9&gt;=20/24</formula>
    </cfRule>
    <cfRule type="expression" dxfId="661" priority="20">
      <formula>AND(B$9&gt;=8/24,B$9&lt;14/24)</formula>
    </cfRule>
    <cfRule type="expression" dxfId="660" priority="19">
      <formula>AND(B$9&gt;=14/24,B$9&lt;20/24)</formula>
    </cfRule>
  </conditionalFormatting>
  <conditionalFormatting sqref="B47:AF47">
    <cfRule type="expression" dxfId="659" priority="32">
      <formula>B47&gt;$AG47</formula>
    </cfRule>
  </conditionalFormatting>
  <conditionalFormatting sqref="B47:AF49">
    <cfRule type="expression" dxfId="658" priority="28">
      <formula>B$9&gt;=20/24</formula>
    </cfRule>
    <cfRule type="expression" dxfId="657" priority="29">
      <formula>AND(B$9&gt;=14/24,B$9&lt;20/24)</formula>
    </cfRule>
    <cfRule type="expression" dxfId="656" priority="30">
      <formula>AND(B$9&gt;=8/24,B$9&lt;14/24)</formula>
    </cfRule>
    <cfRule type="expression" dxfId="655" priority="31">
      <formula>B$9&lt;8/24</formula>
    </cfRule>
  </conditionalFormatting>
  <conditionalFormatting sqref="B48:AF53">
    <cfRule type="expression" dxfId="654" priority="27">
      <formula>B48&gt;$AG48</formula>
    </cfRule>
  </conditionalFormatting>
  <conditionalFormatting sqref="B51:AF53">
    <cfRule type="expression" dxfId="653" priority="47">
      <formula>B$9&gt;=20/24</formula>
    </cfRule>
    <cfRule type="expression" dxfId="652" priority="48">
      <formula>AND(B$9&gt;=14/24,B$9&lt;20/24)</formula>
    </cfRule>
    <cfRule type="expression" dxfId="651" priority="50">
      <formula>B$9&lt;8/24</formula>
    </cfRule>
    <cfRule type="expression" dxfId="650" priority="49">
      <formula>AND(B$9&gt;=8/24,B$9&lt;14/24)</formula>
    </cfRule>
  </conditionalFormatting>
  <conditionalFormatting sqref="B61:AF66">
    <cfRule type="expression" dxfId="649" priority="35">
      <formula>AND(B$9&gt;=14/24,B$9&lt;20/24)</formula>
    </cfRule>
    <cfRule type="expression" dxfId="648" priority="36">
      <formula>AND(B$9&gt;=8/24,B$9&lt;14/24)</formula>
    </cfRule>
    <cfRule type="expression" dxfId="647" priority="37">
      <formula>B$9&lt;8/24</formula>
    </cfRule>
    <cfRule type="expression" dxfId="646" priority="34">
      <formula>B$9&gt;=20/24</formula>
    </cfRule>
  </conditionalFormatting>
  <conditionalFormatting sqref="B69:AF71">
    <cfRule type="expression" dxfId="645" priority="59">
      <formula>B$9&lt;8/24</formula>
    </cfRule>
    <cfRule type="expression" dxfId="644" priority="58">
      <formula>AND(B$9&gt;=8/24,B$9&lt;14/24)</formula>
    </cfRule>
    <cfRule type="expression" dxfId="643" priority="57">
      <formula>AND(B$9&gt;=14/24,B$9&lt;20/24)</formula>
    </cfRule>
    <cfRule type="expression" dxfId="642" priority="56">
      <formula>B$9&gt;=20/24</formula>
    </cfRule>
    <cfRule type="expression" dxfId="641" priority="55">
      <formula>B69&gt;$AG69</formula>
    </cfRule>
  </conditionalFormatting>
  <conditionalFormatting sqref="B73:AF91">
    <cfRule type="expression" dxfId="640" priority="2">
      <formula>AND(B$9&gt;=14/24,B$9&lt;20/24)</formula>
    </cfRule>
    <cfRule type="expression" dxfId="639" priority="3">
      <formula>AND(B$9&gt;=8/24,B$9&lt;14/24)</formula>
    </cfRule>
    <cfRule type="expression" dxfId="638" priority="4">
      <formula>B$9&lt;8/24</formula>
    </cfRule>
    <cfRule type="expression" dxfId="637" priority="1">
      <formula>B$9&gt;=20/24</formula>
    </cfRule>
  </conditionalFormatting>
  <conditionalFormatting sqref="B111:AF120">
    <cfRule type="expression" dxfId="636" priority="15">
      <formula>AND(B$9&gt;=14/24,B$9&lt;20/24)</formula>
    </cfRule>
    <cfRule type="expression" dxfId="635" priority="17">
      <formula>B$9&lt;8/24</formula>
    </cfRule>
    <cfRule type="expression" dxfId="634" priority="16">
      <formula>AND(B$9&gt;=8/24,B$9&lt;14/24)</formula>
    </cfRule>
    <cfRule type="expression" dxfId="633" priority="14">
      <formula>B$9&gt;=20/24</formula>
    </cfRule>
  </conditionalFormatting>
  <conditionalFormatting sqref="B227:AF227 D229:AF230 B229:B235 D231:H231 J231:AF231 D232:AF235 U248:AF248">
    <cfRule type="expression" dxfId="632" priority="108">
      <formula>B$9&gt;=20/24</formula>
    </cfRule>
    <cfRule type="expression" dxfId="631" priority="109">
      <formula>AND(B$9&gt;=14/24,B$9&lt;20/24)</formula>
    </cfRule>
    <cfRule type="expression" dxfId="630" priority="110">
      <formula>AND(B$9&gt;=8/24,B$9&lt;14/24)</formula>
    </cfRule>
    <cfRule type="expression" dxfId="629" priority="111">
      <formula>B$9&lt;8/24</formula>
    </cfRule>
  </conditionalFormatting>
  <conditionalFormatting sqref="B67:AG68 B72:AG72">
    <cfRule type="expression" dxfId="628" priority="42">
      <formula>B67&gt;$AG67</formula>
    </cfRule>
  </conditionalFormatting>
  <conditionalFormatting sqref="B72:AG72 B93:AF109">
    <cfRule type="expression" dxfId="627" priority="46">
      <formula>B$9&lt;8/24</formula>
    </cfRule>
    <cfRule type="expression" dxfId="626" priority="45">
      <formula>AND(B$9&gt;=8/24,B$9&lt;14/24)</formula>
    </cfRule>
    <cfRule type="expression" dxfId="625" priority="44">
      <formula>AND(B$9&gt;=14/24,B$9&lt;20/24)</formula>
    </cfRule>
    <cfRule type="expression" dxfId="624" priority="43">
      <formula>B$9&gt;=20/24</formula>
    </cfRule>
  </conditionalFormatting>
  <conditionalFormatting sqref="D55:AF66">
    <cfRule type="expression" dxfId="623" priority="5">
      <formula>D55&gt;$AG55</formula>
    </cfRule>
  </conditionalFormatting>
  <conditionalFormatting sqref="D54:AG54">
    <cfRule type="expression" dxfId="622" priority="76">
      <formula>D54&gt;$AG54</formula>
    </cfRule>
    <cfRule type="expression" dxfId="621" priority="77">
      <formula>D$9&gt;=20/24</formula>
    </cfRule>
    <cfRule type="expression" dxfId="620" priority="78">
      <formula>AND(D$9&gt;=14/24,D$9&lt;20/24)</formula>
    </cfRule>
    <cfRule type="expression" dxfId="619" priority="79">
      <formula>AND(D$9&gt;=8/24,D$9&lt;14/24)</formula>
    </cfRule>
    <cfRule type="expression" dxfId="618" priority="80">
      <formula>D$9&lt;8/24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P62:AF66 B54:C66">
    <cfRule type="expression" dxfId="617" priority="33">
      <formula>B54&gt;$AG54</formula>
    </cfRule>
  </conditionalFormatting>
  <conditionalFormatting sqref="S8 AB8 B8 M8">
    <cfRule type="expression" dxfId="616" priority="114">
      <formula>C$9&gt;=20/24</formula>
    </cfRule>
  </conditionalFormatting>
  <conditionalFormatting sqref="S8">
    <cfRule type="expression" dxfId="615" priority="104">
      <formula>U$9&lt;8/24</formula>
    </cfRule>
    <cfRule type="expression" dxfId="614" priority="103">
      <formula>AND(U$9&gt;=8/24,U$9&lt;14/24)</formula>
    </cfRule>
    <cfRule type="expression" dxfId="613" priority="102">
      <formula>AND(U$9&gt;=14/24,U$9&lt;20/24)</formula>
    </cfRule>
    <cfRule type="expression" dxfId="612" priority="101">
      <formula>U$9&gt;=20/24</formula>
    </cfRule>
  </conditionalFormatting>
  <conditionalFormatting sqref="S55:AF60">
    <cfRule type="expression" dxfId="611" priority="10">
      <formula>S$9&gt;=20/24</formula>
    </cfRule>
    <cfRule type="expression" dxfId="610" priority="13">
      <formula>S$9&lt;8/24</formula>
    </cfRule>
    <cfRule type="expression" dxfId="609" priority="12">
      <formula>AND(S$9&gt;=8/24,S$9&lt;14/24)</formula>
    </cfRule>
    <cfRule type="expression" dxfId="608" priority="11">
      <formula>AND(S$9&gt;=14/24,S$9&lt;20/24)</formula>
    </cfRule>
  </conditionalFormatting>
  <conditionalFormatting sqref="T248">
    <cfRule type="expression" dxfId="607" priority="129">
      <formula>AX$9&lt;8/24</formula>
    </cfRule>
    <cfRule type="expression" dxfId="606" priority="126">
      <formula>AX$9&gt;=20/24</formula>
    </cfRule>
    <cfRule type="expression" dxfId="605" priority="127">
      <formula>AND(AX$9&gt;=14/24,AX$9&lt;20/24)</formula>
    </cfRule>
    <cfRule type="expression" dxfId="604" priority="128">
      <formula>AND(AX$9&gt;=8/24,AX$9&lt;14/24)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Z59:AA59">
    <cfRule type="expression" dxfId="603" priority="95">
      <formula>AND(Z$9&gt;=8/24,Z$9&lt;14/24)</formula>
    </cfRule>
    <cfRule type="expression" dxfId="602" priority="96">
      <formula>Z$9&lt;8/24</formula>
    </cfRule>
    <cfRule type="expression" dxfId="601" priority="93">
      <formula>Z$9&gt;=20/24</formula>
    </cfRule>
    <cfRule type="expression" dxfId="600" priority="94">
      <formula>AND(Z$9&gt;=14/24,Z$9&lt;20/24)</formula>
    </cfRule>
  </conditionalFormatting>
  <conditionalFormatting sqref="AB8">
    <cfRule type="expression" dxfId="599" priority="97">
      <formula>AD$9&gt;=20/24</formula>
    </cfRule>
    <cfRule type="expression" dxfId="598" priority="98">
      <formula>AND(AD$9&gt;=14/24,AD$9&lt;20/24)</formula>
    </cfRule>
    <cfRule type="expression" dxfId="597" priority="99">
      <formula>AND(AD$9&gt;=8/24,AD$9&lt;14/24)</formula>
    </cfRule>
    <cfRule type="expression" dxfId="596" priority="100">
      <formula>AD$9&lt;8/24</formula>
    </cfRule>
  </conditionalFormatting>
  <conditionalFormatting sqref="AE61:AF66">
    <cfRule type="expression" dxfId="595" priority="7">
      <formula>AND(AE$9&gt;=14/24,AE$9&lt;20/24)</formula>
    </cfRule>
    <cfRule type="expression" dxfId="594" priority="6">
      <formula>AE$9&gt;=20/24</formula>
    </cfRule>
    <cfRule type="expression" dxfId="593" priority="9">
      <formula>AE$9&lt;8/24</formula>
    </cfRule>
    <cfRule type="expression" dxfId="592" priority="8">
      <formula>AND(AE$9&gt;=8/24,AE$9&lt;14/24)</formula>
    </cfRule>
  </conditionalFormatting>
  <conditionalFormatting sqref="AG50">
    <cfRule type="expression" dxfId="591" priority="84">
      <formula>AG50&gt;$AG50</formula>
    </cfRule>
  </conditionalFormatting>
  <conditionalFormatting sqref="AG89">
    <cfRule type="expression" dxfId="590" priority="87">
      <formula>AND(AG$9&gt;=8/24,AG$9&lt;14/24)</formula>
    </cfRule>
    <cfRule type="expression" dxfId="589" priority="86">
      <formula>AND(AG$9&gt;=14/24,AG$9&lt;20/24)</formula>
    </cfRule>
    <cfRule type="expression" dxfId="588" priority="85">
      <formula>AG$9&gt;=20/24</formula>
    </cfRule>
    <cfRule type="expression" dxfId="587" priority="88">
      <formula>AG$9&lt;8/24</formula>
    </cfRule>
  </conditionalFormatting>
  <conditionalFormatting sqref="AG248">
    <cfRule type="expression" dxfId="586" priority="118">
      <formula>B$9&gt;=20/24</formula>
    </cfRule>
    <cfRule type="expression" dxfId="585" priority="119">
      <formula>AND(B$9&gt;=14/24,B$9&lt;20/24)</formula>
    </cfRule>
    <cfRule type="expression" dxfId="584" priority="120">
      <formula>AND(B$9&gt;=8/24,B$9&lt;14/24)</formula>
    </cfRule>
    <cfRule type="expression" dxfId="583" priority="121">
      <formula>B$9&lt;8/24</formula>
    </cfRule>
  </conditionalFormatting>
  <conditionalFormatting sqref="AH248:AX248">
    <cfRule type="expression" dxfId="582" priority="122">
      <formula>AG$9&gt;=20/24</formula>
    </cfRule>
    <cfRule type="expression" dxfId="581" priority="123">
      <formula>AND(AG$9&gt;=14/24,AG$9&lt;20/24)</formula>
    </cfRule>
    <cfRule type="expression" dxfId="580" priority="124">
      <formula>AND(AG$9&gt;=8/24,AG$9&lt;14/24)</formula>
    </cfRule>
    <cfRule type="expression" dxfId="579" priority="125">
      <formula>AG$9&lt;8/24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578" priority="131">
      <formula>AJ$9&gt;=20/24</formula>
    </cfRule>
    <cfRule type="expression" dxfId="577" priority="132">
      <formula>AND(AJ$9&gt;=14/24,AJ$9&lt;20/24)</formula>
    </cfRule>
    <cfRule type="expression" dxfId="576" priority="133">
      <formula>AND(AJ$9&gt;=8/24,AJ$9&lt;14/24)</formula>
    </cfRule>
    <cfRule type="expression" dxfId="575" priority="134">
      <formula>AJ$9&lt;8/24</formula>
    </cfRule>
  </conditionalFormatting>
  <conditionalFormatting sqref="AL80:AN80 AL86:AN86">
    <cfRule type="expression" dxfId="574" priority="72">
      <formula>AL$9&gt;=20/24</formula>
    </cfRule>
    <cfRule type="expression" dxfId="573" priority="73">
      <formula>AND(AL$9&gt;=14/24,AL$9&lt;20/24)</formula>
    </cfRule>
    <cfRule type="expression" dxfId="572" priority="74">
      <formula>AND(AL$9&gt;=8/24,AL$9&lt;14/24)</formula>
    </cfRule>
    <cfRule type="expression" dxfId="571" priority="75">
      <formula>AL$9&lt;8/24</formula>
    </cfRule>
  </conditionalFormatting>
  <conditionalFormatting sqref="AN81:AN84">
    <cfRule type="expression" dxfId="570" priority="68">
      <formula>AN$9&gt;=20/24</formula>
    </cfRule>
    <cfRule type="expression" dxfId="569" priority="69">
      <formula>AND(AN$9&gt;=14/24,AN$9&lt;20/24)</formula>
    </cfRule>
    <cfRule type="expression" dxfId="568" priority="70">
      <formula>AND(AN$9&gt;=8/24,AN$9&lt;14/24)</formula>
    </cfRule>
    <cfRule type="expression" dxfId="567" priority="71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1C20-BB70-4996-81FC-1F7A7BE92706}">
  <dimension ref="A1:CJ281"/>
  <sheetViews>
    <sheetView zoomScale="91" zoomScaleNormal="91" workbookViewId="0">
      <pane xSplit="1" ySplit="10" topLeftCell="B108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B48" sqref="B4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7.85546875" style="1" customWidth="1"/>
    <col min="11" max="11" width="6.85546875" style="1" customWidth="1"/>
    <col min="12" max="12" width="6.28515625" style="1" customWidth="1"/>
    <col min="13" max="13" width="7.140625" style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2080/04/22</v>
      </c>
      <c r="C4" s="203"/>
      <c r="D4" s="203"/>
      <c r="E4" s="204" t="str">
        <f ca="1">"2079/"&amp;"12/"&amp;INT(MID(CELL("filename",G6),FIND("]",CELL("filename",G6))+1,200))</f>
        <v>2079/12/22</v>
      </c>
      <c r="F4" s="204"/>
      <c r="G4" s="204"/>
      <c r="H4" s="204" t="str">
        <f ca="1">TEXT(E4,"dddd")</f>
        <v>Friday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62.1</v>
      </c>
      <c r="Y5" s="30">
        <f t="shared" si="0"/>
        <v>13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1928MW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Load=1573</v>
      </c>
      <c r="B7" s="35">
        <f t="shared" ref="B7:AF7" si="1">B91</f>
        <v>1914.8399999999997</v>
      </c>
      <c r="C7" s="35">
        <f t="shared" si="1"/>
        <v>1914.8399999999997</v>
      </c>
      <c r="D7" s="35">
        <f t="shared" si="1"/>
        <v>1846.34</v>
      </c>
      <c r="E7" s="35">
        <f t="shared" si="1"/>
        <v>1862.14</v>
      </c>
      <c r="F7" s="35">
        <f t="shared" si="1"/>
        <v>1869.8399999999997</v>
      </c>
      <c r="G7" s="35">
        <f t="shared" si="1"/>
        <v>1883.3400000000001</v>
      </c>
      <c r="H7" s="35">
        <f t="shared" si="1"/>
        <v>1894.34</v>
      </c>
      <c r="I7" s="35">
        <f t="shared" si="1"/>
        <v>1920.5400000000002</v>
      </c>
      <c r="J7" s="35">
        <f t="shared" si="1"/>
        <v>1572.94</v>
      </c>
      <c r="K7" s="35">
        <f t="shared" si="1"/>
        <v>1572.94</v>
      </c>
      <c r="L7" s="35">
        <f t="shared" si="1"/>
        <v>1572.94</v>
      </c>
      <c r="M7" s="35">
        <f t="shared" si="1"/>
        <v>1896.1399999999999</v>
      </c>
      <c r="N7" s="35">
        <f>N91</f>
        <v>1928.04</v>
      </c>
      <c r="O7" s="35">
        <f t="shared" si="1"/>
        <v>1928.04</v>
      </c>
      <c r="P7" s="35">
        <f t="shared" si="1"/>
        <v>1944.6399999999999</v>
      </c>
      <c r="Q7" s="35">
        <f t="shared" si="1"/>
        <v>1951.74</v>
      </c>
      <c r="R7" s="35">
        <f t="shared" si="1"/>
        <v>1958.6399999999999</v>
      </c>
      <c r="S7" s="35">
        <f t="shared" si="1"/>
        <v>1914.94</v>
      </c>
      <c r="T7" s="35">
        <f t="shared" si="1"/>
        <v>1945.3399999999997</v>
      </c>
      <c r="U7" s="35">
        <f t="shared" si="1"/>
        <v>1936.6399999999999</v>
      </c>
      <c r="V7" s="35">
        <f t="shared" si="1"/>
        <v>1929.1399999999999</v>
      </c>
      <c r="W7" s="35">
        <f t="shared" si="1"/>
        <v>1945.44</v>
      </c>
      <c r="X7" s="35">
        <f t="shared" si="1"/>
        <v>1945.44</v>
      </c>
      <c r="Y7" s="35">
        <f t="shared" si="1"/>
        <v>1967.7399999999998</v>
      </c>
      <c r="Z7" s="35">
        <f t="shared" si="1"/>
        <v>2025.94</v>
      </c>
      <c r="AA7" s="35">
        <f t="shared" si="1"/>
        <v>1992.64</v>
      </c>
      <c r="AB7" s="35">
        <f t="shared" si="1"/>
        <v>1903.54</v>
      </c>
      <c r="AC7" s="35">
        <f t="shared" si="1"/>
        <v>1903.54</v>
      </c>
      <c r="AD7" s="35">
        <f t="shared" si="1"/>
        <v>1913.54</v>
      </c>
      <c r="AE7" s="35">
        <f t="shared" si="1"/>
        <v>1861.6400000000003</v>
      </c>
      <c r="AF7" s="35">
        <f t="shared" si="1"/>
        <v>1866.94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86.3</v>
      </c>
      <c r="C11" s="45">
        <v>86.3</v>
      </c>
      <c r="D11" s="45">
        <v>86.3</v>
      </c>
      <c r="E11" s="45">
        <v>86.3</v>
      </c>
      <c r="F11" s="45">
        <v>86.3</v>
      </c>
      <c r="G11" s="45">
        <v>86.3</v>
      </c>
      <c r="H11" s="45">
        <v>86.3</v>
      </c>
      <c r="I11" s="45">
        <v>86.3</v>
      </c>
      <c r="J11" s="45">
        <v>86.3</v>
      </c>
      <c r="K11" s="45">
        <v>86.3</v>
      </c>
      <c r="L11" s="45">
        <v>86.3</v>
      </c>
      <c r="M11" s="45">
        <v>84.1</v>
      </c>
      <c r="N11" s="45">
        <v>84.1</v>
      </c>
      <c r="O11" s="45">
        <v>84.1</v>
      </c>
      <c r="P11" s="45">
        <v>84.1</v>
      </c>
      <c r="Q11" s="45">
        <v>84.1</v>
      </c>
      <c r="R11" s="45">
        <v>83.7</v>
      </c>
      <c r="S11" s="45">
        <v>83.7</v>
      </c>
      <c r="T11" s="45">
        <v>83.7</v>
      </c>
      <c r="U11" s="45">
        <v>83.7</v>
      </c>
      <c r="V11" s="45">
        <v>83.7</v>
      </c>
      <c r="W11" s="45">
        <v>83.5</v>
      </c>
      <c r="X11" s="45">
        <v>83.5</v>
      </c>
      <c r="Y11" s="45">
        <v>83.5</v>
      </c>
      <c r="Z11" s="45">
        <v>83.5</v>
      </c>
      <c r="AA11" s="45">
        <v>83.5</v>
      </c>
      <c r="AB11" s="45">
        <v>0</v>
      </c>
      <c r="AC11" s="45">
        <v>0</v>
      </c>
      <c r="AD11" s="45">
        <v>0</v>
      </c>
      <c r="AE11" s="45">
        <v>0</v>
      </c>
      <c r="AF11" s="45">
        <v>60</v>
      </c>
      <c r="AG11" s="46">
        <v>86</v>
      </c>
      <c r="AH11" s="47">
        <f t="shared" ref="AH11:AH76" si="2">MAX(B11:AF11)</f>
        <v>86.3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0</v>
      </c>
      <c r="C12" s="45">
        <v>0</v>
      </c>
      <c r="D12" s="45">
        <v>0</v>
      </c>
      <c r="E12" s="45">
        <v>10.8</v>
      </c>
      <c r="F12" s="45">
        <v>0</v>
      </c>
      <c r="G12" s="45">
        <v>0</v>
      </c>
      <c r="H12" s="45">
        <v>0</v>
      </c>
      <c r="I12" s="45">
        <v>10.8</v>
      </c>
      <c r="J12" s="45">
        <v>10.8</v>
      </c>
      <c r="K12" s="45">
        <v>10.8</v>
      </c>
      <c r="L12" s="45">
        <v>10.8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9</v>
      </c>
      <c r="Z12" s="45">
        <v>26</v>
      </c>
      <c r="AA12" s="45">
        <v>26</v>
      </c>
      <c r="AB12" s="45">
        <v>26</v>
      </c>
      <c r="AC12" s="45">
        <v>26</v>
      </c>
      <c r="AD12" s="45">
        <v>26</v>
      </c>
      <c r="AE12" s="45">
        <v>13</v>
      </c>
      <c r="AF12" s="45">
        <v>0</v>
      </c>
      <c r="AG12" s="49">
        <v>54</v>
      </c>
      <c r="AH12" s="47">
        <f t="shared" si="2"/>
        <v>26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54.7</v>
      </c>
      <c r="C13" s="45">
        <v>54.7</v>
      </c>
      <c r="D13" s="45">
        <v>54.7</v>
      </c>
      <c r="E13" s="45">
        <v>54.7</v>
      </c>
      <c r="F13" s="45">
        <v>54.7</v>
      </c>
      <c r="G13" s="45">
        <v>54.7</v>
      </c>
      <c r="H13" s="45">
        <v>54.7</v>
      </c>
      <c r="I13" s="45">
        <v>54.7</v>
      </c>
      <c r="J13" s="45">
        <v>54.7</v>
      </c>
      <c r="K13" s="45">
        <v>54.7</v>
      </c>
      <c r="L13" s="45">
        <v>54.7</v>
      </c>
      <c r="M13" s="45">
        <v>54.7</v>
      </c>
      <c r="N13" s="45">
        <v>54.7</v>
      </c>
      <c r="O13" s="45">
        <v>54.7</v>
      </c>
      <c r="P13" s="45">
        <v>54.7</v>
      </c>
      <c r="Q13" s="45">
        <v>54.7</v>
      </c>
      <c r="R13" s="45">
        <v>54.7</v>
      </c>
      <c r="S13" s="45">
        <v>54.7</v>
      </c>
      <c r="T13" s="45">
        <v>54.7</v>
      </c>
      <c r="U13" s="45">
        <v>54.7</v>
      </c>
      <c r="V13" s="45">
        <v>54.7</v>
      </c>
      <c r="W13" s="45">
        <v>54.7</v>
      </c>
      <c r="X13" s="45">
        <v>54.7</v>
      </c>
      <c r="Y13" s="45">
        <v>54.7</v>
      </c>
      <c r="Z13" s="45">
        <v>54.7</v>
      </c>
      <c r="AA13" s="45">
        <v>54.7</v>
      </c>
      <c r="AB13" s="45">
        <v>54.7</v>
      </c>
      <c r="AC13" s="45">
        <v>54.7</v>
      </c>
      <c r="AD13" s="45">
        <v>54.7</v>
      </c>
      <c r="AE13" s="45">
        <v>54.7</v>
      </c>
      <c r="AF13" s="45">
        <v>54.7</v>
      </c>
      <c r="AG13" s="46">
        <v>52.4</v>
      </c>
      <c r="AH13" s="47">
        <f t="shared" si="2"/>
        <v>54.7</v>
      </c>
      <c r="AI13" s="48">
        <f t="shared" si="3"/>
        <v>54.7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50.4</v>
      </c>
      <c r="C14" s="58">
        <v>50.4</v>
      </c>
      <c r="D14" s="58">
        <v>50.4</v>
      </c>
      <c r="E14" s="58">
        <v>50.4</v>
      </c>
      <c r="F14" s="58">
        <v>50.4</v>
      </c>
      <c r="G14" s="58">
        <v>50.4</v>
      </c>
      <c r="H14" s="58">
        <v>50.4</v>
      </c>
      <c r="I14" s="58">
        <v>50.4</v>
      </c>
      <c r="J14" s="58">
        <v>50.4</v>
      </c>
      <c r="K14" s="58">
        <v>50.4</v>
      </c>
      <c r="L14" s="58">
        <v>50.4</v>
      </c>
      <c r="M14" s="58">
        <v>50.4</v>
      </c>
      <c r="N14" s="58">
        <v>50.4</v>
      </c>
      <c r="O14" s="58">
        <v>50.4</v>
      </c>
      <c r="P14" s="58">
        <v>50.4</v>
      </c>
      <c r="Q14" s="58">
        <v>50.4</v>
      </c>
      <c r="R14" s="58">
        <v>50.4</v>
      </c>
      <c r="S14" s="58">
        <v>12</v>
      </c>
      <c r="T14" s="58">
        <v>50.4</v>
      </c>
      <c r="U14" s="58">
        <v>50.4</v>
      </c>
      <c r="V14" s="58">
        <v>50.4</v>
      </c>
      <c r="W14" s="58">
        <v>50.4</v>
      </c>
      <c r="X14" s="58">
        <v>50.4</v>
      </c>
      <c r="Y14" s="58">
        <v>50.4</v>
      </c>
      <c r="Z14" s="58">
        <v>50.4</v>
      </c>
      <c r="AA14" s="58">
        <v>50.4</v>
      </c>
      <c r="AB14" s="58">
        <v>50.4</v>
      </c>
      <c r="AC14" s="58">
        <v>50.4</v>
      </c>
      <c r="AD14" s="58">
        <v>50.4</v>
      </c>
      <c r="AE14" s="58">
        <v>50.4</v>
      </c>
      <c r="AF14" s="58">
        <v>50.4</v>
      </c>
      <c r="AG14" s="49">
        <v>50</v>
      </c>
      <c r="AH14" s="47">
        <f t="shared" si="2"/>
        <v>50.4</v>
      </c>
      <c r="AI14" s="48">
        <f t="shared" si="3"/>
        <v>12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</v>
      </c>
      <c r="C15" s="45">
        <v>46</v>
      </c>
      <c r="D15" s="45">
        <v>46</v>
      </c>
      <c r="E15" s="45">
        <v>46</v>
      </c>
      <c r="F15" s="45">
        <v>46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</v>
      </c>
      <c r="AI15" s="48">
        <f t="shared" si="3"/>
        <v>46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</v>
      </c>
      <c r="C17" s="45">
        <v>28</v>
      </c>
      <c r="D17" s="45">
        <v>28</v>
      </c>
      <c r="E17" s="45">
        <v>28</v>
      </c>
      <c r="F17" s="45">
        <v>28</v>
      </c>
      <c r="G17" s="45">
        <v>40</v>
      </c>
      <c r="H17" s="45">
        <v>28</v>
      </c>
      <c r="I17" s="45">
        <v>28</v>
      </c>
      <c r="J17" s="45">
        <v>28</v>
      </c>
      <c r="K17" s="45">
        <v>28</v>
      </c>
      <c r="L17" s="45">
        <v>28</v>
      </c>
      <c r="M17" s="45">
        <v>21.2</v>
      </c>
      <c r="N17" s="45">
        <v>21.2</v>
      </c>
      <c r="O17" s="45">
        <v>21.2</v>
      </c>
      <c r="P17" s="45">
        <v>21.2</v>
      </c>
      <c r="Q17" s="45">
        <v>21.2</v>
      </c>
      <c r="R17" s="45">
        <v>30</v>
      </c>
      <c r="S17" s="45">
        <v>28.5</v>
      </c>
      <c r="T17" s="45">
        <v>28.5</v>
      </c>
      <c r="U17" s="45">
        <v>28.5</v>
      </c>
      <c r="V17" s="45">
        <v>27</v>
      </c>
      <c r="W17" s="45">
        <v>27</v>
      </c>
      <c r="X17" s="45">
        <v>27</v>
      </c>
      <c r="Y17" s="45">
        <v>33</v>
      </c>
      <c r="Z17" s="45">
        <v>33</v>
      </c>
      <c r="AA17" s="45">
        <v>33</v>
      </c>
      <c r="AB17" s="45">
        <v>30</v>
      </c>
      <c r="AC17" s="45">
        <v>30</v>
      </c>
      <c r="AD17" s="45">
        <v>30</v>
      </c>
      <c r="AE17" s="45">
        <v>28</v>
      </c>
      <c r="AF17" s="45">
        <v>28</v>
      </c>
      <c r="AG17" s="49">
        <v>42</v>
      </c>
      <c r="AH17" s="47">
        <f t="shared" si="2"/>
        <v>40</v>
      </c>
      <c r="AI17" s="48">
        <f t="shared" si="3"/>
        <v>21.2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39</v>
      </c>
      <c r="C18" s="45">
        <v>39</v>
      </c>
      <c r="D18" s="45">
        <v>39</v>
      </c>
      <c r="E18" s="45">
        <v>39</v>
      </c>
      <c r="F18" s="45">
        <v>39</v>
      </c>
      <c r="G18" s="45">
        <v>39</v>
      </c>
      <c r="H18" s="45">
        <v>39</v>
      </c>
      <c r="I18" s="45">
        <v>39</v>
      </c>
      <c r="J18" s="45">
        <v>39</v>
      </c>
      <c r="K18" s="45">
        <v>39</v>
      </c>
      <c r="L18" s="45">
        <v>39</v>
      </c>
      <c r="M18" s="45">
        <v>39</v>
      </c>
      <c r="N18" s="45">
        <v>39</v>
      </c>
      <c r="O18" s="45">
        <v>39</v>
      </c>
      <c r="P18" s="45">
        <v>39</v>
      </c>
      <c r="Q18" s="45">
        <v>39</v>
      </c>
      <c r="R18" s="45">
        <v>39</v>
      </c>
      <c r="S18" s="45">
        <v>39</v>
      </c>
      <c r="T18" s="45">
        <v>39</v>
      </c>
      <c r="U18" s="45">
        <v>39</v>
      </c>
      <c r="V18" s="45">
        <v>39</v>
      </c>
      <c r="W18" s="45">
        <v>39</v>
      </c>
      <c r="X18" s="45">
        <v>39</v>
      </c>
      <c r="Y18" s="45">
        <v>0</v>
      </c>
      <c r="Z18" s="45">
        <v>39</v>
      </c>
      <c r="AA18" s="45">
        <v>39</v>
      </c>
      <c r="AB18" s="45">
        <v>39</v>
      </c>
      <c r="AC18" s="45">
        <v>39</v>
      </c>
      <c r="AD18" s="45">
        <v>39</v>
      </c>
      <c r="AE18" s="45">
        <v>39</v>
      </c>
      <c r="AF18" s="45">
        <v>39</v>
      </c>
      <c r="AG18" s="49">
        <v>38.46</v>
      </c>
      <c r="AH18" s="47">
        <f t="shared" si="2"/>
        <v>39</v>
      </c>
      <c r="AI18" s="48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0</v>
      </c>
      <c r="C19" s="45">
        <v>0</v>
      </c>
      <c r="D19" s="45">
        <v>0</v>
      </c>
      <c r="E19" s="45">
        <v>0</v>
      </c>
      <c r="F19" s="45">
        <v>32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0</v>
      </c>
      <c r="AB19" s="45">
        <v>0</v>
      </c>
      <c r="AC19" s="45">
        <v>0</v>
      </c>
      <c r="AD19" s="45">
        <v>10</v>
      </c>
      <c r="AE19" s="45">
        <v>20</v>
      </c>
      <c r="AF19" s="45">
        <v>30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5</v>
      </c>
      <c r="E20" s="45">
        <v>5</v>
      </c>
      <c r="F20" s="45">
        <v>0</v>
      </c>
      <c r="G20" s="45">
        <v>0</v>
      </c>
      <c r="H20" s="45">
        <v>5.4</v>
      </c>
      <c r="I20" s="45">
        <v>5.4</v>
      </c>
      <c r="J20" s="45">
        <v>5.4</v>
      </c>
      <c r="K20" s="45">
        <v>5.4</v>
      </c>
      <c r="L20" s="45">
        <v>5.4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5.2</v>
      </c>
      <c r="Z20" s="45">
        <v>15</v>
      </c>
      <c r="AA20" s="45">
        <v>20.7</v>
      </c>
      <c r="AB20" s="45">
        <v>20.7</v>
      </c>
      <c r="AC20" s="45">
        <v>20.7</v>
      </c>
      <c r="AD20" s="45">
        <v>20.7</v>
      </c>
      <c r="AE20" s="45">
        <v>20.7</v>
      </c>
      <c r="AF20" s="45">
        <v>0</v>
      </c>
      <c r="AG20" s="51">
        <v>30</v>
      </c>
      <c r="AH20" s="47">
        <f t="shared" si="2"/>
        <v>20.7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20.9</v>
      </c>
      <c r="C21" s="45">
        <v>20.9</v>
      </c>
      <c r="D21" s="45">
        <v>20.9</v>
      </c>
      <c r="E21" s="45">
        <v>20.9</v>
      </c>
      <c r="F21" s="45">
        <v>20.9</v>
      </c>
      <c r="G21" s="45">
        <v>20.9</v>
      </c>
      <c r="H21" s="45">
        <v>20.9</v>
      </c>
      <c r="I21" s="45">
        <v>20.9</v>
      </c>
      <c r="J21" s="45">
        <v>20.9</v>
      </c>
      <c r="K21" s="45">
        <v>20.9</v>
      </c>
      <c r="L21" s="45">
        <v>20.9</v>
      </c>
      <c r="M21" s="45">
        <v>20.9</v>
      </c>
      <c r="N21" s="45">
        <v>20.9</v>
      </c>
      <c r="O21" s="45">
        <v>20.9</v>
      </c>
      <c r="P21" s="45">
        <v>20.9</v>
      </c>
      <c r="Q21" s="45">
        <v>20.9</v>
      </c>
      <c r="R21" s="45">
        <v>20.9</v>
      </c>
      <c r="S21" s="45">
        <v>20.9</v>
      </c>
      <c r="T21" s="45">
        <v>20.9</v>
      </c>
      <c r="U21" s="45">
        <v>20.9</v>
      </c>
      <c r="V21" s="45">
        <v>20.9</v>
      </c>
      <c r="W21" s="45">
        <v>20.9</v>
      </c>
      <c r="X21" s="45">
        <v>20.9</v>
      </c>
      <c r="Y21" s="45">
        <v>20.9</v>
      </c>
      <c r="Z21" s="45">
        <v>20.9</v>
      </c>
      <c r="AA21" s="45">
        <v>20.9</v>
      </c>
      <c r="AB21" s="45">
        <v>20.9</v>
      </c>
      <c r="AC21" s="45">
        <v>20.9</v>
      </c>
      <c r="AD21" s="45">
        <v>20.9</v>
      </c>
      <c r="AE21" s="45">
        <v>8</v>
      </c>
      <c r="AF21" s="45">
        <v>8</v>
      </c>
      <c r="AG21" s="49">
        <v>24.2</v>
      </c>
      <c r="AH21" s="47">
        <f t="shared" si="2"/>
        <v>20.9</v>
      </c>
      <c r="AI21" s="48">
        <f t="shared" si="3"/>
        <v>8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20.8</v>
      </c>
      <c r="C22" s="45">
        <v>20.8</v>
      </c>
      <c r="D22" s="45">
        <v>20.8</v>
      </c>
      <c r="E22" s="45">
        <v>20.8</v>
      </c>
      <c r="F22" s="45">
        <v>20.8</v>
      </c>
      <c r="G22" s="45">
        <v>20.8</v>
      </c>
      <c r="H22" s="45">
        <v>20.8</v>
      </c>
      <c r="I22" s="45">
        <v>20.8</v>
      </c>
      <c r="J22" s="45">
        <v>20.8</v>
      </c>
      <c r="K22" s="45">
        <v>20.8</v>
      </c>
      <c r="L22" s="45">
        <v>20.8</v>
      </c>
      <c r="M22" s="45">
        <v>20.8</v>
      </c>
      <c r="N22" s="45">
        <v>20.8</v>
      </c>
      <c r="O22" s="45">
        <v>20.8</v>
      </c>
      <c r="P22" s="45">
        <v>20.8</v>
      </c>
      <c r="Q22" s="45">
        <v>20.8</v>
      </c>
      <c r="R22" s="45">
        <v>20.8</v>
      </c>
      <c r="S22" s="45">
        <v>20.8</v>
      </c>
      <c r="T22" s="45">
        <v>20.8</v>
      </c>
      <c r="U22" s="45">
        <v>20.8</v>
      </c>
      <c r="V22" s="45">
        <v>20.8</v>
      </c>
      <c r="W22" s="45">
        <v>20.8</v>
      </c>
      <c r="X22" s="45">
        <v>20.8</v>
      </c>
      <c r="Y22" s="45">
        <v>20.8</v>
      </c>
      <c r="Z22" s="45">
        <v>20.8</v>
      </c>
      <c r="AA22" s="45">
        <v>20.8</v>
      </c>
      <c r="AB22" s="45">
        <v>20.8</v>
      </c>
      <c r="AC22" s="45">
        <v>20.8</v>
      </c>
      <c r="AD22" s="45">
        <v>20.8</v>
      </c>
      <c r="AE22" s="45">
        <v>20</v>
      </c>
      <c r="AF22" s="45">
        <v>20</v>
      </c>
      <c r="AG22" s="49">
        <v>28</v>
      </c>
      <c r="AH22" s="47">
        <f t="shared" si="2"/>
        <v>20.8</v>
      </c>
      <c r="AI22" s="48">
        <f t="shared" si="3"/>
        <v>20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0</v>
      </c>
      <c r="C23" s="45">
        <v>0</v>
      </c>
      <c r="D23" s="45">
        <v>0</v>
      </c>
      <c r="E23" s="45">
        <v>3</v>
      </c>
      <c r="F23" s="45">
        <v>0</v>
      </c>
      <c r="G23" s="45">
        <v>0</v>
      </c>
      <c r="H23" s="45">
        <v>3</v>
      </c>
      <c r="I23" s="45">
        <v>3</v>
      </c>
      <c r="J23" s="45">
        <v>3</v>
      </c>
      <c r="K23" s="45">
        <v>3</v>
      </c>
      <c r="L23" s="45">
        <v>3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4.5</v>
      </c>
      <c r="Z23" s="45">
        <v>13.5</v>
      </c>
      <c r="AA23" s="45">
        <v>20</v>
      </c>
      <c r="AB23" s="45">
        <v>20</v>
      </c>
      <c r="AC23" s="45">
        <v>20</v>
      </c>
      <c r="AD23" s="45">
        <v>20</v>
      </c>
      <c r="AE23" s="45">
        <v>7</v>
      </c>
      <c r="AF23" s="45">
        <v>0</v>
      </c>
      <c r="AG23" s="51">
        <v>30</v>
      </c>
      <c r="AH23" s="47">
        <f t="shared" si="2"/>
        <v>20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25.1</v>
      </c>
      <c r="C24" s="45">
        <v>25.1</v>
      </c>
      <c r="D24" s="45">
        <v>25.1</v>
      </c>
      <c r="E24" s="45">
        <v>25.1</v>
      </c>
      <c r="F24" s="45">
        <v>25.1</v>
      </c>
      <c r="G24" s="45">
        <v>25.1</v>
      </c>
      <c r="H24" s="45">
        <v>25.1</v>
      </c>
      <c r="I24" s="45">
        <v>25.1</v>
      </c>
      <c r="J24" s="45">
        <v>25.1</v>
      </c>
      <c r="K24" s="45">
        <v>25.1</v>
      </c>
      <c r="L24" s="45">
        <v>25.1</v>
      </c>
      <c r="M24" s="45">
        <v>24.4</v>
      </c>
      <c r="N24" s="45">
        <v>24.4</v>
      </c>
      <c r="O24" s="45">
        <v>24.4</v>
      </c>
      <c r="P24" s="45">
        <v>24.4</v>
      </c>
      <c r="Q24" s="45">
        <v>24.4</v>
      </c>
      <c r="R24" s="45">
        <v>24</v>
      </c>
      <c r="S24" s="45">
        <v>25.2</v>
      </c>
      <c r="T24" s="45">
        <v>25.2</v>
      </c>
      <c r="U24" s="45">
        <v>25.2</v>
      </c>
      <c r="V24" s="45">
        <v>25.2</v>
      </c>
      <c r="W24" s="45">
        <v>25.2</v>
      </c>
      <c r="X24" s="45">
        <v>25.2</v>
      </c>
      <c r="Y24" s="45">
        <v>25.2</v>
      </c>
      <c r="Z24" s="45">
        <v>25.2</v>
      </c>
      <c r="AA24" s="45">
        <v>25.2</v>
      </c>
      <c r="AB24" s="45">
        <v>25.2</v>
      </c>
      <c r="AC24" s="45">
        <v>25.2</v>
      </c>
      <c r="AD24" s="45">
        <v>25.2</v>
      </c>
      <c r="AE24" s="45">
        <v>24</v>
      </c>
      <c r="AF24" s="45">
        <v>24</v>
      </c>
      <c r="AG24" s="49">
        <v>25</v>
      </c>
      <c r="AH24" s="47">
        <f t="shared" si="2"/>
        <v>25.2</v>
      </c>
      <c r="AI24" s="48">
        <f t="shared" si="3"/>
        <v>24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4.5</v>
      </c>
      <c r="Z27" s="45">
        <v>12.5</v>
      </c>
      <c r="AA27" s="45">
        <v>16</v>
      </c>
      <c r="AB27" s="45">
        <v>16</v>
      </c>
      <c r="AC27" s="45">
        <v>16</v>
      </c>
      <c r="AD27" s="45">
        <v>16</v>
      </c>
      <c r="AE27" s="45">
        <v>16</v>
      </c>
      <c r="AF27" s="45">
        <v>0</v>
      </c>
      <c r="AG27" s="49">
        <v>25</v>
      </c>
      <c r="AH27" s="47">
        <f t="shared" si="2"/>
        <v>16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24.9</v>
      </c>
      <c r="C28" s="45">
        <v>24.9</v>
      </c>
      <c r="D28" s="45">
        <v>24.9</v>
      </c>
      <c r="E28" s="45">
        <v>24.9</v>
      </c>
      <c r="F28" s="45">
        <v>24.9</v>
      </c>
      <c r="G28" s="45">
        <v>24.9</v>
      </c>
      <c r="H28" s="45">
        <v>24.9</v>
      </c>
      <c r="I28" s="45">
        <v>24.9</v>
      </c>
      <c r="J28" s="45">
        <v>24.9</v>
      </c>
      <c r="K28" s="45">
        <v>24.9</v>
      </c>
      <c r="L28" s="45">
        <v>24.9</v>
      </c>
      <c r="M28" s="45">
        <v>24.9</v>
      </c>
      <c r="N28" s="45">
        <v>24.9</v>
      </c>
      <c r="O28" s="45">
        <v>24.9</v>
      </c>
      <c r="P28" s="45">
        <v>24.9</v>
      </c>
      <c r="Q28" s="45">
        <v>24.9</v>
      </c>
      <c r="R28" s="45">
        <v>24.9</v>
      </c>
      <c r="S28" s="45">
        <v>24.9</v>
      </c>
      <c r="T28" s="45">
        <v>24.9</v>
      </c>
      <c r="U28" s="45">
        <v>24.9</v>
      </c>
      <c r="V28" s="45">
        <v>24.9</v>
      </c>
      <c r="W28" s="45">
        <v>24.9</v>
      </c>
      <c r="X28" s="45">
        <v>24.9</v>
      </c>
      <c r="Y28" s="45">
        <v>24.9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24.9</v>
      </c>
      <c r="AF28" s="45">
        <v>24.9</v>
      </c>
      <c r="AG28" s="49">
        <v>23.5</v>
      </c>
      <c r="AH28" s="47">
        <f t="shared" si="2"/>
        <v>24.9</v>
      </c>
      <c r="AI28" s="48">
        <f t="shared" si="3"/>
        <v>24.9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5</v>
      </c>
      <c r="AF33" s="45">
        <v>0</v>
      </c>
      <c r="AG33" s="49">
        <v>20</v>
      </c>
      <c r="AH33" s="47">
        <f t="shared" si="2"/>
        <v>8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5</v>
      </c>
      <c r="J34" s="45">
        <v>5</v>
      </c>
      <c r="K34" s="45">
        <v>5</v>
      </c>
      <c r="L34" s="45">
        <v>5</v>
      </c>
      <c r="M34" s="45">
        <v>5</v>
      </c>
      <c r="N34" s="45">
        <v>5</v>
      </c>
      <c r="O34" s="45">
        <v>5</v>
      </c>
      <c r="P34" s="45">
        <v>5</v>
      </c>
      <c r="Q34" s="45">
        <v>5</v>
      </c>
      <c r="R34" s="45">
        <v>5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0</v>
      </c>
      <c r="AF34" s="45">
        <v>0</v>
      </c>
      <c r="AG34" s="49">
        <v>18</v>
      </c>
      <c r="AH34" s="47">
        <f t="shared" si="2"/>
        <v>7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0</v>
      </c>
      <c r="C39" s="45">
        <v>0</v>
      </c>
      <c r="D39" s="45">
        <v>0</v>
      </c>
      <c r="E39" s="45">
        <v>2</v>
      </c>
      <c r="F39" s="45">
        <v>0</v>
      </c>
      <c r="G39" s="45">
        <v>0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>
        <v>3</v>
      </c>
      <c r="Q39" s="45">
        <v>3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6</v>
      </c>
      <c r="AA39" s="45">
        <v>6</v>
      </c>
      <c r="AB39" s="45">
        <v>6</v>
      </c>
      <c r="AC39" s="45">
        <v>6</v>
      </c>
      <c r="AD39" s="45">
        <v>6</v>
      </c>
      <c r="AE39" s="45">
        <v>3</v>
      </c>
      <c r="AF39" s="45">
        <v>0</v>
      </c>
      <c r="AG39" s="49">
        <v>12</v>
      </c>
      <c r="AH39" s="47">
        <f t="shared" si="2"/>
        <v>6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8</v>
      </c>
      <c r="C40" s="45">
        <v>8</v>
      </c>
      <c r="D40" s="45">
        <v>8</v>
      </c>
      <c r="E40" s="45">
        <v>8</v>
      </c>
      <c r="F40" s="45">
        <v>8</v>
      </c>
      <c r="G40" s="45">
        <v>8</v>
      </c>
      <c r="H40" s="45">
        <v>8</v>
      </c>
      <c r="I40" s="45">
        <v>8</v>
      </c>
      <c r="J40" s="45">
        <v>8</v>
      </c>
      <c r="K40" s="45">
        <v>8</v>
      </c>
      <c r="L40" s="45">
        <v>8</v>
      </c>
      <c r="M40" s="45">
        <v>8</v>
      </c>
      <c r="N40" s="45">
        <v>8</v>
      </c>
      <c r="O40" s="45">
        <v>8</v>
      </c>
      <c r="P40" s="45">
        <v>8</v>
      </c>
      <c r="Q40" s="45">
        <v>8</v>
      </c>
      <c r="R40" s="45">
        <v>8</v>
      </c>
      <c r="S40" s="45">
        <v>8</v>
      </c>
      <c r="T40" s="45">
        <v>8</v>
      </c>
      <c r="U40" s="45">
        <v>8</v>
      </c>
      <c r="V40" s="45">
        <v>8</v>
      </c>
      <c r="W40" s="45">
        <v>8</v>
      </c>
      <c r="X40" s="45">
        <v>8</v>
      </c>
      <c r="Y40" s="45">
        <v>8</v>
      </c>
      <c r="Z40" s="45">
        <v>8</v>
      </c>
      <c r="AA40" s="45">
        <v>8</v>
      </c>
      <c r="AB40" s="45">
        <v>8</v>
      </c>
      <c r="AC40" s="45">
        <v>8</v>
      </c>
      <c r="AD40" s="45">
        <v>8</v>
      </c>
      <c r="AE40" s="45">
        <v>8</v>
      </c>
      <c r="AF40" s="45">
        <v>8</v>
      </c>
      <c r="AG40" s="49">
        <v>12</v>
      </c>
      <c r="AH40" s="47">
        <f t="shared" si="2"/>
        <v>8</v>
      </c>
      <c r="AI40" s="48">
        <f t="shared" si="3"/>
        <v>8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3</v>
      </c>
      <c r="C41" s="45">
        <v>3</v>
      </c>
      <c r="D41" s="45">
        <v>3</v>
      </c>
      <c r="E41" s="45">
        <v>3</v>
      </c>
      <c r="F41" s="45">
        <v>3</v>
      </c>
      <c r="G41" s="45">
        <v>3</v>
      </c>
      <c r="H41" s="45">
        <v>3</v>
      </c>
      <c r="I41" s="45">
        <v>3</v>
      </c>
      <c r="J41" s="45">
        <v>3</v>
      </c>
      <c r="K41" s="45">
        <v>3</v>
      </c>
      <c r="L41" s="45">
        <v>3</v>
      </c>
      <c r="M41" s="45">
        <v>3</v>
      </c>
      <c r="N41" s="45">
        <v>3</v>
      </c>
      <c r="O41" s="45">
        <v>3</v>
      </c>
      <c r="P41" s="45">
        <v>3</v>
      </c>
      <c r="Q41" s="45">
        <v>3</v>
      </c>
      <c r="R41" s="45">
        <v>3</v>
      </c>
      <c r="S41" s="45">
        <v>3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6</v>
      </c>
      <c r="AA41" s="45">
        <v>6</v>
      </c>
      <c r="AB41" s="45">
        <v>6</v>
      </c>
      <c r="AC41" s="45">
        <v>6</v>
      </c>
      <c r="AD41" s="45">
        <v>6</v>
      </c>
      <c r="AE41" s="45">
        <v>0</v>
      </c>
      <c r="AF41" s="45">
        <v>0</v>
      </c>
      <c r="AG41" s="49">
        <v>12</v>
      </c>
      <c r="AH41" s="47">
        <f t="shared" si="2"/>
        <v>6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0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52">
        <v>22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11.9</v>
      </c>
      <c r="C43" s="45">
        <v>11.9</v>
      </c>
      <c r="D43" s="45">
        <v>11.9</v>
      </c>
      <c r="E43" s="45">
        <v>11.9</v>
      </c>
      <c r="F43" s="45">
        <v>11.9</v>
      </c>
      <c r="G43" s="45">
        <v>11.9</v>
      </c>
      <c r="H43" s="45">
        <v>11.9</v>
      </c>
      <c r="I43" s="45">
        <v>11.9</v>
      </c>
      <c r="J43" s="45">
        <v>11.9</v>
      </c>
      <c r="K43" s="45">
        <v>11.9</v>
      </c>
      <c r="L43" s="45">
        <v>11.9</v>
      </c>
      <c r="M43" s="45">
        <v>11.9</v>
      </c>
      <c r="N43" s="45">
        <v>11.9</v>
      </c>
      <c r="O43" s="45">
        <v>11.9</v>
      </c>
      <c r="P43" s="45">
        <v>11.9</v>
      </c>
      <c r="Q43" s="45">
        <v>11.9</v>
      </c>
      <c r="R43" s="45">
        <v>11.9</v>
      </c>
      <c r="S43" s="45">
        <v>11.9</v>
      </c>
      <c r="T43" s="45">
        <v>11.9</v>
      </c>
      <c r="U43" s="45">
        <v>11.9</v>
      </c>
      <c r="V43" s="45">
        <v>11.9</v>
      </c>
      <c r="W43" s="45">
        <v>11.9</v>
      </c>
      <c r="X43" s="45">
        <v>11.9</v>
      </c>
      <c r="Y43" s="45">
        <v>11.9</v>
      </c>
      <c r="Z43" s="45">
        <v>11.9</v>
      </c>
      <c r="AA43" s="45">
        <v>11.9</v>
      </c>
      <c r="AB43" s="45">
        <v>11.9</v>
      </c>
      <c r="AC43" s="45">
        <v>11.9</v>
      </c>
      <c r="AD43" s="45">
        <v>11.9</v>
      </c>
      <c r="AE43" s="45">
        <v>11.9</v>
      </c>
      <c r="AF43" s="45">
        <v>11.9</v>
      </c>
      <c r="AG43" s="51">
        <v>11.88</v>
      </c>
      <c r="AH43" s="47">
        <f t="shared" si="2"/>
        <v>11.9</v>
      </c>
      <c r="AI43" s="48">
        <f t="shared" si="3"/>
        <v>11.9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10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358</v>
      </c>
      <c r="C48" s="56">
        <v>358</v>
      </c>
      <c r="D48" s="56">
        <v>358</v>
      </c>
      <c r="E48" s="56">
        <v>358</v>
      </c>
      <c r="F48" s="56">
        <v>358</v>
      </c>
      <c r="G48" s="56">
        <v>358</v>
      </c>
      <c r="H48" s="56">
        <v>358</v>
      </c>
      <c r="I48" s="56">
        <v>358</v>
      </c>
      <c r="J48" s="56">
        <v>358</v>
      </c>
      <c r="K48" s="56">
        <v>358</v>
      </c>
      <c r="L48" s="56">
        <v>358</v>
      </c>
      <c r="M48" s="56">
        <v>358</v>
      </c>
      <c r="N48" s="56">
        <v>358</v>
      </c>
      <c r="O48" s="56">
        <v>358</v>
      </c>
      <c r="P48" s="56">
        <v>358</v>
      </c>
      <c r="Q48" s="56">
        <v>358</v>
      </c>
      <c r="R48" s="56">
        <v>358</v>
      </c>
      <c r="S48" s="56">
        <v>358</v>
      </c>
      <c r="T48" s="56">
        <v>358</v>
      </c>
      <c r="U48" s="56">
        <v>358</v>
      </c>
      <c r="V48" s="56">
        <v>358</v>
      </c>
      <c r="W48" s="56">
        <v>358</v>
      </c>
      <c r="X48" s="56">
        <v>358</v>
      </c>
      <c r="Y48" s="56">
        <v>358</v>
      </c>
      <c r="Z48" s="56">
        <v>358</v>
      </c>
      <c r="AA48" s="56">
        <v>358</v>
      </c>
      <c r="AB48" s="56">
        <v>358</v>
      </c>
      <c r="AC48" s="56">
        <v>358</v>
      </c>
      <c r="AD48" s="56">
        <v>358</v>
      </c>
      <c r="AE48" s="56">
        <v>358</v>
      </c>
      <c r="AF48" s="56">
        <v>358</v>
      </c>
      <c r="AG48" s="54">
        <v>85</v>
      </c>
      <c r="AH48" s="47">
        <f t="shared" si="2"/>
        <v>358</v>
      </c>
      <c r="AI48" s="48">
        <f t="shared" si="3"/>
        <v>358</v>
      </c>
      <c r="AK48" s="50"/>
    </row>
    <row r="49" spans="1:41" ht="15.75" thickBot="1" x14ac:dyDescent="0.3">
      <c r="A49" s="57" t="s">
        <v>57</v>
      </c>
      <c r="B49" s="56">
        <v>103.6</v>
      </c>
      <c r="C49" s="56">
        <v>103.6</v>
      </c>
      <c r="D49" s="56">
        <v>103.6</v>
      </c>
      <c r="E49" s="56">
        <v>103.6</v>
      </c>
      <c r="F49" s="56">
        <v>109.1</v>
      </c>
      <c r="G49" s="56">
        <v>109.1</v>
      </c>
      <c r="H49" s="56">
        <v>109.1</v>
      </c>
      <c r="I49" s="56">
        <v>107.2</v>
      </c>
      <c r="J49" s="56">
        <v>107.2</v>
      </c>
      <c r="K49" s="56">
        <v>107.2</v>
      </c>
      <c r="L49" s="56">
        <v>107.2</v>
      </c>
      <c r="M49" s="56">
        <v>107.2</v>
      </c>
      <c r="N49" s="56">
        <v>107.2</v>
      </c>
      <c r="O49" s="56">
        <v>107.2</v>
      </c>
      <c r="P49" s="56">
        <v>107.2</v>
      </c>
      <c r="Q49" s="56">
        <v>107.2</v>
      </c>
      <c r="R49" s="56">
        <v>107.2</v>
      </c>
      <c r="S49" s="58">
        <v>96.5</v>
      </c>
      <c r="T49" s="58">
        <v>96.5</v>
      </c>
      <c r="U49" s="58">
        <v>101.5</v>
      </c>
      <c r="V49" s="58">
        <v>98.7</v>
      </c>
      <c r="W49" s="58">
        <f>98.5</f>
        <v>98.5</v>
      </c>
      <c r="X49" s="58">
        <f>98.5</f>
        <v>98.5</v>
      </c>
      <c r="Y49" s="56">
        <v>98.9</v>
      </c>
      <c r="Z49" s="56">
        <v>97.6</v>
      </c>
      <c r="AA49" s="56">
        <v>98.3</v>
      </c>
      <c r="AB49" s="56">
        <v>98.3</v>
      </c>
      <c r="AC49" s="56">
        <v>98.3</v>
      </c>
      <c r="AD49" s="56">
        <v>98.3</v>
      </c>
      <c r="AE49" s="56">
        <v>98.3</v>
      </c>
      <c r="AF49" s="56">
        <v>98.3</v>
      </c>
      <c r="AG49" s="54">
        <v>240</v>
      </c>
      <c r="AH49" s="47">
        <f t="shared" si="2"/>
        <v>109.1</v>
      </c>
      <c r="AI49" s="48">
        <f t="shared" si="3"/>
        <v>96.5</v>
      </c>
      <c r="AK49" s="50"/>
    </row>
    <row r="50" spans="1:41" ht="15.75" thickBot="1" x14ac:dyDescent="0.3">
      <c r="A50" s="59" t="s">
        <v>58</v>
      </c>
      <c r="B50" s="60">
        <f t="shared" ref="B50:AF50" si="4">SUM(B11:B48)</f>
        <v>974.69999999999993</v>
      </c>
      <c r="C50" s="60">
        <f t="shared" si="4"/>
        <v>974.69999999999993</v>
      </c>
      <c r="D50" s="60">
        <f t="shared" si="4"/>
        <v>969.69999999999993</v>
      </c>
      <c r="E50" s="60">
        <f t="shared" ref="E50:F50" si="5">SUM(E11:E48)</f>
        <v>985.50000000000011</v>
      </c>
      <c r="F50" s="60">
        <f t="shared" si="5"/>
        <v>996.69999999999993</v>
      </c>
      <c r="G50" s="60">
        <f t="shared" ref="G50:H50" si="6">SUM(G11:G48)</f>
        <v>1012.7</v>
      </c>
      <c r="H50" s="60">
        <f t="shared" si="6"/>
        <v>1015.1</v>
      </c>
      <c r="I50" s="60">
        <f t="shared" si="4"/>
        <v>1035.9000000000001</v>
      </c>
      <c r="J50" s="60">
        <f t="shared" si="4"/>
        <v>1035.9000000000001</v>
      </c>
      <c r="K50" s="60">
        <f t="shared" si="4"/>
        <v>1035.9000000000001</v>
      </c>
      <c r="L50" s="60">
        <f t="shared" si="4"/>
        <v>1035.9000000000001</v>
      </c>
      <c r="M50" s="60">
        <f t="shared" si="4"/>
        <v>1004</v>
      </c>
      <c r="N50" s="60">
        <f t="shared" ref="N50:O50" si="7">SUM(N11:N48)</f>
        <v>1004</v>
      </c>
      <c r="O50" s="60">
        <f t="shared" si="7"/>
        <v>1004</v>
      </c>
      <c r="P50" s="60">
        <f t="shared" ref="P50:Q50" si="8">SUM(P11:P48)</f>
        <v>1004</v>
      </c>
      <c r="Q50" s="60">
        <f t="shared" si="8"/>
        <v>1004</v>
      </c>
      <c r="R50" s="60">
        <f t="shared" ref="R50" si="9">SUM(R11:R48)</f>
        <v>1009</v>
      </c>
      <c r="S50" s="60">
        <f t="shared" si="4"/>
        <v>965.3</v>
      </c>
      <c r="T50" s="60">
        <f t="shared" si="4"/>
        <v>995.69999999999993</v>
      </c>
      <c r="U50" s="60">
        <f t="shared" si="4"/>
        <v>995.69999999999993</v>
      </c>
      <c r="V50" s="60">
        <f t="shared" si="4"/>
        <v>994.19999999999993</v>
      </c>
      <c r="W50" s="60">
        <f t="shared" si="4"/>
        <v>994</v>
      </c>
      <c r="X50" s="60">
        <f t="shared" si="4"/>
        <v>994</v>
      </c>
      <c r="Y50" s="60">
        <f t="shared" si="4"/>
        <v>984.19999999999993</v>
      </c>
      <c r="Z50" s="60">
        <f t="shared" si="4"/>
        <v>1094</v>
      </c>
      <c r="AA50" s="60">
        <f t="shared" si="4"/>
        <v>1073.7</v>
      </c>
      <c r="AB50" s="60">
        <f t="shared" si="4"/>
        <v>987.19999999999993</v>
      </c>
      <c r="AC50" s="60">
        <f t="shared" ref="AC50:AD50" si="10">SUM(AC11:AC48)</f>
        <v>987.19999999999993</v>
      </c>
      <c r="AD50" s="60">
        <f t="shared" si="10"/>
        <v>997.19999999999993</v>
      </c>
      <c r="AE50" s="60">
        <f t="shared" si="4"/>
        <v>945.30000000000007</v>
      </c>
      <c r="AF50" s="60">
        <f t="shared" si="4"/>
        <v>950.6</v>
      </c>
      <c r="AG50" s="61">
        <f>SUM(AG13:AG48)</f>
        <v>922.14</v>
      </c>
      <c r="AH50" s="47">
        <f t="shared" si="2"/>
        <v>1094</v>
      </c>
      <c r="AI50" s="48">
        <f t="shared" si="3"/>
        <v>945.30000000000007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22.5</v>
      </c>
      <c r="AK53" s="50"/>
    </row>
    <row r="54" spans="1:41" ht="15.75" thickBot="1" x14ac:dyDescent="0.3">
      <c r="A54" s="68" t="s">
        <v>62</v>
      </c>
      <c r="B54" s="60">
        <f t="shared" ref="B54:AG54" si="11">SUM(B51:B53)</f>
        <v>533.5</v>
      </c>
      <c r="C54" s="60">
        <f t="shared" si="11"/>
        <v>533.5</v>
      </c>
      <c r="D54" s="60">
        <f t="shared" si="11"/>
        <v>533.5</v>
      </c>
      <c r="E54" s="60">
        <f t="shared" ref="E54:F54" si="12">SUM(E51:E53)</f>
        <v>533.5</v>
      </c>
      <c r="F54" s="60">
        <f t="shared" si="12"/>
        <v>533.5</v>
      </c>
      <c r="G54" s="60">
        <f t="shared" si="11"/>
        <v>533.5</v>
      </c>
      <c r="H54" s="60">
        <f t="shared" ref="H54:I54" si="13">SUM(H51:H53)</f>
        <v>533.5</v>
      </c>
      <c r="I54" s="60">
        <f t="shared" si="13"/>
        <v>533.5</v>
      </c>
      <c r="J54" s="60">
        <f t="shared" si="11"/>
        <v>533.5</v>
      </c>
      <c r="K54" s="60">
        <f t="shared" si="11"/>
        <v>533.5</v>
      </c>
      <c r="L54" s="60">
        <f t="shared" si="11"/>
        <v>533.5</v>
      </c>
      <c r="M54" s="60">
        <f t="shared" si="11"/>
        <v>533.5</v>
      </c>
      <c r="N54" s="60">
        <f t="shared" ref="N54:O54" si="14">SUM(N51:N53)</f>
        <v>533.5</v>
      </c>
      <c r="O54" s="60">
        <f t="shared" si="14"/>
        <v>533.5</v>
      </c>
      <c r="P54" s="60">
        <f t="shared" ref="P54:Q54" si="15">SUM(P51:P53)</f>
        <v>533.5</v>
      </c>
      <c r="Q54" s="60">
        <f t="shared" si="15"/>
        <v>533.5</v>
      </c>
      <c r="R54" s="60">
        <f t="shared" ref="R54" si="16">SUM(R51:R53)</f>
        <v>533.5</v>
      </c>
      <c r="S54" s="60">
        <f t="shared" si="11"/>
        <v>533.5</v>
      </c>
      <c r="T54" s="60">
        <f t="shared" si="11"/>
        <v>533.5</v>
      </c>
      <c r="U54" s="60">
        <f t="shared" si="11"/>
        <v>533.5</v>
      </c>
      <c r="V54" s="60">
        <f t="shared" si="11"/>
        <v>533.5</v>
      </c>
      <c r="W54" s="60">
        <f t="shared" si="11"/>
        <v>533.5</v>
      </c>
      <c r="X54" s="60">
        <f t="shared" si="11"/>
        <v>533.5</v>
      </c>
      <c r="Y54" s="60">
        <f t="shared" si="11"/>
        <v>533.5</v>
      </c>
      <c r="Z54" s="60">
        <f t="shared" si="11"/>
        <v>533.5</v>
      </c>
      <c r="AA54" s="60">
        <f t="shared" si="11"/>
        <v>533.5</v>
      </c>
      <c r="AB54" s="60">
        <f t="shared" si="11"/>
        <v>533.5</v>
      </c>
      <c r="AC54" s="60">
        <f t="shared" ref="AC54" si="17">SUM(AC51:AC53)</f>
        <v>533.5</v>
      </c>
      <c r="AD54" s="60">
        <f t="shared" si="11"/>
        <v>533.5</v>
      </c>
      <c r="AE54" s="60">
        <f t="shared" si="11"/>
        <v>533.5</v>
      </c>
      <c r="AF54" s="60">
        <f t="shared" si="11"/>
        <v>533.5</v>
      </c>
      <c r="AG54" s="61">
        <f t="shared" si="11"/>
        <v>538.1</v>
      </c>
      <c r="AH54" s="47">
        <f t="shared" si="2"/>
        <v>533.5</v>
      </c>
      <c r="AI54" s="48">
        <f t="shared" si="3"/>
        <v>533.5</v>
      </c>
      <c r="AK54" s="50"/>
    </row>
    <row r="55" spans="1:41" x14ac:dyDescent="0.25">
      <c r="A55" s="44" t="s">
        <v>63</v>
      </c>
      <c r="B55" s="45">
        <v>135.5</v>
      </c>
      <c r="C55" s="45">
        <v>135.5</v>
      </c>
      <c r="D55" s="45">
        <v>72</v>
      </c>
      <c r="E55" s="45">
        <v>72</v>
      </c>
      <c r="F55" s="45">
        <v>72</v>
      </c>
      <c r="G55" s="45">
        <v>135</v>
      </c>
      <c r="H55" s="45">
        <v>135</v>
      </c>
      <c r="I55" s="45">
        <v>135</v>
      </c>
      <c r="J55" s="45"/>
      <c r="K55" s="45"/>
      <c r="L55" s="45"/>
      <c r="M55" s="45">
        <v>100</v>
      </c>
      <c r="N55" s="45">
        <v>131.9</v>
      </c>
      <c r="O55" s="45">
        <v>131.9</v>
      </c>
      <c r="P55" s="45">
        <v>131.9</v>
      </c>
      <c r="Q55" s="45">
        <v>133</v>
      </c>
      <c r="R55" s="45">
        <v>126.8</v>
      </c>
      <c r="S55" s="45">
        <v>126.8</v>
      </c>
      <c r="T55" s="45">
        <v>126.8</v>
      </c>
      <c r="U55" s="45">
        <v>133.4</v>
      </c>
      <c r="V55" s="45">
        <v>133.4</v>
      </c>
      <c r="W55" s="45">
        <v>134</v>
      </c>
      <c r="X55" s="45">
        <v>134</v>
      </c>
      <c r="Y55" s="45">
        <v>134</v>
      </c>
      <c r="Z55" s="45">
        <v>134</v>
      </c>
      <c r="AA55" s="45">
        <v>134</v>
      </c>
      <c r="AB55" s="45">
        <v>134</v>
      </c>
      <c r="AC55" s="45">
        <v>134</v>
      </c>
      <c r="AD55" s="45">
        <v>134</v>
      </c>
      <c r="AE55" s="45">
        <v>134</v>
      </c>
      <c r="AF55" s="45">
        <v>134</v>
      </c>
      <c r="AG55" s="51">
        <v>144</v>
      </c>
      <c r="AH55" s="47">
        <f t="shared" si="2"/>
        <v>135.5</v>
      </c>
      <c r="AI55" s="48">
        <f t="shared" si="3"/>
        <v>72</v>
      </c>
      <c r="AK55" s="50"/>
    </row>
    <row r="56" spans="1:41" x14ac:dyDescent="0.25">
      <c r="A56" s="53" t="s">
        <v>64</v>
      </c>
      <c r="B56" s="64">
        <v>69.400000000000006</v>
      </c>
      <c r="C56" s="64">
        <v>69.400000000000006</v>
      </c>
      <c r="D56" s="64">
        <v>69.400000000000006</v>
      </c>
      <c r="E56" s="64">
        <v>69.400000000000006</v>
      </c>
      <c r="F56" s="64">
        <v>65.5</v>
      </c>
      <c r="G56" s="64">
        <v>70</v>
      </c>
      <c r="H56" s="64">
        <v>70</v>
      </c>
      <c r="I56" s="64">
        <v>60.3</v>
      </c>
      <c r="J56" s="64"/>
      <c r="K56" s="64"/>
      <c r="L56" s="64"/>
      <c r="M56" s="64">
        <v>71.2</v>
      </c>
      <c r="N56" s="64">
        <v>71.2</v>
      </c>
      <c r="O56" s="64">
        <v>71.2</v>
      </c>
      <c r="P56" s="64">
        <v>71.2</v>
      </c>
      <c r="Q56" s="64">
        <v>71.2</v>
      </c>
      <c r="R56" s="64">
        <v>55</v>
      </c>
      <c r="S56" s="64">
        <v>55</v>
      </c>
      <c r="T56" s="64">
        <v>55</v>
      </c>
      <c r="U56" s="64">
        <v>71.400000000000006</v>
      </c>
      <c r="V56" s="64">
        <v>71.400000000000006</v>
      </c>
      <c r="W56" s="45">
        <v>70.7</v>
      </c>
      <c r="X56" s="45">
        <v>70.7</v>
      </c>
      <c r="Y56" s="45">
        <v>70.7</v>
      </c>
      <c r="Z56" s="45">
        <v>70.7</v>
      </c>
      <c r="AA56" s="45">
        <v>70.7</v>
      </c>
      <c r="AB56" s="45">
        <v>69</v>
      </c>
      <c r="AC56" s="45">
        <v>69</v>
      </c>
      <c r="AD56" s="45">
        <v>69</v>
      </c>
      <c r="AE56" s="45">
        <v>69</v>
      </c>
      <c r="AF56" s="45">
        <v>69</v>
      </c>
      <c r="AG56" s="54">
        <v>70</v>
      </c>
      <c r="AH56" s="47">
        <f t="shared" si="2"/>
        <v>71.400000000000006</v>
      </c>
      <c r="AI56" s="48">
        <f t="shared" si="3"/>
        <v>55</v>
      </c>
      <c r="AK56" s="50"/>
    </row>
    <row r="57" spans="1:41" x14ac:dyDescent="0.25">
      <c r="A57" s="53" t="s">
        <v>65</v>
      </c>
      <c r="B57" s="64">
        <v>64.5</v>
      </c>
      <c r="C57" s="64">
        <v>64.5</v>
      </c>
      <c r="D57" s="64">
        <v>64.5</v>
      </c>
      <c r="E57" s="64">
        <v>64.5</v>
      </c>
      <c r="F57" s="64">
        <v>64.5</v>
      </c>
      <c r="G57" s="64">
        <v>64</v>
      </c>
      <c r="H57" s="64">
        <v>64</v>
      </c>
      <c r="I57" s="64">
        <v>55.8</v>
      </c>
      <c r="J57" s="64"/>
      <c r="K57" s="64"/>
      <c r="L57" s="64"/>
      <c r="M57" s="64">
        <v>63.2</v>
      </c>
      <c r="N57" s="64">
        <v>63.2</v>
      </c>
      <c r="O57" s="64">
        <v>63.2</v>
      </c>
      <c r="P57" s="64">
        <v>63.2</v>
      </c>
      <c r="Q57" s="64">
        <v>63.2</v>
      </c>
      <c r="R57" s="64">
        <v>63.9</v>
      </c>
      <c r="S57" s="64">
        <v>63.9</v>
      </c>
      <c r="T57" s="64">
        <v>63.9</v>
      </c>
      <c r="U57" s="64">
        <v>65.3</v>
      </c>
      <c r="V57" s="64">
        <v>65.3</v>
      </c>
      <c r="W57" s="45">
        <v>63.5</v>
      </c>
      <c r="X57" s="45">
        <v>63.5</v>
      </c>
      <c r="Y57" s="45">
        <v>63.5</v>
      </c>
      <c r="Z57" s="45">
        <v>65.099999999999994</v>
      </c>
      <c r="AA57" s="45">
        <v>65.099999999999994</v>
      </c>
      <c r="AB57" s="45">
        <v>64.2</v>
      </c>
      <c r="AC57" s="45">
        <v>64.2</v>
      </c>
      <c r="AD57" s="45">
        <v>64.2</v>
      </c>
      <c r="AE57" s="45">
        <v>64.2</v>
      </c>
      <c r="AF57" s="45">
        <v>64.2</v>
      </c>
      <c r="AG57" s="54">
        <v>69</v>
      </c>
      <c r="AH57" s="47">
        <f t="shared" si="2"/>
        <v>65.3</v>
      </c>
      <c r="AI57" s="48">
        <f t="shared" si="3"/>
        <v>55.8</v>
      </c>
      <c r="AK57" s="50"/>
    </row>
    <row r="58" spans="1:41" x14ac:dyDescent="0.25">
      <c r="A58" s="53" t="s">
        <v>66</v>
      </c>
      <c r="B58" s="64">
        <v>60.9</v>
      </c>
      <c r="C58" s="64">
        <v>60.9</v>
      </c>
      <c r="D58" s="64">
        <v>60.9</v>
      </c>
      <c r="E58" s="64">
        <v>60.9</v>
      </c>
      <c r="F58" s="64">
        <v>60.9</v>
      </c>
      <c r="G58" s="56">
        <v>0</v>
      </c>
      <c r="H58" s="56">
        <v>0</v>
      </c>
      <c r="I58" s="56">
        <v>22.8</v>
      </c>
      <c r="J58" s="56"/>
      <c r="K58" s="56"/>
      <c r="L58" s="56"/>
      <c r="M58" s="64">
        <v>59</v>
      </c>
      <c r="N58" s="64">
        <v>59</v>
      </c>
      <c r="O58" s="64">
        <v>59</v>
      </c>
      <c r="P58" s="64">
        <v>59</v>
      </c>
      <c r="Q58" s="64">
        <v>50</v>
      </c>
      <c r="R58" s="64">
        <v>60.4</v>
      </c>
      <c r="S58" s="64">
        <v>60.4</v>
      </c>
      <c r="T58" s="64">
        <v>60.4</v>
      </c>
      <c r="U58" s="64">
        <v>42.3</v>
      </c>
      <c r="V58" s="64">
        <v>42.3</v>
      </c>
      <c r="W58" s="45">
        <v>62.3</v>
      </c>
      <c r="X58" s="45">
        <v>62.3</v>
      </c>
      <c r="Y58" s="45">
        <v>62.3</v>
      </c>
      <c r="Z58" s="45">
        <v>62.3</v>
      </c>
      <c r="AA58" s="45">
        <v>62.3</v>
      </c>
      <c r="AB58" s="45">
        <v>62.3</v>
      </c>
      <c r="AC58" s="45">
        <v>62.3</v>
      </c>
      <c r="AD58" s="45">
        <v>62.3</v>
      </c>
      <c r="AE58" s="45">
        <v>62.3</v>
      </c>
      <c r="AF58" s="45">
        <v>62.3</v>
      </c>
      <c r="AG58" s="54">
        <v>60</v>
      </c>
      <c r="AH58" s="47">
        <f t="shared" si="2"/>
        <v>62.3</v>
      </c>
      <c r="AI58" s="48">
        <f t="shared" si="3"/>
        <v>0</v>
      </c>
      <c r="AK58" s="50"/>
    </row>
    <row r="59" spans="1:41" x14ac:dyDescent="0.25">
      <c r="A59" s="53" t="s">
        <v>67</v>
      </c>
      <c r="B59" s="64">
        <v>15</v>
      </c>
      <c r="C59" s="64">
        <v>15</v>
      </c>
      <c r="D59" s="64">
        <v>15</v>
      </c>
      <c r="E59" s="64">
        <v>15</v>
      </c>
      <c r="F59" s="64">
        <v>15</v>
      </c>
      <c r="G59" s="64">
        <v>15</v>
      </c>
      <c r="H59" s="64">
        <v>15</v>
      </c>
      <c r="I59" s="56">
        <v>15</v>
      </c>
      <c r="J59" s="56"/>
      <c r="K59" s="56"/>
      <c r="L59" s="56"/>
      <c r="M59" s="64">
        <v>0</v>
      </c>
      <c r="N59" s="64">
        <v>0</v>
      </c>
      <c r="O59" s="64">
        <v>0</v>
      </c>
      <c r="P59" s="64">
        <v>15</v>
      </c>
      <c r="Q59" s="64">
        <v>30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45">
        <v>30</v>
      </c>
      <c r="X59" s="45">
        <v>30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/>
      <c r="K60" s="64"/>
      <c r="L60" s="64"/>
      <c r="M60" s="64">
        <v>3</v>
      </c>
      <c r="N60" s="64">
        <v>3</v>
      </c>
      <c r="O60" s="64">
        <v>3</v>
      </c>
      <c r="P60" s="64">
        <v>3</v>
      </c>
      <c r="Q60" s="64">
        <v>3</v>
      </c>
      <c r="R60" s="64">
        <v>16.2</v>
      </c>
      <c r="S60" s="64">
        <v>16.2</v>
      </c>
      <c r="T60" s="64">
        <v>16.2</v>
      </c>
      <c r="U60" s="64">
        <v>3.4</v>
      </c>
      <c r="V60" s="64">
        <v>3.4</v>
      </c>
      <c r="W60" s="45">
        <v>1.8</v>
      </c>
      <c r="X60" s="45">
        <v>1.8</v>
      </c>
      <c r="Y60" s="45">
        <v>1.8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16.2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/>
      <c r="K61" s="64"/>
      <c r="L61" s="64"/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5.0999999999999996</v>
      </c>
      <c r="C62" s="64">
        <v>5.0999999999999996</v>
      </c>
      <c r="D62" s="64">
        <v>5.0999999999999996</v>
      </c>
      <c r="E62" s="64">
        <v>5.0999999999999996</v>
      </c>
      <c r="F62" s="64">
        <v>5.0999999999999996</v>
      </c>
      <c r="G62" s="64">
        <v>5.0999999999999996</v>
      </c>
      <c r="H62" s="64">
        <v>5.0999999999999996</v>
      </c>
      <c r="I62" s="64">
        <v>5.0999999999999996</v>
      </c>
      <c r="J62" s="64"/>
      <c r="K62" s="64"/>
      <c r="L62" s="64"/>
      <c r="M62" s="64">
        <v>5.0999999999999996</v>
      </c>
      <c r="N62" s="64">
        <v>5.0999999999999996</v>
      </c>
      <c r="O62" s="64">
        <v>5.0999999999999996</v>
      </c>
      <c r="P62" s="64">
        <v>5.0999999999999996</v>
      </c>
      <c r="Q62" s="64">
        <v>5.0999999999999996</v>
      </c>
      <c r="R62" s="64">
        <v>5.0999999999999996</v>
      </c>
      <c r="S62" s="64">
        <v>5.0999999999999996</v>
      </c>
      <c r="T62" s="64">
        <v>5.0999999999999996</v>
      </c>
      <c r="U62" s="64">
        <v>5.0999999999999996</v>
      </c>
      <c r="V62" s="64">
        <v>5.0999999999999996</v>
      </c>
      <c r="W62" s="64">
        <v>5.0999999999999996</v>
      </c>
      <c r="X62" s="64">
        <v>5.0999999999999996</v>
      </c>
      <c r="Y62" s="64">
        <v>5.0999999999999996</v>
      </c>
      <c r="Z62" s="64">
        <v>5.0999999999999996</v>
      </c>
      <c r="AA62" s="64">
        <v>5.0999999999999996</v>
      </c>
      <c r="AB62" s="64">
        <v>5.0999999999999996</v>
      </c>
      <c r="AC62" s="64">
        <v>5.0999999999999996</v>
      </c>
      <c r="AD62" s="64">
        <v>5.0999999999999996</v>
      </c>
      <c r="AE62" s="64">
        <v>5.0999999999999996</v>
      </c>
      <c r="AF62" s="64">
        <v>5.0999999999999996</v>
      </c>
      <c r="AG62" s="54">
        <v>15</v>
      </c>
      <c r="AH62" s="47">
        <f t="shared" si="2"/>
        <v>5.0999999999999996</v>
      </c>
      <c r="AI62" s="48">
        <f t="shared" si="3"/>
        <v>5.0999999999999996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11</v>
      </c>
      <c r="C63" s="64">
        <v>11</v>
      </c>
      <c r="D63" s="64">
        <v>11</v>
      </c>
      <c r="E63" s="64">
        <v>11</v>
      </c>
      <c r="F63" s="64">
        <v>11.4</v>
      </c>
      <c r="G63" s="64">
        <v>11.4</v>
      </c>
      <c r="H63" s="64">
        <v>11.4</v>
      </c>
      <c r="I63" s="64">
        <v>11.4</v>
      </c>
      <c r="J63" s="64"/>
      <c r="K63" s="64"/>
      <c r="L63" s="64"/>
      <c r="M63" s="64">
        <v>11.4</v>
      </c>
      <c r="N63" s="64">
        <v>11.4</v>
      </c>
      <c r="O63" s="64">
        <v>11.4</v>
      </c>
      <c r="P63" s="64">
        <v>11.4</v>
      </c>
      <c r="Q63" s="64">
        <v>11.4</v>
      </c>
      <c r="R63" s="64">
        <v>11.4</v>
      </c>
      <c r="S63" s="64">
        <v>11.4</v>
      </c>
      <c r="T63" s="64">
        <v>11.4</v>
      </c>
      <c r="U63" s="64">
        <v>9.1999999999999993</v>
      </c>
      <c r="V63" s="64">
        <v>9.1999999999999993</v>
      </c>
      <c r="W63" s="64">
        <v>9.1999999999999993</v>
      </c>
      <c r="X63" s="64">
        <v>9.1999999999999993</v>
      </c>
      <c r="Y63" s="64">
        <v>9.1999999999999993</v>
      </c>
      <c r="Z63" s="64">
        <v>11.1</v>
      </c>
      <c r="AA63" s="64">
        <v>11.1</v>
      </c>
      <c r="AB63" s="64">
        <v>11.1</v>
      </c>
      <c r="AC63" s="64">
        <v>11.1</v>
      </c>
      <c r="AD63" s="64">
        <v>11.1</v>
      </c>
      <c r="AE63" s="64">
        <v>11.1</v>
      </c>
      <c r="AF63" s="64">
        <v>11.1</v>
      </c>
      <c r="AG63" s="54">
        <v>14.1</v>
      </c>
      <c r="AH63" s="47">
        <f t="shared" si="2"/>
        <v>11.4</v>
      </c>
      <c r="AI63" s="48">
        <f t="shared" si="3"/>
        <v>9.1999999999999993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11.6</v>
      </c>
      <c r="C64" s="64">
        <v>11.6</v>
      </c>
      <c r="D64" s="64">
        <v>11.6</v>
      </c>
      <c r="E64" s="64">
        <v>11.6</v>
      </c>
      <c r="F64" s="64">
        <v>11.6</v>
      </c>
      <c r="G64" s="64">
        <v>3</v>
      </c>
      <c r="H64" s="64">
        <v>11.6</v>
      </c>
      <c r="I64" s="64">
        <v>12.1</v>
      </c>
      <c r="J64" s="64"/>
      <c r="K64" s="64"/>
      <c r="L64" s="64"/>
      <c r="M64" s="64">
        <v>12.1</v>
      </c>
      <c r="N64" s="64">
        <v>12.1</v>
      </c>
      <c r="O64" s="64">
        <v>12.1</v>
      </c>
      <c r="P64" s="64">
        <v>13.7</v>
      </c>
      <c r="Q64" s="64">
        <v>13.7</v>
      </c>
      <c r="R64" s="64">
        <v>13.7</v>
      </c>
      <c r="S64" s="64">
        <v>13.7</v>
      </c>
      <c r="T64" s="64">
        <v>13.7</v>
      </c>
      <c r="U64" s="64">
        <v>13.7</v>
      </c>
      <c r="V64" s="64">
        <v>7.7</v>
      </c>
      <c r="W64" s="64">
        <v>7.7</v>
      </c>
      <c r="X64" s="64">
        <v>7.7</v>
      </c>
      <c r="Y64" s="64">
        <v>7.7</v>
      </c>
      <c r="Z64" s="64">
        <v>3.5</v>
      </c>
      <c r="AA64" s="64">
        <v>3.5</v>
      </c>
      <c r="AB64" s="64">
        <v>3.5</v>
      </c>
      <c r="AC64" s="64">
        <v>3.5</v>
      </c>
      <c r="AD64" s="64">
        <v>3.5</v>
      </c>
      <c r="AE64" s="64">
        <v>3.5</v>
      </c>
      <c r="AF64" s="64">
        <v>3.5</v>
      </c>
      <c r="AG64" s="54">
        <v>14</v>
      </c>
      <c r="AH64" s="47">
        <f t="shared" si="2"/>
        <v>13.7</v>
      </c>
      <c r="AI64" s="48">
        <f t="shared" si="3"/>
        <v>3</v>
      </c>
      <c r="AK64" s="50"/>
    </row>
    <row r="65" spans="1:40" x14ac:dyDescent="0.25">
      <c r="A65" s="53" t="s">
        <v>73</v>
      </c>
      <c r="B65" s="64">
        <v>8.9</v>
      </c>
      <c r="C65" s="64">
        <v>8.9</v>
      </c>
      <c r="D65" s="64">
        <v>8.9</v>
      </c>
      <c r="E65" s="64">
        <v>8.9</v>
      </c>
      <c r="F65" s="64">
        <v>8.9</v>
      </c>
      <c r="G65" s="64">
        <v>8.9</v>
      </c>
      <c r="H65" s="64">
        <v>8.9</v>
      </c>
      <c r="I65" s="64">
        <v>8.9</v>
      </c>
      <c r="J65" s="64"/>
      <c r="K65" s="64"/>
      <c r="L65" s="64"/>
      <c r="M65" s="64">
        <v>8.9</v>
      </c>
      <c r="N65" s="64">
        <v>8.9</v>
      </c>
      <c r="O65" s="64">
        <v>8.9</v>
      </c>
      <c r="P65" s="64">
        <v>8.9</v>
      </c>
      <c r="Q65" s="64">
        <v>8.9</v>
      </c>
      <c r="R65" s="64">
        <v>8.9</v>
      </c>
      <c r="S65" s="64">
        <v>8.9</v>
      </c>
      <c r="T65" s="64">
        <v>8.9</v>
      </c>
      <c r="U65" s="64">
        <v>8.9</v>
      </c>
      <c r="V65" s="64">
        <v>8.9</v>
      </c>
      <c r="W65" s="64">
        <v>8.9</v>
      </c>
      <c r="X65" s="64">
        <v>8.9</v>
      </c>
      <c r="Y65" s="64">
        <v>8.9</v>
      </c>
      <c r="Z65" s="64">
        <v>8.9</v>
      </c>
      <c r="AA65" s="64">
        <v>8.9</v>
      </c>
      <c r="AB65" s="64">
        <v>8.9</v>
      </c>
      <c r="AC65" s="64">
        <v>8.9</v>
      </c>
      <c r="AD65" s="64">
        <v>8.9</v>
      </c>
      <c r="AE65" s="64">
        <v>8.9</v>
      </c>
      <c r="AF65" s="64">
        <v>8.9</v>
      </c>
      <c r="AG65" s="54">
        <v>10.050000000000001</v>
      </c>
      <c r="AH65" s="47">
        <f t="shared" si="2"/>
        <v>8.9</v>
      </c>
      <c r="AI65" s="48">
        <f t="shared" si="3"/>
        <v>8.9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/>
      <c r="K66" s="64"/>
      <c r="L66" s="64"/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8">SUM(B55:B67)</f>
        <v>406.64</v>
      </c>
      <c r="C68" s="60">
        <f t="shared" si="18"/>
        <v>406.64</v>
      </c>
      <c r="D68" s="60">
        <f t="shared" si="18"/>
        <v>343.14000000000004</v>
      </c>
      <c r="E68" s="60">
        <f t="shared" ref="E68:F68" si="19">SUM(E55:E67)</f>
        <v>343.14000000000004</v>
      </c>
      <c r="F68" s="60">
        <f t="shared" si="19"/>
        <v>339.64</v>
      </c>
      <c r="G68" s="60">
        <f t="shared" si="18"/>
        <v>337.14</v>
      </c>
      <c r="H68" s="60">
        <f t="shared" si="18"/>
        <v>345.74</v>
      </c>
      <c r="I68" s="60">
        <f t="shared" si="18"/>
        <v>351.14000000000004</v>
      </c>
      <c r="J68" s="60">
        <f t="shared" si="18"/>
        <v>3.54</v>
      </c>
      <c r="K68" s="60">
        <f t="shared" si="18"/>
        <v>3.54</v>
      </c>
      <c r="L68" s="60">
        <f t="shared" si="18"/>
        <v>3.54</v>
      </c>
      <c r="M68" s="60">
        <f t="shared" si="18"/>
        <v>358.64</v>
      </c>
      <c r="N68" s="60">
        <f t="shared" ref="N68:O68" si="20">SUM(N55:N67)</f>
        <v>390.54</v>
      </c>
      <c r="O68" s="60">
        <f t="shared" si="20"/>
        <v>390.54</v>
      </c>
      <c r="P68" s="60">
        <f t="shared" ref="P68:Q68" si="21">SUM(P55:P67)</f>
        <v>407.14</v>
      </c>
      <c r="Q68" s="60">
        <f t="shared" si="21"/>
        <v>414.23999999999995</v>
      </c>
      <c r="R68" s="60">
        <f t="shared" ref="R68" si="22">SUM(R55:R67)</f>
        <v>416.14</v>
      </c>
      <c r="S68" s="60">
        <f t="shared" si="18"/>
        <v>416.14</v>
      </c>
      <c r="T68" s="60">
        <f t="shared" si="18"/>
        <v>416.14</v>
      </c>
      <c r="U68" s="60">
        <f t="shared" si="18"/>
        <v>407.44</v>
      </c>
      <c r="V68" s="60">
        <f t="shared" si="18"/>
        <v>401.44</v>
      </c>
      <c r="W68" s="60">
        <f t="shared" si="18"/>
        <v>417.94</v>
      </c>
      <c r="X68" s="60">
        <f t="shared" si="18"/>
        <v>417.94</v>
      </c>
      <c r="Y68" s="60">
        <f t="shared" si="18"/>
        <v>387.94</v>
      </c>
      <c r="Z68" s="60">
        <f t="shared" si="18"/>
        <v>385.44</v>
      </c>
      <c r="AA68" s="60">
        <f t="shared" si="18"/>
        <v>385.44</v>
      </c>
      <c r="AB68" s="60">
        <f t="shared" si="18"/>
        <v>382.84000000000003</v>
      </c>
      <c r="AC68" s="60">
        <f t="shared" si="18"/>
        <v>382.84000000000003</v>
      </c>
      <c r="AD68" s="60">
        <f t="shared" si="18"/>
        <v>382.84000000000003</v>
      </c>
      <c r="AE68" s="60">
        <f t="shared" si="18"/>
        <v>382.84000000000003</v>
      </c>
      <c r="AF68" s="60">
        <f t="shared" si="18"/>
        <v>382.84000000000003</v>
      </c>
      <c r="AG68" s="61">
        <f t="shared" si="18"/>
        <v>489.91</v>
      </c>
      <c r="AH68" s="47">
        <f t="shared" si="2"/>
        <v>417.94</v>
      </c>
      <c r="AI68" s="48">
        <f t="shared" si="3"/>
        <v>3.54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23">M69+M70+M71</f>
        <v>0</v>
      </c>
      <c r="N72" s="60">
        <f t="shared" ref="N72:O72" si="24">N69+N70+N71</f>
        <v>0</v>
      </c>
      <c r="O72" s="60">
        <f t="shared" si="24"/>
        <v>0</v>
      </c>
      <c r="P72" s="60">
        <f t="shared" ref="P72:Q72" si="25">P69+P70+P71</f>
        <v>0</v>
      </c>
      <c r="Q72" s="60">
        <f t="shared" si="25"/>
        <v>0</v>
      </c>
      <c r="R72" s="60">
        <f t="shared" ref="R72" si="26">R69+R70+R71</f>
        <v>0</v>
      </c>
      <c r="S72" s="60">
        <f t="shared" si="23"/>
        <v>0</v>
      </c>
      <c r="T72" s="60">
        <f t="shared" si="23"/>
        <v>0</v>
      </c>
      <c r="U72" s="60">
        <f t="shared" si="23"/>
        <v>0</v>
      </c>
      <c r="V72" s="60">
        <f t="shared" si="23"/>
        <v>0</v>
      </c>
      <c r="W72" s="60">
        <f t="shared" si="23"/>
        <v>0</v>
      </c>
      <c r="X72" s="60">
        <f t="shared" si="23"/>
        <v>0</v>
      </c>
      <c r="Y72" s="60">
        <f t="shared" si="23"/>
        <v>0</v>
      </c>
      <c r="Z72" s="60">
        <f t="shared" si="23"/>
        <v>0</v>
      </c>
      <c r="AA72" s="60">
        <f t="shared" si="23"/>
        <v>0</v>
      </c>
      <c r="AB72" s="60">
        <f t="shared" si="23"/>
        <v>0</v>
      </c>
      <c r="AC72" s="60">
        <f t="shared" si="23"/>
        <v>0</v>
      </c>
      <c r="AD72" s="60">
        <f t="shared" si="23"/>
        <v>0</v>
      </c>
      <c r="AE72" s="60">
        <f t="shared" si="23"/>
        <v>0</v>
      </c>
      <c r="AF72" s="60">
        <f t="shared" si="23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-10.5</v>
      </c>
      <c r="C73" s="45">
        <v>-13.7</v>
      </c>
      <c r="D73" s="45">
        <v>-15</v>
      </c>
      <c r="E73" s="45">
        <v>-12.9</v>
      </c>
      <c r="F73" s="45">
        <v>-25</v>
      </c>
      <c r="G73" s="45">
        <v>-20</v>
      </c>
      <c r="H73" s="45">
        <v>-36</v>
      </c>
      <c r="I73" s="45">
        <v>-31.5</v>
      </c>
      <c r="J73" s="45"/>
      <c r="K73" s="45"/>
      <c r="L73" s="45">
        <v>-22</v>
      </c>
      <c r="M73" s="45">
        <v>-32.5</v>
      </c>
      <c r="N73" s="45">
        <v>-28.2</v>
      </c>
      <c r="O73" s="45">
        <v>-28.2</v>
      </c>
      <c r="P73" s="45">
        <v>-31.2</v>
      </c>
      <c r="Q73" s="45">
        <v>-42</v>
      </c>
      <c r="R73" s="45">
        <v>-3.4</v>
      </c>
      <c r="S73" s="45">
        <v>-5.3</v>
      </c>
      <c r="T73" s="45">
        <v>-5.3</v>
      </c>
      <c r="U73" s="45">
        <v>-25.7</v>
      </c>
      <c r="V73" s="45">
        <v>-1</v>
      </c>
      <c r="W73" s="45">
        <v>-1.6</v>
      </c>
      <c r="X73" s="45">
        <v>-17.5</v>
      </c>
      <c r="Y73" s="45">
        <v>62.1</v>
      </c>
      <c r="Z73" s="45">
        <v>8</v>
      </c>
      <c r="AA73" s="45">
        <v>-7.6</v>
      </c>
      <c r="AB73" s="45">
        <v>-13.7</v>
      </c>
      <c r="AC73" s="45">
        <v>-25</v>
      </c>
      <c r="AD73" s="45">
        <v>-27</v>
      </c>
      <c r="AE73" s="45">
        <v>-26</v>
      </c>
      <c r="AF73" s="45">
        <v>-23</v>
      </c>
      <c r="AG73" s="51"/>
      <c r="AH73" s="47">
        <f t="shared" si="2"/>
        <v>62.1</v>
      </c>
      <c r="AI73" s="48">
        <f t="shared" si="3"/>
        <v>-42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/>
      <c r="K74" s="64"/>
      <c r="L74" s="64">
        <v>0</v>
      </c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-303</v>
      </c>
      <c r="C75" s="64">
        <v>-326</v>
      </c>
      <c r="D75" s="64">
        <v>-354</v>
      </c>
      <c r="E75" s="64">
        <v>-394</v>
      </c>
      <c r="F75" s="64">
        <v>-399</v>
      </c>
      <c r="G75" s="64">
        <v>-406</v>
      </c>
      <c r="H75" s="64">
        <v>-423</v>
      </c>
      <c r="I75" s="64">
        <v>-426</v>
      </c>
      <c r="J75" s="64"/>
      <c r="K75" s="64"/>
      <c r="L75" s="64">
        <v>-410</v>
      </c>
      <c r="M75" s="64">
        <v>-335.9</v>
      </c>
      <c r="N75" s="64">
        <v>-349.6</v>
      </c>
      <c r="O75" s="64">
        <v>-349.6</v>
      </c>
      <c r="P75" s="64">
        <v>-347</v>
      </c>
      <c r="Q75" s="64">
        <v>-368</v>
      </c>
      <c r="R75" s="64">
        <v>-313.5</v>
      </c>
      <c r="S75" s="64">
        <v>-343</v>
      </c>
      <c r="T75" s="64">
        <v>-360</v>
      </c>
      <c r="U75" s="64">
        <v>-395</v>
      </c>
      <c r="V75" s="64">
        <v>-406</v>
      </c>
      <c r="W75" s="64">
        <v>-392</v>
      </c>
      <c r="X75" s="64">
        <v>-355</v>
      </c>
      <c r="Y75" s="64">
        <v>-369</v>
      </c>
      <c r="Z75" s="64">
        <v>-296</v>
      </c>
      <c r="AA75" s="64">
        <v>-313</v>
      </c>
      <c r="AB75" s="64">
        <v>-290</v>
      </c>
      <c r="AC75" s="64">
        <v>-295</v>
      </c>
      <c r="AD75" s="64">
        <v>-320</v>
      </c>
      <c r="AE75" s="64">
        <v>-385</v>
      </c>
      <c r="AF75" s="64">
        <v>-400</v>
      </c>
      <c r="AG75" s="74"/>
      <c r="AH75" s="47">
        <f t="shared" si="2"/>
        <v>-290</v>
      </c>
      <c r="AI75" s="48">
        <f t="shared" si="3"/>
        <v>-426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75">
        <v>0</v>
      </c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4"/>
      <c r="AH77" s="47">
        <f t="shared" ref="AH77:AH120" si="27">MAX(B77:AF77)</f>
        <v>0</v>
      </c>
      <c r="AI77" s="48">
        <f t="shared" ref="AI77:AI120" si="28">MIN(B77:AF77)</f>
        <v>0</v>
      </c>
      <c r="AK77" s="50"/>
    </row>
    <row r="78" spans="1:40" x14ac:dyDescent="0.25">
      <c r="A78" s="53" t="s">
        <v>86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>
        <v>5</v>
      </c>
      <c r="AA78" s="76"/>
      <c r="AB78" s="76"/>
      <c r="AC78" s="76">
        <v>0</v>
      </c>
      <c r="AD78" s="76">
        <v>0</v>
      </c>
      <c r="AE78" s="76">
        <v>0</v>
      </c>
      <c r="AF78" s="76">
        <v>0</v>
      </c>
      <c r="AG78" s="74"/>
      <c r="AH78" s="47">
        <f t="shared" si="27"/>
        <v>5</v>
      </c>
      <c r="AI78" s="48">
        <f t="shared" si="28"/>
        <v>0</v>
      </c>
      <c r="AK78" s="50"/>
    </row>
    <row r="79" spans="1:40" ht="15.75" thickBot="1" x14ac:dyDescent="0.3">
      <c r="A79" s="53" t="s">
        <v>87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4"/>
      <c r="AH79" s="47">
        <f t="shared" si="27"/>
        <v>0</v>
      </c>
      <c r="AI79" s="48">
        <f t="shared" si="28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4"/>
      <c r="AH80" s="47">
        <f t="shared" si="27"/>
        <v>0</v>
      </c>
      <c r="AI80" s="48">
        <f t="shared" si="28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4"/>
      <c r="AH81" s="47">
        <f t="shared" si="27"/>
        <v>0</v>
      </c>
      <c r="AI81" s="48">
        <f t="shared" si="28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84"/>
      <c r="AH82" s="47">
        <f t="shared" si="27"/>
        <v>0</v>
      </c>
      <c r="AI82" s="48">
        <f t="shared" si="28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4"/>
      <c r="AH83" s="47">
        <f t="shared" si="27"/>
        <v>0</v>
      </c>
      <c r="AI83" s="48">
        <f t="shared" si="28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29">SUMIF(B73:B83,"&gt;0")</f>
        <v>0</v>
      </c>
      <c r="C84" s="60">
        <f t="shared" si="29"/>
        <v>0</v>
      </c>
      <c r="D84" s="60">
        <f t="shared" si="29"/>
        <v>0</v>
      </c>
      <c r="E84" s="60">
        <f t="shared" ref="E84:F84" si="30">SUMIF(E73:E83,"&gt;0")</f>
        <v>0</v>
      </c>
      <c r="F84" s="60">
        <f t="shared" si="30"/>
        <v>0</v>
      </c>
      <c r="G84" s="60">
        <f t="shared" si="29"/>
        <v>0</v>
      </c>
      <c r="H84" s="60">
        <f t="shared" si="29"/>
        <v>0</v>
      </c>
      <c r="I84" s="60">
        <f t="shared" si="29"/>
        <v>0</v>
      </c>
      <c r="J84" s="60">
        <f t="shared" si="29"/>
        <v>0</v>
      </c>
      <c r="K84" s="60">
        <f t="shared" si="29"/>
        <v>0</v>
      </c>
      <c r="L84" s="60">
        <f t="shared" si="29"/>
        <v>0</v>
      </c>
      <c r="M84" s="60">
        <f t="shared" si="29"/>
        <v>0</v>
      </c>
      <c r="N84" s="60">
        <f t="shared" ref="N84:O84" si="31">SUMIF(N73:N83,"&gt;0")</f>
        <v>0</v>
      </c>
      <c r="O84" s="60">
        <f t="shared" si="31"/>
        <v>0</v>
      </c>
      <c r="P84" s="60">
        <f t="shared" ref="P84:Q84" si="32">SUMIF(P73:P83,"&gt;0")</f>
        <v>0</v>
      </c>
      <c r="Q84" s="60">
        <f t="shared" si="32"/>
        <v>0</v>
      </c>
      <c r="R84" s="60">
        <f t="shared" ref="R84" si="33">SUMIF(R73:R83,"&gt;0")</f>
        <v>0</v>
      </c>
      <c r="S84" s="60">
        <f t="shared" si="29"/>
        <v>0</v>
      </c>
      <c r="T84" s="60">
        <f t="shared" si="29"/>
        <v>0</v>
      </c>
      <c r="U84" s="60">
        <f t="shared" si="29"/>
        <v>0</v>
      </c>
      <c r="V84" s="60">
        <f t="shared" si="29"/>
        <v>0</v>
      </c>
      <c r="W84" s="60">
        <f t="shared" si="29"/>
        <v>0</v>
      </c>
      <c r="X84" s="60">
        <f t="shared" si="29"/>
        <v>0</v>
      </c>
      <c r="Y84" s="60">
        <f t="shared" si="29"/>
        <v>62.1</v>
      </c>
      <c r="Z84" s="60">
        <f t="shared" si="29"/>
        <v>13</v>
      </c>
      <c r="AA84" s="60">
        <f t="shared" si="29"/>
        <v>0</v>
      </c>
      <c r="AB84" s="60">
        <f t="shared" si="29"/>
        <v>0</v>
      </c>
      <c r="AC84" s="60">
        <f t="shared" si="29"/>
        <v>0</v>
      </c>
      <c r="AD84" s="60">
        <f t="shared" si="29"/>
        <v>0</v>
      </c>
      <c r="AE84" s="60">
        <f t="shared" si="29"/>
        <v>0</v>
      </c>
      <c r="AF84" s="60">
        <f t="shared" si="29"/>
        <v>0</v>
      </c>
      <c r="AG84" s="87">
        <f>SUM(AG73:AG83)</f>
        <v>0</v>
      </c>
      <c r="AH84" s="47">
        <f t="shared" si="27"/>
        <v>62.1</v>
      </c>
      <c r="AI84" s="48">
        <f t="shared" si="28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27"/>
        <v>0</v>
      </c>
      <c r="AI85" s="48">
        <f t="shared" si="28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27"/>
        <v>0</v>
      </c>
      <c r="AI86" s="48">
        <f t="shared" si="28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27"/>
        <v>0</v>
      </c>
      <c r="AI87" s="48">
        <f t="shared" si="28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27"/>
        <v>0</v>
      </c>
      <c r="AI88" s="48">
        <f t="shared" si="28"/>
        <v>0</v>
      </c>
    </row>
    <row r="89" spans="1:40" ht="15.75" thickBot="1" x14ac:dyDescent="0.3">
      <c r="A89" s="73" t="s">
        <v>100</v>
      </c>
      <c r="B89" s="94">
        <f t="shared" ref="B89:AG89" si="34">B50+B54+B72+B68+B84+B88</f>
        <v>1914.8399999999997</v>
      </c>
      <c r="C89" s="94">
        <f t="shared" si="34"/>
        <v>1914.8399999999997</v>
      </c>
      <c r="D89" s="94">
        <f t="shared" si="34"/>
        <v>1846.34</v>
      </c>
      <c r="E89" s="94">
        <f t="shared" si="34"/>
        <v>1862.14</v>
      </c>
      <c r="F89" s="94">
        <f t="shared" si="34"/>
        <v>1869.8399999999997</v>
      </c>
      <c r="G89" s="94">
        <f t="shared" si="34"/>
        <v>1883.3400000000001</v>
      </c>
      <c r="H89" s="94">
        <f t="shared" si="34"/>
        <v>1894.34</v>
      </c>
      <c r="I89" s="94">
        <f t="shared" si="34"/>
        <v>1920.5400000000002</v>
      </c>
      <c r="J89" s="94">
        <f t="shared" si="34"/>
        <v>1572.94</v>
      </c>
      <c r="K89" s="94">
        <f t="shared" si="34"/>
        <v>1572.94</v>
      </c>
      <c r="L89" s="94">
        <f t="shared" si="34"/>
        <v>1572.94</v>
      </c>
      <c r="M89" s="94">
        <f t="shared" si="34"/>
        <v>1896.1399999999999</v>
      </c>
      <c r="N89" s="94">
        <f t="shared" ref="N89:O89" si="35">N50+N54+N72+N68+N84+N88</f>
        <v>1928.04</v>
      </c>
      <c r="O89" s="94">
        <f t="shared" si="35"/>
        <v>1928.04</v>
      </c>
      <c r="P89" s="94">
        <f t="shared" ref="P89:Q89" si="36">P50+P54+P72+P68+P84+P88</f>
        <v>1944.6399999999999</v>
      </c>
      <c r="Q89" s="94">
        <f t="shared" si="36"/>
        <v>1951.74</v>
      </c>
      <c r="R89" s="94">
        <f t="shared" ref="R89" si="37">R50+R54+R72+R68+R84+R88</f>
        <v>1958.6399999999999</v>
      </c>
      <c r="S89" s="94">
        <f t="shared" si="34"/>
        <v>1914.94</v>
      </c>
      <c r="T89" s="94">
        <f t="shared" si="34"/>
        <v>1945.3399999999997</v>
      </c>
      <c r="U89" s="94">
        <f t="shared" si="34"/>
        <v>1936.6399999999999</v>
      </c>
      <c r="V89" s="94">
        <f t="shared" si="34"/>
        <v>1929.1399999999999</v>
      </c>
      <c r="W89" s="94">
        <f t="shared" si="34"/>
        <v>1945.44</v>
      </c>
      <c r="X89" s="94">
        <f t="shared" si="34"/>
        <v>1945.44</v>
      </c>
      <c r="Y89" s="94">
        <f t="shared" si="34"/>
        <v>1967.7399999999998</v>
      </c>
      <c r="Z89" s="94">
        <f t="shared" si="34"/>
        <v>2025.94</v>
      </c>
      <c r="AA89" s="94">
        <f t="shared" si="34"/>
        <v>1992.64</v>
      </c>
      <c r="AB89" s="94">
        <f t="shared" si="34"/>
        <v>1903.54</v>
      </c>
      <c r="AC89" s="94">
        <f t="shared" si="34"/>
        <v>1903.54</v>
      </c>
      <c r="AD89" s="94">
        <f t="shared" si="34"/>
        <v>1913.54</v>
      </c>
      <c r="AE89" s="94">
        <f t="shared" si="34"/>
        <v>1861.6400000000003</v>
      </c>
      <c r="AF89" s="94">
        <f t="shared" si="34"/>
        <v>1866.94</v>
      </c>
      <c r="AG89" s="61">
        <f t="shared" si="34"/>
        <v>2111.5500000000002</v>
      </c>
      <c r="AH89" s="47">
        <f t="shared" si="27"/>
        <v>2025.94</v>
      </c>
      <c r="AI89" s="48">
        <f t="shared" si="28"/>
        <v>1572.94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27"/>
        <v>0</v>
      </c>
      <c r="AI90" s="48">
        <f t="shared" si="28"/>
        <v>0</v>
      </c>
    </row>
    <row r="91" spans="1:40" ht="15.75" thickBot="1" x14ac:dyDescent="0.3">
      <c r="A91" s="73" t="s">
        <v>102</v>
      </c>
      <c r="B91" s="94">
        <f t="shared" ref="B91:AF91" si="38">B89+B90</f>
        <v>1914.8399999999997</v>
      </c>
      <c r="C91" s="94">
        <f t="shared" si="38"/>
        <v>1914.8399999999997</v>
      </c>
      <c r="D91" s="94">
        <f t="shared" si="38"/>
        <v>1846.34</v>
      </c>
      <c r="E91" s="94">
        <f t="shared" si="38"/>
        <v>1862.14</v>
      </c>
      <c r="F91" s="94">
        <f t="shared" si="38"/>
        <v>1869.8399999999997</v>
      </c>
      <c r="G91" s="94">
        <f t="shared" si="38"/>
        <v>1883.3400000000001</v>
      </c>
      <c r="H91" s="94">
        <f t="shared" si="38"/>
        <v>1894.34</v>
      </c>
      <c r="I91" s="94">
        <f t="shared" si="38"/>
        <v>1920.5400000000002</v>
      </c>
      <c r="J91" s="94">
        <f t="shared" si="38"/>
        <v>1572.94</v>
      </c>
      <c r="K91" s="94">
        <f t="shared" si="38"/>
        <v>1572.94</v>
      </c>
      <c r="L91" s="94">
        <f t="shared" si="38"/>
        <v>1572.94</v>
      </c>
      <c r="M91" s="94">
        <f t="shared" si="38"/>
        <v>1896.1399999999999</v>
      </c>
      <c r="N91" s="94">
        <f t="shared" ref="N91:O91" si="39">N89+N90</f>
        <v>1928.04</v>
      </c>
      <c r="O91" s="94">
        <f t="shared" si="39"/>
        <v>1928.04</v>
      </c>
      <c r="P91" s="94">
        <f t="shared" ref="P91:Q91" si="40">P89+P90</f>
        <v>1944.6399999999999</v>
      </c>
      <c r="Q91" s="94">
        <f t="shared" si="40"/>
        <v>1951.74</v>
      </c>
      <c r="R91" s="94">
        <f t="shared" ref="R91" si="41">R89+R90</f>
        <v>1958.6399999999999</v>
      </c>
      <c r="S91" s="94">
        <f t="shared" si="38"/>
        <v>1914.94</v>
      </c>
      <c r="T91" s="94">
        <f t="shared" si="38"/>
        <v>1945.3399999999997</v>
      </c>
      <c r="U91" s="94">
        <f t="shared" si="38"/>
        <v>1936.6399999999999</v>
      </c>
      <c r="V91" s="94">
        <f t="shared" si="38"/>
        <v>1929.1399999999999</v>
      </c>
      <c r="W91" s="94">
        <f t="shared" si="38"/>
        <v>1945.44</v>
      </c>
      <c r="X91" s="94">
        <f t="shared" si="38"/>
        <v>1945.44</v>
      </c>
      <c r="Y91" s="94">
        <f t="shared" si="38"/>
        <v>1967.7399999999998</v>
      </c>
      <c r="Z91" s="94">
        <f t="shared" si="38"/>
        <v>2025.94</v>
      </c>
      <c r="AA91" s="94">
        <f t="shared" si="38"/>
        <v>1992.64</v>
      </c>
      <c r="AB91" s="94">
        <f t="shared" si="38"/>
        <v>1903.54</v>
      </c>
      <c r="AC91" s="94">
        <f t="shared" si="38"/>
        <v>1903.54</v>
      </c>
      <c r="AD91" s="94">
        <f t="shared" si="38"/>
        <v>1913.54</v>
      </c>
      <c r="AE91" s="94">
        <f t="shared" si="38"/>
        <v>1861.6400000000003</v>
      </c>
      <c r="AF91" s="94">
        <f t="shared" si="38"/>
        <v>1866.94</v>
      </c>
      <c r="AG91" s="87">
        <f>AG88+AG84+AG72+AG68+AG50+AG90</f>
        <v>1573.45</v>
      </c>
      <c r="AH91" s="47">
        <f t="shared" si="27"/>
        <v>2025.94</v>
      </c>
      <c r="AI91" s="48">
        <f t="shared" si="28"/>
        <v>1572.94</v>
      </c>
    </row>
    <row r="92" spans="1:40" ht="15.75" thickBot="1" x14ac:dyDescent="0.3">
      <c r="A92" s="73" t="s">
        <v>103</v>
      </c>
      <c r="B92" s="94">
        <f t="shared" ref="B92:AF92" si="42">B91-B99</f>
        <v>1914.8399999999997</v>
      </c>
      <c r="C92" s="94">
        <f t="shared" si="42"/>
        <v>1914.8399999999997</v>
      </c>
      <c r="D92" s="94">
        <f t="shared" si="42"/>
        <v>1846.34</v>
      </c>
      <c r="E92" s="94">
        <f t="shared" si="42"/>
        <v>1862.14</v>
      </c>
      <c r="F92" s="94">
        <f t="shared" si="42"/>
        <v>1869.8399999999997</v>
      </c>
      <c r="G92" s="94">
        <f t="shared" si="42"/>
        <v>1883.3400000000001</v>
      </c>
      <c r="H92" s="94">
        <f t="shared" si="42"/>
        <v>1894.34</v>
      </c>
      <c r="I92" s="94">
        <f t="shared" si="42"/>
        <v>1920.5400000000002</v>
      </c>
      <c r="J92" s="94">
        <f t="shared" si="42"/>
        <v>1572.94</v>
      </c>
      <c r="K92" s="94">
        <f t="shared" si="42"/>
        <v>1572.94</v>
      </c>
      <c r="L92" s="94">
        <f t="shared" si="42"/>
        <v>1572.94</v>
      </c>
      <c r="M92" s="94">
        <f t="shared" si="42"/>
        <v>1896.1399999999999</v>
      </c>
      <c r="N92" s="94">
        <f t="shared" ref="N92:O92" si="43">N91-N99</f>
        <v>1928.04</v>
      </c>
      <c r="O92" s="94">
        <f t="shared" si="43"/>
        <v>1928.04</v>
      </c>
      <c r="P92" s="94">
        <f t="shared" ref="P92:Q92" si="44">P91-P99</f>
        <v>1944.6399999999999</v>
      </c>
      <c r="Q92" s="94">
        <f t="shared" si="44"/>
        <v>1951.74</v>
      </c>
      <c r="R92" s="94">
        <f t="shared" ref="R92" si="45">R91-R99</f>
        <v>1958.6399999999999</v>
      </c>
      <c r="S92" s="94">
        <f t="shared" si="42"/>
        <v>1914.94</v>
      </c>
      <c r="T92" s="94">
        <f t="shared" si="42"/>
        <v>1945.3399999999997</v>
      </c>
      <c r="U92" s="94">
        <f t="shared" si="42"/>
        <v>1936.6399999999999</v>
      </c>
      <c r="V92" s="94">
        <f t="shared" si="42"/>
        <v>1929.1399999999999</v>
      </c>
      <c r="W92" s="94">
        <f t="shared" si="42"/>
        <v>1945.44</v>
      </c>
      <c r="X92" s="94">
        <f t="shared" si="42"/>
        <v>1945.44</v>
      </c>
      <c r="Y92" s="94">
        <f t="shared" si="42"/>
        <v>1967.7399999999998</v>
      </c>
      <c r="Z92" s="94">
        <f t="shared" si="42"/>
        <v>2025.94</v>
      </c>
      <c r="AA92" s="94">
        <f t="shared" si="42"/>
        <v>1992.64</v>
      </c>
      <c r="AB92" s="94">
        <f t="shared" si="42"/>
        <v>1903.54</v>
      </c>
      <c r="AC92" s="94">
        <f t="shared" si="42"/>
        <v>1903.54</v>
      </c>
      <c r="AD92" s="94">
        <f t="shared" si="42"/>
        <v>1913.54</v>
      </c>
      <c r="AE92" s="94">
        <f t="shared" si="42"/>
        <v>1861.6400000000003</v>
      </c>
      <c r="AF92" s="94">
        <f t="shared" si="42"/>
        <v>1866.94</v>
      </c>
      <c r="AG92" s="87"/>
      <c r="AH92" s="47">
        <f t="shared" si="27"/>
        <v>2025.94</v>
      </c>
      <c r="AI92" s="48">
        <f t="shared" si="28"/>
        <v>1572.94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27"/>
        <v>0</v>
      </c>
      <c r="AI93" s="48">
        <f t="shared" si="28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27"/>
        <v>0</v>
      </c>
      <c r="AI94" s="48">
        <f t="shared" si="28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27"/>
        <v>0</v>
      </c>
      <c r="AI95" s="48">
        <f t="shared" si="28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27"/>
        <v>0</v>
      </c>
      <c r="AI96" s="48">
        <f t="shared" si="28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27"/>
        <v>0</v>
      </c>
      <c r="AI97" s="48">
        <f t="shared" si="28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27"/>
        <v>0</v>
      </c>
      <c r="AI98" s="48">
        <f t="shared" si="28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27"/>
        <v>0</v>
      </c>
      <c r="AI99" s="48">
        <f t="shared" si="28"/>
        <v>0</v>
      </c>
      <c r="AK99" s="50"/>
    </row>
    <row r="100" spans="1:37" ht="15.75" thickBot="1" x14ac:dyDescent="0.3">
      <c r="A100" s="73" t="s">
        <v>108</v>
      </c>
      <c r="B100" s="60">
        <f t="shared" ref="B100:AF100" si="46">B84-B99</f>
        <v>0</v>
      </c>
      <c r="C100" s="60">
        <f t="shared" si="46"/>
        <v>0</v>
      </c>
      <c r="D100" s="60">
        <f t="shared" si="46"/>
        <v>0</v>
      </c>
      <c r="E100" s="60">
        <f t="shared" si="46"/>
        <v>0</v>
      </c>
      <c r="F100" s="60">
        <f t="shared" si="46"/>
        <v>0</v>
      </c>
      <c r="G100" s="60">
        <f t="shared" si="46"/>
        <v>0</v>
      </c>
      <c r="H100" s="60">
        <f t="shared" si="46"/>
        <v>0</v>
      </c>
      <c r="I100" s="60">
        <f t="shared" si="46"/>
        <v>0</v>
      </c>
      <c r="J100" s="60">
        <f t="shared" si="46"/>
        <v>0</v>
      </c>
      <c r="K100" s="60">
        <f t="shared" si="46"/>
        <v>0</v>
      </c>
      <c r="L100" s="60">
        <f t="shared" si="46"/>
        <v>0</v>
      </c>
      <c r="M100" s="60">
        <f t="shared" si="46"/>
        <v>0</v>
      </c>
      <c r="N100" s="60">
        <f t="shared" ref="N100:O100" si="47">N84-N99</f>
        <v>0</v>
      </c>
      <c r="O100" s="60">
        <f t="shared" si="47"/>
        <v>0</v>
      </c>
      <c r="P100" s="60">
        <f t="shared" ref="P100:Q100" si="48">P84-P99</f>
        <v>0</v>
      </c>
      <c r="Q100" s="60">
        <f t="shared" si="48"/>
        <v>0</v>
      </c>
      <c r="R100" s="60">
        <f t="shared" ref="R100" si="49">R84-R99</f>
        <v>0</v>
      </c>
      <c r="S100" s="60">
        <f t="shared" si="46"/>
        <v>0</v>
      </c>
      <c r="T100" s="60">
        <f t="shared" si="46"/>
        <v>0</v>
      </c>
      <c r="U100" s="60">
        <f t="shared" si="46"/>
        <v>0</v>
      </c>
      <c r="V100" s="60">
        <f t="shared" si="46"/>
        <v>0</v>
      </c>
      <c r="W100" s="60">
        <f t="shared" si="46"/>
        <v>0</v>
      </c>
      <c r="X100" s="60">
        <f t="shared" si="46"/>
        <v>0</v>
      </c>
      <c r="Y100" s="60">
        <f t="shared" si="46"/>
        <v>62.1</v>
      </c>
      <c r="Z100" s="60">
        <f t="shared" si="46"/>
        <v>13</v>
      </c>
      <c r="AA100" s="60">
        <f t="shared" si="46"/>
        <v>0</v>
      </c>
      <c r="AB100" s="60">
        <f t="shared" si="46"/>
        <v>0</v>
      </c>
      <c r="AC100" s="60">
        <f t="shared" si="46"/>
        <v>0</v>
      </c>
      <c r="AD100" s="60">
        <f t="shared" si="46"/>
        <v>0</v>
      </c>
      <c r="AE100" s="60">
        <f t="shared" si="46"/>
        <v>0</v>
      </c>
      <c r="AF100" s="60">
        <f t="shared" si="46"/>
        <v>0</v>
      </c>
      <c r="AG100" s="87"/>
      <c r="AH100" s="47">
        <f t="shared" si="27"/>
        <v>62.1</v>
      </c>
      <c r="AI100" s="48">
        <f t="shared" si="28"/>
        <v>0</v>
      </c>
    </row>
    <row r="101" spans="1:37" x14ac:dyDescent="0.25">
      <c r="A101" s="99" t="s">
        <v>109</v>
      </c>
      <c r="B101" s="100">
        <v>49.935000000000002</v>
      </c>
      <c r="C101" s="100">
        <v>50.006</v>
      </c>
      <c r="D101" s="100">
        <v>50.003999999999998</v>
      </c>
      <c r="E101" s="100">
        <v>50.05</v>
      </c>
      <c r="F101" s="100">
        <v>50.021000000000001</v>
      </c>
      <c r="G101" s="100">
        <v>49.963000000000001</v>
      </c>
      <c r="H101" s="100">
        <v>49.978000000000002</v>
      </c>
      <c r="I101" s="100">
        <v>49.884</v>
      </c>
      <c r="J101" s="100"/>
      <c r="K101" s="100"/>
      <c r="L101" s="100">
        <v>49.904000000000003</v>
      </c>
      <c r="M101" s="100">
        <v>49.994999999999997</v>
      </c>
      <c r="N101" s="100">
        <v>49.981999999999999</v>
      </c>
      <c r="O101" s="100">
        <v>49.981999999999999</v>
      </c>
      <c r="P101" s="100">
        <v>49.981999999999999</v>
      </c>
      <c r="Q101" s="100">
        <v>49.981999999999999</v>
      </c>
      <c r="R101" s="100">
        <v>50</v>
      </c>
      <c r="S101" s="100">
        <v>49.947000000000003</v>
      </c>
      <c r="T101" s="100">
        <v>49.887</v>
      </c>
      <c r="U101" s="100">
        <v>49.881999999999998</v>
      </c>
      <c r="V101" s="100">
        <v>49.984999999999999</v>
      </c>
      <c r="W101" s="100">
        <v>49.896000000000001</v>
      </c>
      <c r="X101" s="100">
        <v>49.896000000000001</v>
      </c>
      <c r="Y101" s="100">
        <v>50.002000000000002</v>
      </c>
      <c r="Z101" s="100">
        <v>50.002000000000002</v>
      </c>
      <c r="AA101" s="100">
        <v>49.959000000000003</v>
      </c>
      <c r="AB101" s="100">
        <v>50.08</v>
      </c>
      <c r="AC101" s="100">
        <v>50.03</v>
      </c>
      <c r="AD101" s="100">
        <v>50.01</v>
      </c>
      <c r="AE101" s="100">
        <v>50.06</v>
      </c>
      <c r="AF101" s="100">
        <v>50.03</v>
      </c>
      <c r="AG101" s="101"/>
      <c r="AH101" s="47">
        <f t="shared" si="27"/>
        <v>50.08</v>
      </c>
      <c r="AI101" s="48">
        <f t="shared" si="28"/>
        <v>49.881999999999998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27"/>
        <v>0</v>
      </c>
      <c r="AI102" s="48">
        <f t="shared" si="28"/>
        <v>0</v>
      </c>
    </row>
    <row r="103" spans="1:37" x14ac:dyDescent="0.25">
      <c r="A103" s="102" t="s">
        <v>111</v>
      </c>
      <c r="B103" s="64">
        <v>128.6</v>
      </c>
      <c r="C103" s="64">
        <v>130</v>
      </c>
      <c r="D103" s="64">
        <v>130</v>
      </c>
      <c r="E103" s="64">
        <v>128.30000000000001</v>
      </c>
      <c r="F103" s="64">
        <v>128.6</v>
      </c>
      <c r="G103" s="64">
        <v>126.3</v>
      </c>
      <c r="H103" s="64">
        <v>127</v>
      </c>
      <c r="I103" s="64"/>
      <c r="J103" s="64"/>
      <c r="K103" s="64"/>
      <c r="L103" s="64">
        <v>126</v>
      </c>
      <c r="M103" s="64">
        <v>127</v>
      </c>
      <c r="N103" s="64">
        <v>126.2</v>
      </c>
      <c r="O103" s="64">
        <v>126.2</v>
      </c>
      <c r="P103" s="64">
        <v>126.2</v>
      </c>
      <c r="Q103" s="64">
        <v>126.2</v>
      </c>
      <c r="R103" s="64">
        <v>126.3</v>
      </c>
      <c r="S103" s="64">
        <v>126.8</v>
      </c>
      <c r="T103" s="64">
        <v>127.2</v>
      </c>
      <c r="U103" s="64">
        <v>126.9</v>
      </c>
      <c r="V103" s="64">
        <v>128.69999999999999</v>
      </c>
      <c r="W103" s="64">
        <v>127.7</v>
      </c>
      <c r="X103" s="64">
        <v>127.7</v>
      </c>
      <c r="Y103" s="64">
        <v>128.6</v>
      </c>
      <c r="Z103" s="64">
        <v>127.1</v>
      </c>
      <c r="AA103" s="64">
        <v>127</v>
      </c>
      <c r="AB103" s="64">
        <v>129</v>
      </c>
      <c r="AC103" s="64">
        <v>129</v>
      </c>
      <c r="AD103" s="64">
        <v>129</v>
      </c>
      <c r="AE103" s="64">
        <v>129</v>
      </c>
      <c r="AF103" s="64">
        <v>129</v>
      </c>
      <c r="AG103" s="103"/>
      <c r="AH103" s="47">
        <f t="shared" si="27"/>
        <v>130</v>
      </c>
      <c r="AI103" s="48">
        <f t="shared" si="28"/>
        <v>126</v>
      </c>
    </row>
    <row r="104" spans="1:37" x14ac:dyDescent="0.25">
      <c r="A104" s="102" t="s">
        <v>112</v>
      </c>
      <c r="B104" s="64">
        <v>129</v>
      </c>
      <c r="C104" s="64">
        <v>130.9</v>
      </c>
      <c r="D104" s="64">
        <v>130.4</v>
      </c>
      <c r="E104" s="64">
        <v>129.1</v>
      </c>
      <c r="F104" s="64">
        <v>129.19999999999999</v>
      </c>
      <c r="G104" s="64">
        <v>130.30000000000001</v>
      </c>
      <c r="H104" s="64">
        <v>128.19999999999999</v>
      </c>
      <c r="I104" s="64"/>
      <c r="J104" s="64"/>
      <c r="K104" s="64"/>
      <c r="L104" s="64">
        <v>127</v>
      </c>
      <c r="M104" s="64">
        <v>126</v>
      </c>
      <c r="N104" s="64">
        <v>126</v>
      </c>
      <c r="O104" s="64">
        <v>126</v>
      </c>
      <c r="P104" s="64">
        <v>126</v>
      </c>
      <c r="Q104" s="64">
        <v>126</v>
      </c>
      <c r="R104" s="64">
        <v>130.30000000000001</v>
      </c>
      <c r="S104" s="64">
        <v>131</v>
      </c>
      <c r="T104" s="64">
        <v>125.6</v>
      </c>
      <c r="U104" s="64">
        <v>128.80000000000001</v>
      </c>
      <c r="V104" s="64">
        <v>129</v>
      </c>
      <c r="W104" s="64">
        <v>129.1</v>
      </c>
      <c r="X104" s="64">
        <v>129.1</v>
      </c>
      <c r="Y104" s="64">
        <v>126.5</v>
      </c>
      <c r="Z104" s="64">
        <v>127.3</v>
      </c>
      <c r="AA104" s="64">
        <v>127</v>
      </c>
      <c r="AB104" s="64">
        <v>127</v>
      </c>
      <c r="AC104" s="64">
        <v>127</v>
      </c>
      <c r="AD104" s="64">
        <v>127</v>
      </c>
      <c r="AE104" s="64">
        <v>127</v>
      </c>
      <c r="AF104" s="64">
        <v>127</v>
      </c>
      <c r="AG104" s="103"/>
      <c r="AH104" s="47">
        <f t="shared" si="27"/>
        <v>131</v>
      </c>
      <c r="AI104" s="48">
        <f t="shared" si="28"/>
        <v>125.6</v>
      </c>
    </row>
    <row r="105" spans="1:37" x14ac:dyDescent="0.25">
      <c r="A105" s="104" t="s">
        <v>113</v>
      </c>
      <c r="B105" s="64">
        <v>132.80000000000001</v>
      </c>
      <c r="C105" s="64">
        <v>133.5</v>
      </c>
      <c r="D105" s="64">
        <v>133.6</v>
      </c>
      <c r="E105" s="64">
        <v>133.30000000000001</v>
      </c>
      <c r="F105" s="64">
        <v>133</v>
      </c>
      <c r="G105" s="64">
        <v>133.5</v>
      </c>
      <c r="H105" s="64">
        <v>132.69999999999999</v>
      </c>
      <c r="I105" s="64"/>
      <c r="J105" s="64"/>
      <c r="K105" s="64"/>
      <c r="L105" s="64">
        <v>124.9</v>
      </c>
      <c r="M105" s="64">
        <v>125.7</v>
      </c>
      <c r="N105" s="64">
        <v>125.7</v>
      </c>
      <c r="O105" s="64">
        <v>125.7</v>
      </c>
      <c r="P105" s="64">
        <v>125.7</v>
      </c>
      <c r="Q105" s="64">
        <v>125.7</v>
      </c>
      <c r="R105" s="64">
        <v>129.4</v>
      </c>
      <c r="S105" s="64">
        <v>129.4</v>
      </c>
      <c r="T105" s="64">
        <v>123.7</v>
      </c>
      <c r="U105" s="64">
        <v>126.4</v>
      </c>
      <c r="V105" s="64">
        <v>127.9</v>
      </c>
      <c r="W105" s="64">
        <v>128.30000000000001</v>
      </c>
      <c r="X105" s="64">
        <v>128.30000000000001</v>
      </c>
      <c r="Y105" s="64">
        <v>125.1</v>
      </c>
      <c r="Z105" s="64">
        <v>126.5</v>
      </c>
      <c r="AA105" s="64">
        <v>126.4</v>
      </c>
      <c r="AB105" s="64">
        <v>126.4</v>
      </c>
      <c r="AC105" s="64">
        <v>126.4</v>
      </c>
      <c r="AD105" s="64">
        <v>126.4</v>
      </c>
      <c r="AE105" s="64">
        <v>126.4</v>
      </c>
      <c r="AF105" s="64">
        <v>126.4</v>
      </c>
      <c r="AG105" s="103"/>
      <c r="AH105" s="47">
        <f t="shared" si="27"/>
        <v>133.6</v>
      </c>
      <c r="AI105" s="48">
        <f t="shared" si="28"/>
        <v>123.7</v>
      </c>
    </row>
    <row r="106" spans="1:37" x14ac:dyDescent="0.25">
      <c r="A106" s="104" t="s">
        <v>114</v>
      </c>
      <c r="B106" s="105">
        <v>129.69999999999999</v>
      </c>
      <c r="C106" s="105">
        <v>130</v>
      </c>
      <c r="D106" s="105">
        <v>132.9</v>
      </c>
      <c r="E106" s="105">
        <v>130.19999999999999</v>
      </c>
      <c r="F106" s="105">
        <v>130.30000000000001</v>
      </c>
      <c r="G106" s="105">
        <v>133.80000000000001</v>
      </c>
      <c r="H106" s="105">
        <v>133.30000000000001</v>
      </c>
      <c r="I106" s="105"/>
      <c r="J106" s="105"/>
      <c r="K106" s="105"/>
      <c r="L106" s="105">
        <v>130.1</v>
      </c>
      <c r="M106" s="105">
        <v>133</v>
      </c>
      <c r="N106" s="105">
        <v>133</v>
      </c>
      <c r="O106" s="105">
        <v>133</v>
      </c>
      <c r="P106" s="105">
        <v>133</v>
      </c>
      <c r="Q106" s="105">
        <v>133</v>
      </c>
      <c r="R106" s="105">
        <v>134.80000000000001</v>
      </c>
      <c r="S106" s="105">
        <v>128.1</v>
      </c>
      <c r="T106" s="105">
        <v>131.4</v>
      </c>
      <c r="U106" s="105">
        <v>132.30000000000001</v>
      </c>
      <c r="V106" s="105">
        <v>133</v>
      </c>
      <c r="W106" s="105">
        <v>130.9</v>
      </c>
      <c r="X106" s="105">
        <v>130.9</v>
      </c>
      <c r="Y106" s="105">
        <v>132.19999999999999</v>
      </c>
      <c r="Z106" s="105">
        <v>131.4</v>
      </c>
      <c r="AA106" s="105">
        <v>130.69999999999999</v>
      </c>
      <c r="AB106" s="105">
        <v>130.69999999999999</v>
      </c>
      <c r="AC106" s="105">
        <v>130.69999999999999</v>
      </c>
      <c r="AD106" s="105">
        <v>130.69999999999999</v>
      </c>
      <c r="AE106" s="105">
        <v>130.69999999999999</v>
      </c>
      <c r="AF106" s="105">
        <v>130.69999999999999</v>
      </c>
      <c r="AG106" s="106"/>
      <c r="AH106" s="47">
        <f t="shared" si="27"/>
        <v>134.80000000000001</v>
      </c>
      <c r="AI106" s="48">
        <f t="shared" si="28"/>
        <v>128.1</v>
      </c>
    </row>
    <row r="107" spans="1:37" x14ac:dyDescent="0.25">
      <c r="A107" s="102" t="s">
        <v>115</v>
      </c>
      <c r="B107" s="64">
        <v>125.1</v>
      </c>
      <c r="C107" s="64">
        <v>127</v>
      </c>
      <c r="D107" s="64">
        <v>130.1</v>
      </c>
      <c r="E107" s="64">
        <v>126.9</v>
      </c>
      <c r="F107" s="64">
        <v>129</v>
      </c>
      <c r="G107" s="64">
        <v>130</v>
      </c>
      <c r="H107" s="64">
        <v>132.9</v>
      </c>
      <c r="I107" s="64"/>
      <c r="J107" s="64"/>
      <c r="K107" s="64"/>
      <c r="L107" s="64">
        <v>130.30000000000001</v>
      </c>
      <c r="M107" s="64">
        <v>126.7</v>
      </c>
      <c r="N107" s="64">
        <v>126.7</v>
      </c>
      <c r="O107" s="64">
        <v>126.7</v>
      </c>
      <c r="P107" s="64">
        <v>126.7</v>
      </c>
      <c r="Q107" s="64">
        <v>126.7</v>
      </c>
      <c r="R107" s="64">
        <v>130.9</v>
      </c>
      <c r="S107" s="64">
        <v>134.69999999999999</v>
      </c>
      <c r="T107" s="64">
        <v>132.30000000000001</v>
      </c>
      <c r="U107" s="64">
        <v>134.69999999999999</v>
      </c>
      <c r="V107" s="64">
        <v>131</v>
      </c>
      <c r="W107" s="64">
        <v>131.69999999999999</v>
      </c>
      <c r="X107" s="64">
        <v>131.69999999999999</v>
      </c>
      <c r="Y107" s="64">
        <v>133.4</v>
      </c>
      <c r="Z107" s="64">
        <v>127.3</v>
      </c>
      <c r="AA107" s="64">
        <v>127.5</v>
      </c>
      <c r="AB107" s="64">
        <v>127.5</v>
      </c>
      <c r="AC107" s="64">
        <v>127.5</v>
      </c>
      <c r="AD107" s="64">
        <v>127.5</v>
      </c>
      <c r="AE107" s="64">
        <v>127.5</v>
      </c>
      <c r="AF107" s="64">
        <v>127.5</v>
      </c>
      <c r="AG107" s="103"/>
      <c r="AH107" s="47">
        <f t="shared" si="27"/>
        <v>134.69999999999999</v>
      </c>
      <c r="AI107" s="48">
        <f t="shared" si="28"/>
        <v>125.1</v>
      </c>
    </row>
    <row r="108" spans="1:37" ht="15.75" thickBot="1" x14ac:dyDescent="0.3">
      <c r="A108" s="102" t="s">
        <v>116</v>
      </c>
      <c r="B108" s="91">
        <v>64.8</v>
      </c>
      <c r="C108" s="91">
        <v>65.599999999999994</v>
      </c>
      <c r="D108" s="91">
        <v>65.400000000000006</v>
      </c>
      <c r="E108" s="91">
        <v>64.599999999999994</v>
      </c>
      <c r="F108" s="91">
        <v>65</v>
      </c>
      <c r="G108" s="91">
        <v>64</v>
      </c>
      <c r="H108" s="91">
        <v>64.5</v>
      </c>
      <c r="I108" s="91"/>
      <c r="J108" s="91"/>
      <c r="K108" s="91"/>
      <c r="L108" s="91">
        <v>63</v>
      </c>
      <c r="M108" s="91">
        <v>63.9</v>
      </c>
      <c r="N108" s="91">
        <v>63.9</v>
      </c>
      <c r="O108" s="91">
        <v>63.9</v>
      </c>
      <c r="P108" s="91">
        <v>63.9</v>
      </c>
      <c r="Q108" s="91">
        <v>63.9</v>
      </c>
      <c r="R108" s="91">
        <v>63</v>
      </c>
      <c r="S108" s="91">
        <v>63.4</v>
      </c>
      <c r="T108" s="91">
        <v>63.2</v>
      </c>
      <c r="U108" s="91">
        <v>63.4</v>
      </c>
      <c r="V108" s="91">
        <v>64.599999999999994</v>
      </c>
      <c r="W108" s="91">
        <v>63.8</v>
      </c>
      <c r="X108" s="91">
        <v>63.8</v>
      </c>
      <c r="Y108" s="91">
        <v>64.3</v>
      </c>
      <c r="Z108" s="91">
        <v>63.7</v>
      </c>
      <c r="AA108" s="91">
        <v>63.7</v>
      </c>
      <c r="AB108" s="91">
        <v>63.7</v>
      </c>
      <c r="AC108" s="91">
        <v>63.7</v>
      </c>
      <c r="AD108" s="91">
        <v>63.7</v>
      </c>
      <c r="AE108" s="91">
        <v>63.7</v>
      </c>
      <c r="AF108" s="91">
        <v>63.7</v>
      </c>
      <c r="AG108" s="107"/>
      <c r="AH108" s="47">
        <f t="shared" si="27"/>
        <v>65.599999999999994</v>
      </c>
      <c r="AI108" s="48">
        <f t="shared" si="28"/>
        <v>63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27"/>
        <v>0</v>
      </c>
      <c r="AI109" s="48">
        <f t="shared" si="28"/>
        <v>0</v>
      </c>
    </row>
    <row r="110" spans="1:37" ht="15.75" thickBot="1" x14ac:dyDescent="0.3">
      <c r="A110" s="109" t="s">
        <v>118</v>
      </c>
      <c r="B110" s="110">
        <f t="shared" ref="B110:M110" si="50">SUM(B20,B26,B29:B30,B58,B60:B61,B63,B65,B111:B115,B138,B144,B150,B159,B161,B173,B180,B183:B184,B191,B193,B195,B199:B201,B203:B205,B210,B216:B217,B219:B221,B229,B234)</f>
        <v>62.000000000000007</v>
      </c>
      <c r="C110" s="110">
        <f t="shared" si="50"/>
        <v>87.839999999999989</v>
      </c>
      <c r="D110" s="110">
        <f t="shared" si="50"/>
        <v>82.839999999999989</v>
      </c>
      <c r="E110" s="110">
        <f t="shared" si="50"/>
        <v>33.04</v>
      </c>
      <c r="F110" s="110">
        <f t="shared" si="50"/>
        <v>22.540000000000017</v>
      </c>
      <c r="G110" s="110">
        <f t="shared" si="50"/>
        <v>24.040000000000003</v>
      </c>
      <c r="H110" s="110">
        <f t="shared" si="50"/>
        <v>37.940000000000012</v>
      </c>
      <c r="I110" s="110">
        <f t="shared" si="50"/>
        <v>111.44000000000001</v>
      </c>
      <c r="J110" s="110">
        <f t="shared" si="50"/>
        <v>53.339999999999996</v>
      </c>
      <c r="K110" s="110">
        <f t="shared" si="50"/>
        <v>53.339999999999996</v>
      </c>
      <c r="L110" s="110">
        <f t="shared" si="50"/>
        <v>103.94000000000001</v>
      </c>
      <c r="M110" s="110">
        <f t="shared" si="50"/>
        <v>177.74</v>
      </c>
      <c r="N110" s="110">
        <f t="shared" ref="N110:O110" si="51">SUM(N20,N26,N29:N30,N58,N60:N61,N63,N65,N111:N115,N138,N144,N150,N159,N161,N173,N180,N183:N184,N191,N193,N195,N199:N201,N203:N205,N210,N216:N217,N219:N221,N229,N234)</f>
        <v>161.54</v>
      </c>
      <c r="O110" s="110">
        <f t="shared" si="51"/>
        <v>159.84</v>
      </c>
      <c r="P110" s="110">
        <f t="shared" ref="P110:Q110" si="52">SUM(P20,P26,P29:P30,P58,P60:P61,P63,P65,P111:P115,P138,P144,P150,P159,P161,P173,P180,P183:P184,P191,P193,P195,P199:P201,P203:P205,P210,P216:P217,P219:P221,P229,P234)</f>
        <v>163.94000000000003</v>
      </c>
      <c r="Q110" s="110">
        <f t="shared" si="52"/>
        <v>138.4</v>
      </c>
      <c r="R110" s="110">
        <f t="shared" ref="R110" si="53">SUM(R20,R26,R29:R30,R58,R60:R61,R63,R65,R111:R115,R138,R144,R150,R159,R161,R173,R180,R183:R184,R191,R193,R195,R199:R201,R203:R205,R210,R216:R217,R219:R221,R229,R234)</f>
        <v>175.70000000000005</v>
      </c>
      <c r="S110" s="110">
        <f t="shared" ref="S110:AF110" si="54">SUM(S20,S26,S29:S30,S58,S60:S61,S63,S65,S111:S115,S138,S144,S150,S159,S161,S173,S180,S183:S184,S191,S193,S195,S199:S201,S203:S205,S210,S216:S217,S219:S221,S229,S234)</f>
        <v>170.10000000000002</v>
      </c>
      <c r="T110" s="110">
        <f t="shared" si="54"/>
        <v>168.20000000000005</v>
      </c>
      <c r="U110" s="110">
        <f t="shared" si="54"/>
        <v>166.10000000000002</v>
      </c>
      <c r="V110" s="110">
        <f t="shared" si="54"/>
        <v>156.80000000000001</v>
      </c>
      <c r="W110" s="110">
        <f t="shared" si="54"/>
        <v>170.60000000000002</v>
      </c>
      <c r="X110" s="110">
        <f t="shared" si="54"/>
        <v>170.60000000000002</v>
      </c>
      <c r="Y110" s="110">
        <f t="shared" si="54"/>
        <v>223.3</v>
      </c>
      <c r="Z110" s="110">
        <f t="shared" si="54"/>
        <v>262.89999999999998</v>
      </c>
      <c r="AA110" s="110">
        <f t="shared" si="54"/>
        <v>265.10000000000002</v>
      </c>
      <c r="AB110" s="110">
        <f t="shared" si="54"/>
        <v>232</v>
      </c>
      <c r="AC110" s="110">
        <f t="shared" si="54"/>
        <v>208</v>
      </c>
      <c r="AD110" s="110"/>
      <c r="AE110" s="110">
        <f t="shared" si="54"/>
        <v>118</v>
      </c>
      <c r="AF110" s="110">
        <f t="shared" si="54"/>
        <v>66.300000000000011</v>
      </c>
      <c r="AG110" s="111"/>
      <c r="AH110" s="47">
        <f t="shared" si="27"/>
        <v>265.10000000000002</v>
      </c>
      <c r="AI110" s="48">
        <f t="shared" si="28"/>
        <v>22.540000000000017</v>
      </c>
    </row>
    <row r="111" spans="1:37" x14ac:dyDescent="0.25">
      <c r="A111" s="99" t="s">
        <v>119</v>
      </c>
      <c r="B111" s="112">
        <v>33.5</v>
      </c>
      <c r="C111" s="112">
        <v>29.2</v>
      </c>
      <c r="D111" s="112">
        <v>29.2</v>
      </c>
      <c r="E111" s="112">
        <v>38</v>
      </c>
      <c r="F111" s="112">
        <v>29.3</v>
      </c>
      <c r="G111" s="112">
        <v>52.7</v>
      </c>
      <c r="H111" s="112">
        <v>55.3</v>
      </c>
      <c r="I111" s="112"/>
      <c r="J111" s="112"/>
      <c r="K111" s="112"/>
      <c r="L111" s="112">
        <v>32</v>
      </c>
      <c r="M111" s="112">
        <v>31.4</v>
      </c>
      <c r="N111" s="112">
        <v>28.5</v>
      </c>
      <c r="O111" s="112">
        <v>34.700000000000003</v>
      </c>
      <c r="P111" s="112">
        <v>38.299999999999997</v>
      </c>
      <c r="Q111" s="112">
        <v>26</v>
      </c>
      <c r="R111" s="112">
        <v>20.5</v>
      </c>
      <c r="S111" s="112">
        <v>25.5</v>
      </c>
      <c r="T111" s="112">
        <v>30.3</v>
      </c>
      <c r="U111" s="112">
        <v>36.799999999999997</v>
      </c>
      <c r="V111" s="112">
        <v>34</v>
      </c>
      <c r="W111" s="112">
        <v>30.9</v>
      </c>
      <c r="X111" s="112">
        <v>30.9</v>
      </c>
      <c r="Y111" s="112">
        <v>43.9</v>
      </c>
      <c r="Z111" s="112">
        <v>47.6</v>
      </c>
      <c r="AA111" s="112">
        <v>56</v>
      </c>
      <c r="AB111" s="112">
        <v>52.2</v>
      </c>
      <c r="AC111" s="112">
        <v>94</v>
      </c>
      <c r="AD111" s="112">
        <v>75</v>
      </c>
      <c r="AE111" s="112">
        <v>71</v>
      </c>
      <c r="AF111" s="112">
        <v>22</v>
      </c>
      <c r="AG111" s="113">
        <v>75</v>
      </c>
      <c r="AH111" s="47">
        <f t="shared" si="27"/>
        <v>94</v>
      </c>
      <c r="AI111" s="48">
        <f t="shared" si="28"/>
        <v>20.5</v>
      </c>
    </row>
    <row r="112" spans="1:37" x14ac:dyDescent="0.25">
      <c r="A112" s="102" t="s">
        <v>120</v>
      </c>
      <c r="B112" s="114">
        <v>50.6</v>
      </c>
      <c r="C112" s="114">
        <v>47.1</v>
      </c>
      <c r="D112" s="114">
        <v>47.1</v>
      </c>
      <c r="E112" s="114">
        <v>58.7</v>
      </c>
      <c r="F112" s="114">
        <v>46.1</v>
      </c>
      <c r="G112" s="114">
        <v>78.5</v>
      </c>
      <c r="H112" s="114">
        <v>83.9</v>
      </c>
      <c r="I112" s="114"/>
      <c r="J112" s="114"/>
      <c r="K112" s="114"/>
      <c r="L112" s="114">
        <v>45.4</v>
      </c>
      <c r="M112" s="114">
        <v>42.1</v>
      </c>
      <c r="N112" s="114">
        <v>37.700000000000003</v>
      </c>
      <c r="O112" s="114">
        <v>46.9</v>
      </c>
      <c r="P112" s="114">
        <v>49.9</v>
      </c>
      <c r="Q112" s="114">
        <v>31.6</v>
      </c>
      <c r="R112" s="114">
        <v>20.3</v>
      </c>
      <c r="S112" s="114">
        <v>30.2</v>
      </c>
      <c r="T112" s="114">
        <v>37.5</v>
      </c>
      <c r="U112" s="114">
        <v>48.5</v>
      </c>
      <c r="V112" s="114">
        <v>44</v>
      </c>
      <c r="W112" s="114">
        <v>39.200000000000003</v>
      </c>
      <c r="X112" s="114">
        <v>39.200000000000003</v>
      </c>
      <c r="Y112" s="114">
        <v>59</v>
      </c>
      <c r="Z112" s="114">
        <v>68</v>
      </c>
      <c r="AA112" s="114">
        <v>78</v>
      </c>
      <c r="AB112" s="114">
        <v>76.8</v>
      </c>
      <c r="AC112" s="114">
        <v>65</v>
      </c>
      <c r="AD112" s="114">
        <v>53.6</v>
      </c>
      <c r="AE112" s="114">
        <v>50</v>
      </c>
      <c r="AF112" s="114">
        <v>16</v>
      </c>
      <c r="AG112" s="113">
        <v>240</v>
      </c>
      <c r="AH112" s="47">
        <f t="shared" si="27"/>
        <v>83.9</v>
      </c>
      <c r="AI112" s="48">
        <f t="shared" si="28"/>
        <v>16</v>
      </c>
    </row>
    <row r="113" spans="1:37" x14ac:dyDescent="0.25">
      <c r="A113" s="102" t="s">
        <v>121</v>
      </c>
      <c r="B113" s="114">
        <v>-170</v>
      </c>
      <c r="C113" s="114">
        <v>-166</v>
      </c>
      <c r="D113" s="114">
        <v>-166</v>
      </c>
      <c r="E113" s="114">
        <v>-205</v>
      </c>
      <c r="F113" s="114">
        <v>-191.9</v>
      </c>
      <c r="G113" s="114">
        <v>-185</v>
      </c>
      <c r="H113" s="114">
        <v>-184.6</v>
      </c>
      <c r="I113" s="114"/>
      <c r="J113" s="114"/>
      <c r="K113" s="114"/>
      <c r="L113" s="114">
        <v>-48</v>
      </c>
      <c r="M113" s="114">
        <v>-60</v>
      </c>
      <c r="N113" s="114">
        <v>-70.2</v>
      </c>
      <c r="O113" s="114">
        <v>-75</v>
      </c>
      <c r="P113" s="114">
        <v>-77</v>
      </c>
      <c r="Q113" s="114">
        <v>-68</v>
      </c>
      <c r="R113" s="114">
        <v>-49.7</v>
      </c>
      <c r="S113" s="114">
        <v>-57</v>
      </c>
      <c r="T113" s="114">
        <v>-66</v>
      </c>
      <c r="U113" s="114">
        <v>-56</v>
      </c>
      <c r="V113" s="114">
        <v>-59</v>
      </c>
      <c r="W113" s="114">
        <f>-25-28.2</f>
        <v>-53.2</v>
      </c>
      <c r="X113" s="114">
        <f>-25-28.2</f>
        <v>-53.2</v>
      </c>
      <c r="Y113" s="114">
        <v>-48</v>
      </c>
      <c r="Z113" s="114">
        <v>-59</v>
      </c>
      <c r="AA113" s="114">
        <v>-108</v>
      </c>
      <c r="AB113" s="114">
        <f>-59.4-63.7</f>
        <v>-123.1</v>
      </c>
      <c r="AC113" s="114">
        <v>-160</v>
      </c>
      <c r="AD113" s="114">
        <v>-154</v>
      </c>
      <c r="AE113" s="114">
        <v>-160</v>
      </c>
      <c r="AF113" s="114">
        <v>-110</v>
      </c>
      <c r="AG113" s="113">
        <v>240</v>
      </c>
      <c r="AH113" s="47">
        <f t="shared" si="27"/>
        <v>-48</v>
      </c>
      <c r="AI113" s="48">
        <f t="shared" si="28"/>
        <v>-205</v>
      </c>
    </row>
    <row r="114" spans="1:37" x14ac:dyDescent="0.25">
      <c r="A114" s="102" t="s">
        <v>122</v>
      </c>
      <c r="B114" s="114">
        <v>-14.4</v>
      </c>
      <c r="C114" s="114">
        <v>13.8</v>
      </c>
      <c r="D114" s="114">
        <v>13.8</v>
      </c>
      <c r="E114" s="114">
        <v>-17.399999999999999</v>
      </c>
      <c r="F114" s="114">
        <v>-14.8</v>
      </c>
      <c r="G114" s="114">
        <v>-14.9</v>
      </c>
      <c r="H114" s="114">
        <v>-14.9</v>
      </c>
      <c r="I114" s="114"/>
      <c r="J114" s="114"/>
      <c r="K114" s="114"/>
      <c r="L114" s="114">
        <v>11.2</v>
      </c>
      <c r="M114" s="114">
        <v>10.7</v>
      </c>
      <c r="N114" s="114">
        <v>10.1</v>
      </c>
      <c r="O114" s="114">
        <v>8</v>
      </c>
      <c r="P114" s="114">
        <v>7.5</v>
      </c>
      <c r="Q114" s="114">
        <v>13.5</v>
      </c>
      <c r="R114" s="114">
        <v>14.1</v>
      </c>
      <c r="S114" s="114">
        <v>12.5</v>
      </c>
      <c r="T114" s="114">
        <v>7.5</v>
      </c>
      <c r="U114" s="114">
        <v>11</v>
      </c>
      <c r="V114" s="114">
        <v>12</v>
      </c>
      <c r="W114" s="114">
        <v>9.5</v>
      </c>
      <c r="X114" s="114">
        <v>9.5</v>
      </c>
      <c r="Y114" s="114">
        <v>9.6</v>
      </c>
      <c r="Z114" s="114">
        <v>10</v>
      </c>
      <c r="AA114" s="114">
        <v>2.8</v>
      </c>
      <c r="AB114" s="114">
        <v>3.4</v>
      </c>
      <c r="AC114" s="114">
        <v>-3</v>
      </c>
      <c r="AD114" s="114">
        <v>-7</v>
      </c>
      <c r="AE114" s="114">
        <v>-8</v>
      </c>
      <c r="AF114" s="114">
        <v>-8</v>
      </c>
      <c r="AG114" s="113">
        <v>60</v>
      </c>
      <c r="AH114" s="47">
        <f t="shared" si="27"/>
        <v>14.1</v>
      </c>
      <c r="AI114" s="48">
        <f t="shared" si="28"/>
        <v>-17.399999999999999</v>
      </c>
    </row>
    <row r="115" spans="1:37" x14ac:dyDescent="0.25">
      <c r="A115" s="115" t="s">
        <v>123</v>
      </c>
      <c r="B115" s="116">
        <v>9.5</v>
      </c>
      <c r="C115" s="116">
        <v>10</v>
      </c>
      <c r="D115" s="116">
        <v>10</v>
      </c>
      <c r="E115" s="116">
        <v>10</v>
      </c>
      <c r="F115" s="116">
        <v>9.6999999999999993</v>
      </c>
      <c r="G115" s="116">
        <v>9.5</v>
      </c>
      <c r="H115" s="116">
        <v>9.6</v>
      </c>
      <c r="I115" s="116"/>
      <c r="J115" s="116"/>
      <c r="K115" s="116"/>
      <c r="L115" s="116">
        <v>10</v>
      </c>
      <c r="M115" s="116">
        <v>8.3000000000000007</v>
      </c>
      <c r="N115" s="116">
        <v>10.199999999999999</v>
      </c>
      <c r="O115" s="116">
        <v>0</v>
      </c>
      <c r="P115" s="116">
        <v>0</v>
      </c>
      <c r="Q115" s="116">
        <v>0</v>
      </c>
      <c r="R115" s="116">
        <v>11.6</v>
      </c>
      <c r="S115" s="116">
        <v>0</v>
      </c>
      <c r="T115" s="116">
        <v>0</v>
      </c>
      <c r="U115" s="116">
        <v>0</v>
      </c>
      <c r="V115" s="116">
        <v>0</v>
      </c>
      <c r="W115" s="116">
        <v>0</v>
      </c>
      <c r="X115" s="116">
        <v>0</v>
      </c>
      <c r="Y115" s="116">
        <v>9.4</v>
      </c>
      <c r="Z115" s="116">
        <v>37</v>
      </c>
      <c r="AA115" s="116">
        <v>71.3</v>
      </c>
      <c r="AB115" s="116">
        <v>57.7</v>
      </c>
      <c r="AC115" s="116">
        <v>47</v>
      </c>
      <c r="AD115" s="116">
        <v>0</v>
      </c>
      <c r="AE115" s="116">
        <v>0</v>
      </c>
      <c r="AF115" s="116">
        <v>2</v>
      </c>
      <c r="AG115" s="117">
        <v>120</v>
      </c>
      <c r="AH115" s="47">
        <f t="shared" si="27"/>
        <v>71.3</v>
      </c>
      <c r="AI115" s="48">
        <f t="shared" si="28"/>
        <v>0</v>
      </c>
    </row>
    <row r="116" spans="1:37" x14ac:dyDescent="0.25">
      <c r="A116" s="115" t="s">
        <v>124</v>
      </c>
      <c r="B116" s="116">
        <v>53.6</v>
      </c>
      <c r="C116" s="116">
        <v>53.1</v>
      </c>
      <c r="D116" s="116">
        <v>53.1</v>
      </c>
      <c r="E116" s="116">
        <v>34.1</v>
      </c>
      <c r="F116" s="116">
        <v>35.200000000000003</v>
      </c>
      <c r="G116" s="116">
        <v>28.4</v>
      </c>
      <c r="H116" s="116"/>
      <c r="I116" s="116"/>
      <c r="J116" s="116"/>
      <c r="K116" s="116"/>
      <c r="L116" s="116">
        <v>44.9</v>
      </c>
      <c r="M116" s="116">
        <v>49.9</v>
      </c>
      <c r="N116" s="116">
        <v>65.2</v>
      </c>
      <c r="O116" s="116">
        <v>64</v>
      </c>
      <c r="P116" s="116">
        <v>60</v>
      </c>
      <c r="Q116" s="116">
        <v>80</v>
      </c>
      <c r="R116" s="116">
        <v>80.5</v>
      </c>
      <c r="S116" s="116">
        <v>74</v>
      </c>
      <c r="T116" s="116">
        <v>67</v>
      </c>
      <c r="U116" s="116">
        <v>53</v>
      </c>
      <c r="V116" s="116">
        <v>41</v>
      </c>
      <c r="W116" s="116">
        <v>53.5</v>
      </c>
      <c r="X116" s="116">
        <v>53.5</v>
      </c>
      <c r="Y116" s="116">
        <v>43</v>
      </c>
      <c r="Z116" s="116">
        <v>43</v>
      </c>
      <c r="AA116" s="116">
        <v>44</v>
      </c>
      <c r="AB116" s="116">
        <v>44.1</v>
      </c>
      <c r="AC116" s="116">
        <v>30</v>
      </c>
      <c r="AD116" s="116">
        <v>27</v>
      </c>
      <c r="AE116" s="116">
        <v>15</v>
      </c>
      <c r="AF116" s="116">
        <v>46</v>
      </c>
      <c r="AG116" s="117"/>
      <c r="AH116" s="47">
        <f t="shared" si="27"/>
        <v>80.5</v>
      </c>
      <c r="AI116" s="48">
        <f t="shared" si="28"/>
        <v>15</v>
      </c>
    </row>
    <row r="117" spans="1:37" x14ac:dyDescent="0.25">
      <c r="A117" s="115" t="s">
        <v>125</v>
      </c>
      <c r="B117" s="116">
        <v>6.2</v>
      </c>
      <c r="C117" s="116">
        <v>35.299999999999997</v>
      </c>
      <c r="D117" s="116">
        <v>35.299999999999997</v>
      </c>
      <c r="E117" s="116">
        <v>23.3</v>
      </c>
      <c r="F117" s="116">
        <v>27.8</v>
      </c>
      <c r="G117" s="116">
        <v>-13.5</v>
      </c>
      <c r="H117" s="116">
        <v>29.5</v>
      </c>
      <c r="I117" s="116"/>
      <c r="J117" s="116"/>
      <c r="K117" s="116"/>
      <c r="L117" s="116">
        <v>21.3</v>
      </c>
      <c r="M117" s="116"/>
      <c r="N117" s="116">
        <v>0</v>
      </c>
      <c r="O117" s="116">
        <v>0</v>
      </c>
      <c r="P117" s="116">
        <v>0</v>
      </c>
      <c r="Q117" s="116">
        <v>0</v>
      </c>
      <c r="R117" s="116">
        <v>0</v>
      </c>
      <c r="S117" s="116">
        <v>0.7</v>
      </c>
      <c r="T117" s="116">
        <v>-1</v>
      </c>
      <c r="U117" s="116">
        <v>0.3</v>
      </c>
      <c r="V117" s="116">
        <v>-0.6</v>
      </c>
      <c r="W117" s="116">
        <v>-0.6</v>
      </c>
      <c r="X117" s="116">
        <v>-0.6</v>
      </c>
      <c r="Y117" s="116">
        <v>-2</v>
      </c>
      <c r="Z117" s="116">
        <v>0.1</v>
      </c>
      <c r="AA117" s="116">
        <v>-1.6</v>
      </c>
      <c r="AB117" s="116">
        <v>-3.6</v>
      </c>
      <c r="AC117" s="116">
        <v>-1</v>
      </c>
      <c r="AD117" s="116">
        <v>-7.5</v>
      </c>
      <c r="AE117" s="116">
        <v>-9</v>
      </c>
      <c r="AF117" s="116">
        <v>4</v>
      </c>
      <c r="AG117" s="118"/>
      <c r="AH117" s="47">
        <f t="shared" si="27"/>
        <v>35.299999999999997</v>
      </c>
      <c r="AI117" s="48">
        <f t="shared" si="28"/>
        <v>-13.5</v>
      </c>
    </row>
    <row r="118" spans="1:37" x14ac:dyDescent="0.25">
      <c r="A118" s="119" t="s">
        <v>126</v>
      </c>
      <c r="B118" s="105">
        <v>38.299999999999997</v>
      </c>
      <c r="C118" s="105">
        <v>41.9</v>
      </c>
      <c r="D118" s="105">
        <v>41.9</v>
      </c>
      <c r="E118" s="105">
        <v>49.6</v>
      </c>
      <c r="F118" s="105">
        <v>50.2</v>
      </c>
      <c r="G118" s="105">
        <v>52.3</v>
      </c>
      <c r="H118" s="105">
        <v>56</v>
      </c>
      <c r="I118" s="105"/>
      <c r="J118" s="105"/>
      <c r="K118" s="105"/>
      <c r="L118" s="105">
        <v>39</v>
      </c>
      <c r="M118" s="105">
        <v>32.799999999999997</v>
      </c>
      <c r="N118" s="105">
        <v>28.7</v>
      </c>
      <c r="O118" s="105">
        <v>27.7</v>
      </c>
      <c r="P118" s="105">
        <v>28.8</v>
      </c>
      <c r="Q118" s="105">
        <v>28.6</v>
      </c>
      <c r="R118" s="105">
        <v>-8.6999999999999993</v>
      </c>
      <c r="S118" s="105">
        <v>25.2</v>
      </c>
      <c r="T118" s="105">
        <v>29</v>
      </c>
      <c r="U118" s="105">
        <v>33</v>
      </c>
      <c r="V118" s="105">
        <v>32</v>
      </c>
      <c r="W118" s="105">
        <v>32.6</v>
      </c>
      <c r="X118" s="105">
        <v>32.6</v>
      </c>
      <c r="Y118" s="105">
        <v>28</v>
      </c>
      <c r="Z118" s="105">
        <v>23</v>
      </c>
      <c r="AA118" s="105">
        <v>26</v>
      </c>
      <c r="AB118" s="105">
        <v>14</v>
      </c>
      <c r="AC118" s="105">
        <v>14</v>
      </c>
      <c r="AD118" s="105">
        <v>44</v>
      </c>
      <c r="AE118" s="105">
        <v>46</v>
      </c>
      <c r="AF118" s="105">
        <v>43</v>
      </c>
      <c r="AG118" s="118"/>
      <c r="AH118" s="47">
        <f t="shared" si="27"/>
        <v>56</v>
      </c>
      <c r="AI118" s="48">
        <f t="shared" si="28"/>
        <v>-8.6999999999999993</v>
      </c>
    </row>
    <row r="119" spans="1:37" x14ac:dyDescent="0.25">
      <c r="A119" s="120" t="s">
        <v>127</v>
      </c>
      <c r="B119" s="105">
        <v>87.4</v>
      </c>
      <c r="C119" s="105">
        <v>88.7</v>
      </c>
      <c r="D119" s="105">
        <v>88.7</v>
      </c>
      <c r="E119" s="105">
        <v>105.6</v>
      </c>
      <c r="F119" s="105">
        <v>101</v>
      </c>
      <c r="G119" s="105">
        <v>97</v>
      </c>
      <c r="H119" s="105">
        <v>94.3</v>
      </c>
      <c r="I119" s="105"/>
      <c r="J119" s="105"/>
      <c r="K119" s="105"/>
      <c r="L119" s="105">
        <v>43.8</v>
      </c>
      <c r="M119" s="105">
        <v>50.9</v>
      </c>
      <c r="N119" s="105">
        <v>53.4</v>
      </c>
      <c r="O119" s="105">
        <v>58.3</v>
      </c>
      <c r="P119" s="105">
        <v>60</v>
      </c>
      <c r="Q119" s="105">
        <v>96</v>
      </c>
      <c r="R119" s="105">
        <v>57.5</v>
      </c>
      <c r="S119" s="105">
        <v>74</v>
      </c>
      <c r="T119" s="105">
        <v>91.3</v>
      </c>
      <c r="U119" s="105">
        <v>92</v>
      </c>
      <c r="V119" s="105">
        <v>48</v>
      </c>
      <c r="W119" s="105">
        <v>40.4</v>
      </c>
      <c r="X119" s="105">
        <v>40.4</v>
      </c>
      <c r="Y119" s="105">
        <v>45.2</v>
      </c>
      <c r="Z119" s="105">
        <v>51</v>
      </c>
      <c r="AA119" s="105">
        <v>46</v>
      </c>
      <c r="AB119" s="105">
        <v>55</v>
      </c>
      <c r="AC119" s="105">
        <v>77</v>
      </c>
      <c r="AD119" s="105">
        <v>74</v>
      </c>
      <c r="AE119" s="105">
        <v>80</v>
      </c>
      <c r="AF119" s="105">
        <v>74</v>
      </c>
      <c r="AG119" s="118"/>
      <c r="AH119" s="47">
        <f t="shared" si="27"/>
        <v>105.6</v>
      </c>
      <c r="AI119" s="48">
        <f t="shared" si="28"/>
        <v>40.4</v>
      </c>
    </row>
    <row r="120" spans="1:37" ht="15.75" thickBot="1" x14ac:dyDescent="0.3">
      <c r="A120" s="119" t="s">
        <v>128</v>
      </c>
      <c r="B120" s="105">
        <v>41.8</v>
      </c>
      <c r="C120" s="105">
        <v>35.200000000000003</v>
      </c>
      <c r="D120" s="105">
        <v>35.200000000000003</v>
      </c>
      <c r="E120" s="105">
        <v>19.8</v>
      </c>
      <c r="F120" s="105">
        <v>25</v>
      </c>
      <c r="G120" s="105">
        <v>23.4</v>
      </c>
      <c r="H120" s="105">
        <v>15</v>
      </c>
      <c r="I120" s="105"/>
      <c r="J120" s="105"/>
      <c r="K120" s="105"/>
      <c r="L120" s="105">
        <v>24.6</v>
      </c>
      <c r="M120" s="105">
        <v>30.1</v>
      </c>
      <c r="N120" s="105">
        <v>36</v>
      </c>
      <c r="O120" s="105">
        <v>39</v>
      </c>
      <c r="P120" s="105">
        <v>35</v>
      </c>
      <c r="Q120" s="105">
        <v>42</v>
      </c>
      <c r="R120" s="105">
        <v>28.4</v>
      </c>
      <c r="S120" s="105">
        <v>12</v>
      </c>
      <c r="T120" s="105">
        <v>14</v>
      </c>
      <c r="U120" s="105">
        <v>10</v>
      </c>
      <c r="V120" s="105">
        <v>18</v>
      </c>
      <c r="W120" s="105">
        <v>19</v>
      </c>
      <c r="X120" s="105">
        <v>19</v>
      </c>
      <c r="Y120" s="105">
        <v>32.5</v>
      </c>
      <c r="Z120" s="105">
        <v>63</v>
      </c>
      <c r="AA120" s="105">
        <v>57</v>
      </c>
      <c r="AB120" s="105">
        <v>85.1</v>
      </c>
      <c r="AC120" s="105">
        <v>85</v>
      </c>
      <c r="AD120" s="105">
        <v>65</v>
      </c>
      <c r="AE120" s="105">
        <v>57</v>
      </c>
      <c r="AF120" s="105">
        <v>28</v>
      </c>
      <c r="AG120" s="118"/>
      <c r="AH120" s="47">
        <f t="shared" si="27"/>
        <v>85.1</v>
      </c>
      <c r="AI120" s="48">
        <f t="shared" si="28"/>
        <v>10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55">SUM(B122:B226)</f>
        <v>0</v>
      </c>
      <c r="C227" s="136">
        <f t="shared" si="55"/>
        <v>0</v>
      </c>
      <c r="D227" s="136">
        <f t="shared" si="55"/>
        <v>0</v>
      </c>
      <c r="E227" s="136">
        <f t="shared" si="55"/>
        <v>0</v>
      </c>
      <c r="F227" s="136">
        <f t="shared" si="55"/>
        <v>0</v>
      </c>
      <c r="G227" s="136">
        <f t="shared" si="55"/>
        <v>0</v>
      </c>
      <c r="H227" s="136">
        <f t="shared" si="55"/>
        <v>0</v>
      </c>
      <c r="I227" s="136">
        <f t="shared" si="55"/>
        <v>0</v>
      </c>
      <c r="J227" s="136">
        <f t="shared" si="55"/>
        <v>0</v>
      </c>
      <c r="K227" s="136">
        <f t="shared" si="55"/>
        <v>0</v>
      </c>
      <c r="L227" s="136">
        <f t="shared" si="55"/>
        <v>0</v>
      </c>
      <c r="M227" s="136">
        <f t="shared" si="55"/>
        <v>0</v>
      </c>
      <c r="N227" s="136">
        <f t="shared" si="55"/>
        <v>0</v>
      </c>
      <c r="O227" s="136">
        <f t="shared" si="55"/>
        <v>0</v>
      </c>
      <c r="P227" s="136">
        <f t="shared" si="55"/>
        <v>0</v>
      </c>
      <c r="Q227" s="136">
        <f t="shared" si="55"/>
        <v>0</v>
      </c>
      <c r="R227" s="136">
        <f t="shared" si="55"/>
        <v>0</v>
      </c>
      <c r="S227" s="136">
        <f t="shared" si="55"/>
        <v>0</v>
      </c>
      <c r="T227" s="136">
        <f t="shared" si="55"/>
        <v>0</v>
      </c>
      <c r="U227" s="136">
        <f t="shared" si="55"/>
        <v>0</v>
      </c>
      <c r="V227" s="136">
        <f t="shared" si="55"/>
        <v>0</v>
      </c>
      <c r="W227" s="136">
        <f t="shared" si="55"/>
        <v>0</v>
      </c>
      <c r="X227" s="136">
        <f t="shared" si="55"/>
        <v>0</v>
      </c>
      <c r="Y227" s="136">
        <f t="shared" si="55"/>
        <v>0</v>
      </c>
      <c r="Z227" s="136">
        <f t="shared" si="55"/>
        <v>0</v>
      </c>
      <c r="AA227" s="136">
        <f t="shared" si="55"/>
        <v>0</v>
      </c>
      <c r="AB227" s="136">
        <f t="shared" si="55"/>
        <v>0</v>
      </c>
      <c r="AC227" s="136">
        <f t="shared" si="55"/>
        <v>0</v>
      </c>
      <c r="AD227" s="136">
        <f t="shared" si="55"/>
        <v>0</v>
      </c>
      <c r="AE227" s="136">
        <f t="shared" si="55"/>
        <v>0</v>
      </c>
      <c r="AF227" s="137">
        <f t="shared" si="55"/>
        <v>0</v>
      </c>
      <c r="AG227" s="138">
        <f t="shared" si="55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56">AF229</f>
        <v>0</v>
      </c>
      <c r="C229" s="140">
        <v>0.3</v>
      </c>
      <c r="D229" s="140">
        <f t="shared" ref="D229:P234" si="57">C229</f>
        <v>0.3</v>
      </c>
      <c r="E229" s="140">
        <f t="shared" si="57"/>
        <v>0.3</v>
      </c>
      <c r="F229" s="140">
        <f t="shared" si="57"/>
        <v>0.3</v>
      </c>
      <c r="G229" s="140">
        <f t="shared" si="57"/>
        <v>0.3</v>
      </c>
      <c r="H229" s="140">
        <f t="shared" si="57"/>
        <v>0.3</v>
      </c>
      <c r="I229" s="140">
        <f t="shared" si="57"/>
        <v>0.3</v>
      </c>
      <c r="J229" s="140">
        <f t="shared" si="57"/>
        <v>0.3</v>
      </c>
      <c r="K229" s="140">
        <f t="shared" si="57"/>
        <v>0.3</v>
      </c>
      <c r="L229" s="140">
        <f t="shared" si="57"/>
        <v>0.3</v>
      </c>
      <c r="M229" s="140">
        <f t="shared" si="57"/>
        <v>0.3</v>
      </c>
      <c r="N229" s="140">
        <f t="shared" si="57"/>
        <v>0.3</v>
      </c>
      <c r="O229" s="140">
        <f t="shared" si="57"/>
        <v>0.3</v>
      </c>
      <c r="P229" s="140">
        <f t="shared" si="57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56"/>
        <v>0</v>
      </c>
      <c r="C230" s="128">
        <v>0.4</v>
      </c>
      <c r="D230" s="128">
        <f t="shared" si="57"/>
        <v>0.4</v>
      </c>
      <c r="E230" s="128">
        <f t="shared" si="57"/>
        <v>0.4</v>
      </c>
      <c r="F230" s="128">
        <f t="shared" si="57"/>
        <v>0.4</v>
      </c>
      <c r="G230" s="128">
        <f t="shared" si="57"/>
        <v>0.4</v>
      </c>
      <c r="H230" s="128">
        <f t="shared" si="57"/>
        <v>0.4</v>
      </c>
      <c r="I230" s="128">
        <f t="shared" si="57"/>
        <v>0.4</v>
      </c>
      <c r="J230" s="128">
        <f t="shared" si="57"/>
        <v>0.4</v>
      </c>
      <c r="K230" s="128">
        <f t="shared" si="57"/>
        <v>0.4</v>
      </c>
      <c r="L230" s="128">
        <f t="shared" si="57"/>
        <v>0.4</v>
      </c>
      <c r="M230" s="128">
        <f t="shared" si="57"/>
        <v>0.4</v>
      </c>
      <c r="N230" s="128">
        <f t="shared" si="57"/>
        <v>0.4</v>
      </c>
      <c r="O230" s="128">
        <f t="shared" si="57"/>
        <v>0.4</v>
      </c>
      <c r="P230" s="128">
        <f t="shared" si="57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56"/>
        <v>0</v>
      </c>
      <c r="C231" s="128">
        <v>1.5</v>
      </c>
      <c r="D231" s="128">
        <f t="shared" si="57"/>
        <v>1.5</v>
      </c>
      <c r="E231" s="128">
        <f t="shared" si="57"/>
        <v>1.5</v>
      </c>
      <c r="F231" s="128">
        <f t="shared" si="57"/>
        <v>1.5</v>
      </c>
      <c r="G231" s="128">
        <f t="shared" si="57"/>
        <v>1.5</v>
      </c>
      <c r="H231" s="128">
        <f t="shared" si="57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57"/>
        <v>123.21900000000009</v>
      </c>
      <c r="K231" s="128">
        <f t="shared" ca="1" si="57"/>
        <v>123.21900000000009</v>
      </c>
      <c r="L231" s="128">
        <f t="shared" ca="1" si="57"/>
        <v>123.21900000000009</v>
      </c>
      <c r="M231" s="128">
        <f t="shared" ca="1" si="57"/>
        <v>119.19900000000008</v>
      </c>
      <c r="N231" s="128">
        <f t="shared" ca="1" si="57"/>
        <v>119.19900000000008</v>
      </c>
      <c r="O231" s="128">
        <f t="shared" ca="1" si="57"/>
        <v>119.19900000000008</v>
      </c>
      <c r="P231" s="128">
        <f t="shared" ca="1" si="57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56"/>
        <v>0</v>
      </c>
      <c r="C232" s="128">
        <v>0.3</v>
      </c>
      <c r="D232" s="128">
        <f t="shared" si="57"/>
        <v>0.3</v>
      </c>
      <c r="E232" s="128">
        <f t="shared" si="57"/>
        <v>0.3</v>
      </c>
      <c r="F232" s="128">
        <f t="shared" si="57"/>
        <v>0.3</v>
      </c>
      <c r="G232" s="128">
        <f t="shared" si="57"/>
        <v>0.3</v>
      </c>
      <c r="H232" s="128">
        <f t="shared" si="57"/>
        <v>0.3</v>
      </c>
      <c r="I232" s="128">
        <f t="shared" si="57"/>
        <v>0.3</v>
      </c>
      <c r="J232" s="128">
        <f t="shared" si="57"/>
        <v>0.3</v>
      </c>
      <c r="K232" s="128">
        <f t="shared" si="57"/>
        <v>0.3</v>
      </c>
      <c r="L232" s="128">
        <f t="shared" si="57"/>
        <v>0.3</v>
      </c>
      <c r="M232" s="128">
        <f t="shared" si="57"/>
        <v>0.3</v>
      </c>
      <c r="N232" s="128">
        <f t="shared" si="57"/>
        <v>0.3</v>
      </c>
      <c r="O232" s="128">
        <f t="shared" si="57"/>
        <v>0.3</v>
      </c>
      <c r="P232" s="128">
        <f t="shared" si="57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56"/>
        <v>0</v>
      </c>
      <c r="C233" s="128">
        <v>0.4</v>
      </c>
      <c r="D233" s="128">
        <f t="shared" si="57"/>
        <v>0.4</v>
      </c>
      <c r="E233" s="128">
        <f t="shared" si="57"/>
        <v>0.4</v>
      </c>
      <c r="F233" s="128">
        <f t="shared" si="57"/>
        <v>0.4</v>
      </c>
      <c r="G233" s="128">
        <f t="shared" si="57"/>
        <v>0.4</v>
      </c>
      <c r="H233" s="128">
        <f t="shared" si="57"/>
        <v>0.4</v>
      </c>
      <c r="I233" s="128">
        <f t="shared" si="57"/>
        <v>0.4</v>
      </c>
      <c r="J233" s="128">
        <f t="shared" si="57"/>
        <v>0.4</v>
      </c>
      <c r="K233" s="128">
        <f t="shared" si="57"/>
        <v>0.4</v>
      </c>
      <c r="L233" s="128">
        <f t="shared" si="57"/>
        <v>0.4</v>
      </c>
      <c r="M233" s="128">
        <f t="shared" si="57"/>
        <v>0.4</v>
      </c>
      <c r="N233" s="128">
        <f t="shared" si="57"/>
        <v>0.4</v>
      </c>
      <c r="O233" s="128">
        <f t="shared" si="57"/>
        <v>0.4</v>
      </c>
      <c r="P233" s="128">
        <f t="shared" si="57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56"/>
        <v>0</v>
      </c>
      <c r="C234" s="132">
        <v>0.64</v>
      </c>
      <c r="D234" s="132">
        <f t="shared" si="57"/>
        <v>0.64</v>
      </c>
      <c r="E234" s="132">
        <f t="shared" si="57"/>
        <v>0.64</v>
      </c>
      <c r="F234" s="132">
        <f t="shared" si="57"/>
        <v>0.64</v>
      </c>
      <c r="G234" s="132">
        <f t="shared" si="57"/>
        <v>0.64</v>
      </c>
      <c r="H234" s="132">
        <f t="shared" si="57"/>
        <v>0.64</v>
      </c>
      <c r="I234" s="132">
        <f t="shared" si="57"/>
        <v>0.64</v>
      </c>
      <c r="J234" s="132">
        <f t="shared" si="57"/>
        <v>0.64</v>
      </c>
      <c r="K234" s="132">
        <f t="shared" si="57"/>
        <v>0.64</v>
      </c>
      <c r="L234" s="132">
        <f t="shared" si="57"/>
        <v>0.64</v>
      </c>
      <c r="M234" s="132">
        <f t="shared" si="57"/>
        <v>0.64</v>
      </c>
      <c r="N234" s="132">
        <f t="shared" si="57"/>
        <v>0.64</v>
      </c>
      <c r="O234" s="132">
        <f t="shared" si="57"/>
        <v>0.64</v>
      </c>
      <c r="P234" s="132">
        <f t="shared" si="57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58">SUM(B229:B234)</f>
        <v>0</v>
      </c>
      <c r="C235" s="136">
        <f t="shared" si="58"/>
        <v>3.54</v>
      </c>
      <c r="D235" s="136">
        <f t="shared" si="58"/>
        <v>3.54</v>
      </c>
      <c r="E235" s="136">
        <f t="shared" si="58"/>
        <v>3.54</v>
      </c>
      <c r="F235" s="136">
        <f t="shared" si="58"/>
        <v>3.54</v>
      </c>
      <c r="G235" s="136">
        <f t="shared" si="58"/>
        <v>3.54</v>
      </c>
      <c r="H235" s="136">
        <f t="shared" si="58"/>
        <v>3.54</v>
      </c>
      <c r="I235" s="136">
        <f t="shared" ca="1" si="58"/>
        <v>121.23900000000009</v>
      </c>
      <c r="J235" s="136">
        <f t="shared" ca="1" si="58"/>
        <v>121.23900000000009</v>
      </c>
      <c r="K235" s="136">
        <f t="shared" ca="1" si="58"/>
        <v>121.23900000000009</v>
      </c>
      <c r="L235" s="136">
        <f t="shared" ca="1" si="58"/>
        <v>125.2590000000001</v>
      </c>
      <c r="M235" s="136">
        <f t="shared" ca="1" si="58"/>
        <v>121.23900000000009</v>
      </c>
      <c r="N235" s="136">
        <f t="shared" ca="1" si="58"/>
        <v>121.23900000000009</v>
      </c>
      <c r="O235" s="136">
        <f t="shared" ca="1" si="58"/>
        <v>121.23900000000009</v>
      </c>
      <c r="P235" s="136">
        <f t="shared" ca="1" si="58"/>
        <v>121.23900000000009</v>
      </c>
      <c r="Q235" s="136">
        <f t="shared" si="58"/>
        <v>0</v>
      </c>
      <c r="R235" s="136">
        <f t="shared" si="58"/>
        <v>0</v>
      </c>
      <c r="S235" s="136">
        <f t="shared" si="58"/>
        <v>0</v>
      </c>
      <c r="T235" s="136">
        <f t="shared" si="58"/>
        <v>0</v>
      </c>
      <c r="U235" s="136">
        <f t="shared" si="58"/>
        <v>0</v>
      </c>
      <c r="V235" s="136">
        <f t="shared" si="58"/>
        <v>0</v>
      </c>
      <c r="W235" s="136">
        <f t="shared" si="58"/>
        <v>0</v>
      </c>
      <c r="X235" s="136">
        <f t="shared" si="58"/>
        <v>0</v>
      </c>
      <c r="Y235" s="136">
        <f t="shared" si="58"/>
        <v>0</v>
      </c>
      <c r="Z235" s="136">
        <f t="shared" si="58"/>
        <v>0</v>
      </c>
      <c r="AA235" s="136">
        <f t="shared" si="58"/>
        <v>0</v>
      </c>
      <c r="AB235" s="136">
        <f t="shared" si="58"/>
        <v>0</v>
      </c>
      <c r="AC235" s="136">
        <f t="shared" si="58"/>
        <v>0</v>
      </c>
      <c r="AD235" s="136">
        <f t="shared" si="58"/>
        <v>0</v>
      </c>
      <c r="AE235" s="136">
        <f t="shared" si="58"/>
        <v>0</v>
      </c>
      <c r="AF235" s="136">
        <f t="shared" si="58"/>
        <v>0</v>
      </c>
      <c r="AG235" s="145">
        <f t="shared" si="58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1928.04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22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2080/04/22)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2080/04/22)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59">B91</f>
        <v>1914.8399999999997</v>
      </c>
      <c r="U249" s="170">
        <f t="shared" si="59"/>
        <v>1914.8399999999997</v>
      </c>
      <c r="V249" s="170">
        <f t="shared" si="59"/>
        <v>1846.34</v>
      </c>
      <c r="W249" s="170">
        <f t="shared" si="59"/>
        <v>1862.14</v>
      </c>
      <c r="X249" s="170">
        <f t="shared" si="59"/>
        <v>1869.8399999999997</v>
      </c>
      <c r="Y249" s="170">
        <f t="shared" si="59"/>
        <v>1883.3400000000001</v>
      </c>
      <c r="Z249" s="170">
        <f t="shared" si="59"/>
        <v>1894.34</v>
      </c>
      <c r="AA249" s="170">
        <f t="shared" si="59"/>
        <v>1920.5400000000002</v>
      </c>
      <c r="AB249" s="170">
        <f t="shared" si="59"/>
        <v>1572.94</v>
      </c>
      <c r="AC249" s="170">
        <f t="shared" si="59"/>
        <v>1572.94</v>
      </c>
      <c r="AD249" s="170">
        <f t="shared" si="59"/>
        <v>1572.94</v>
      </c>
      <c r="AE249" s="170">
        <f t="shared" si="59"/>
        <v>1896.1399999999999</v>
      </c>
      <c r="AF249" s="170">
        <f t="shared" si="59"/>
        <v>1928.04</v>
      </c>
      <c r="AG249" s="170">
        <f t="shared" si="59"/>
        <v>1928.04</v>
      </c>
      <c r="AH249" s="170">
        <f t="shared" si="59"/>
        <v>1944.6399999999999</v>
      </c>
      <c r="AI249" s="170">
        <f t="shared" si="59"/>
        <v>1951.74</v>
      </c>
      <c r="AJ249" s="170">
        <f t="shared" si="59"/>
        <v>1958.6399999999999</v>
      </c>
      <c r="AK249" s="170">
        <f t="shared" si="59"/>
        <v>1914.94</v>
      </c>
      <c r="AL249" s="170">
        <f t="shared" si="59"/>
        <v>1945.3399999999997</v>
      </c>
      <c r="AM249" s="170">
        <f t="shared" si="59"/>
        <v>1936.6399999999999</v>
      </c>
      <c r="AN249" s="170">
        <f t="shared" si="59"/>
        <v>1929.1399999999999</v>
      </c>
      <c r="AO249" s="170">
        <f t="shared" si="59"/>
        <v>1945.44</v>
      </c>
      <c r="AP249" s="170">
        <f t="shared" si="59"/>
        <v>1945.44</v>
      </c>
      <c r="AQ249" s="170">
        <f t="shared" si="59"/>
        <v>1967.7399999999998</v>
      </c>
      <c r="AR249" s="170">
        <f t="shared" si="59"/>
        <v>2025.94</v>
      </c>
      <c r="AS249" s="170">
        <f t="shared" si="59"/>
        <v>1992.64</v>
      </c>
      <c r="AT249" s="170">
        <f t="shared" si="59"/>
        <v>1903.54</v>
      </c>
      <c r="AU249" s="170">
        <f t="shared" si="59"/>
        <v>1903.54</v>
      </c>
      <c r="AV249" s="170">
        <f t="shared" si="59"/>
        <v>1913.54</v>
      </c>
      <c r="AW249" s="170">
        <f t="shared" si="59"/>
        <v>1861.6400000000003</v>
      </c>
      <c r="AX249" s="170">
        <f t="shared" si="59"/>
        <v>1866.94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60">C234</f>
        <v>0.64</v>
      </c>
      <c r="C270" s="173">
        <f t="shared" si="60"/>
        <v>0.64</v>
      </c>
      <c r="D270" s="173">
        <f t="shared" si="60"/>
        <v>0.64</v>
      </c>
      <c r="E270" s="173">
        <f t="shared" si="60"/>
        <v>0.64</v>
      </c>
      <c r="F270" s="173">
        <f t="shared" si="60"/>
        <v>0.64</v>
      </c>
      <c r="G270" s="173">
        <f t="shared" si="60"/>
        <v>0.64</v>
      </c>
      <c r="H270" s="173">
        <f t="shared" si="60"/>
        <v>0.64</v>
      </c>
      <c r="I270" s="173">
        <f t="shared" si="60"/>
        <v>0.64</v>
      </c>
      <c r="J270" s="173">
        <f t="shared" si="60"/>
        <v>0.64</v>
      </c>
      <c r="K270" s="173">
        <f t="shared" si="60"/>
        <v>0.64</v>
      </c>
      <c r="L270" s="173">
        <f t="shared" si="60"/>
        <v>0.64</v>
      </c>
      <c r="M270" s="173">
        <f t="shared" si="60"/>
        <v>0.64</v>
      </c>
      <c r="N270" s="173">
        <f t="shared" si="60"/>
        <v>0.64</v>
      </c>
      <c r="O270" s="173">
        <f t="shared" si="60"/>
        <v>0.64</v>
      </c>
      <c r="P270" s="173">
        <f t="shared" si="60"/>
        <v>0</v>
      </c>
      <c r="Q270" s="173">
        <f t="shared" si="60"/>
        <v>0</v>
      </c>
      <c r="R270" s="173">
        <f t="shared" si="60"/>
        <v>0</v>
      </c>
      <c r="S270" s="173">
        <f t="shared" si="60"/>
        <v>0</v>
      </c>
      <c r="T270" s="173">
        <f t="shared" si="60"/>
        <v>0</v>
      </c>
      <c r="U270" s="173">
        <f t="shared" si="60"/>
        <v>0</v>
      </c>
      <c r="V270" s="173">
        <f t="shared" si="60"/>
        <v>0</v>
      </c>
      <c r="W270" s="173">
        <f t="shared" si="60"/>
        <v>0</v>
      </c>
      <c r="X270" s="173">
        <f t="shared" si="60"/>
        <v>0</v>
      </c>
      <c r="Y270" s="173">
        <f t="shared" si="60"/>
        <v>0</v>
      </c>
      <c r="Z270" s="173">
        <f t="shared" si="60"/>
        <v>0</v>
      </c>
      <c r="AA270" s="173">
        <f t="shared" si="60"/>
        <v>0</v>
      </c>
      <c r="AB270" s="173">
        <f t="shared" si="60"/>
        <v>0</v>
      </c>
      <c r="AC270" s="173">
        <f t="shared" si="60"/>
        <v>0</v>
      </c>
      <c r="AD270" s="173">
        <f t="shared" si="60"/>
        <v>0</v>
      </c>
      <c r="AE270" s="173">
        <f t="shared" si="60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61">IF(B238&lt;100,"",B238-520)</f>
        <v/>
      </c>
      <c r="C271" s="174" t="str">
        <f t="shared" si="61"/>
        <v/>
      </c>
      <c r="D271" s="174" t="str">
        <f t="shared" si="61"/>
        <v/>
      </c>
      <c r="E271" s="174" t="str">
        <f t="shared" si="61"/>
        <v/>
      </c>
      <c r="F271" s="174" t="str">
        <f t="shared" si="61"/>
        <v/>
      </c>
      <c r="G271" s="174" t="str">
        <f t="shared" si="61"/>
        <v/>
      </c>
      <c r="H271" s="174" t="str">
        <f t="shared" si="61"/>
        <v/>
      </c>
      <c r="I271" s="174" t="str">
        <f t="shared" si="61"/>
        <v/>
      </c>
      <c r="J271" s="174" t="str">
        <f t="shared" si="61"/>
        <v/>
      </c>
      <c r="K271" s="174" t="str">
        <f t="shared" si="61"/>
        <v/>
      </c>
      <c r="L271" s="174" t="str">
        <f t="shared" si="61"/>
        <v/>
      </c>
      <c r="M271" s="174" t="str">
        <f t="shared" si="61"/>
        <v/>
      </c>
      <c r="N271" s="174" t="str">
        <f t="shared" si="61"/>
        <v/>
      </c>
      <c r="O271" s="174" t="str">
        <f t="shared" si="61"/>
        <v/>
      </c>
      <c r="P271" s="174" t="str">
        <f t="shared" si="61"/>
        <v/>
      </c>
      <c r="Q271" s="174" t="str">
        <f t="shared" si="61"/>
        <v/>
      </c>
      <c r="R271" s="174" t="str">
        <f t="shared" si="61"/>
        <v/>
      </c>
      <c r="S271" s="174" t="str">
        <f t="shared" si="61"/>
        <v/>
      </c>
      <c r="T271" s="174" t="str">
        <f t="shared" si="61"/>
        <v/>
      </c>
      <c r="U271" s="174" t="str">
        <f t="shared" si="61"/>
        <v/>
      </c>
      <c r="V271" s="174" t="str">
        <f t="shared" si="61"/>
        <v/>
      </c>
      <c r="W271" s="174" t="str">
        <f t="shared" si="61"/>
        <v/>
      </c>
      <c r="X271" s="174" t="str">
        <f t="shared" si="61"/>
        <v/>
      </c>
      <c r="Y271" s="174" t="str">
        <f t="shared" si="61"/>
        <v/>
      </c>
      <c r="Z271" s="174" t="str">
        <f t="shared" si="61"/>
        <v/>
      </c>
      <c r="AA271" s="174" t="str">
        <f t="shared" si="61"/>
        <v/>
      </c>
      <c r="AB271" s="174" t="str">
        <f t="shared" si="61"/>
        <v/>
      </c>
      <c r="AC271" s="174" t="str">
        <f t="shared" si="61"/>
        <v/>
      </c>
      <c r="AD271" s="174" t="str">
        <f t="shared" si="61"/>
        <v/>
      </c>
      <c r="AE271" s="174" t="str">
        <f t="shared" si="61"/>
        <v/>
      </c>
      <c r="AF271" s="174" t="str">
        <f t="shared" si="61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62">IF(B239&lt;100,"",B239-620)</f>
        <v/>
      </c>
      <c r="C272" s="174" t="str">
        <f t="shared" si="62"/>
        <v/>
      </c>
      <c r="D272" s="174" t="str">
        <f t="shared" si="62"/>
        <v/>
      </c>
      <c r="E272" s="174" t="str">
        <f t="shared" si="62"/>
        <v/>
      </c>
      <c r="F272" s="174" t="str">
        <f t="shared" si="62"/>
        <v/>
      </c>
      <c r="G272" s="174" t="str">
        <f t="shared" si="62"/>
        <v/>
      </c>
      <c r="H272" s="174" t="str">
        <f t="shared" si="62"/>
        <v/>
      </c>
      <c r="I272" s="174" t="str">
        <f t="shared" si="62"/>
        <v/>
      </c>
      <c r="J272" s="174" t="str">
        <f t="shared" si="62"/>
        <v/>
      </c>
      <c r="K272" s="174" t="str">
        <f t="shared" si="62"/>
        <v/>
      </c>
      <c r="L272" s="174" t="str">
        <f t="shared" si="62"/>
        <v/>
      </c>
      <c r="M272" s="174" t="str">
        <f t="shared" si="62"/>
        <v/>
      </c>
      <c r="N272" s="174" t="str">
        <f t="shared" si="62"/>
        <v/>
      </c>
      <c r="O272" s="174" t="str">
        <f t="shared" si="62"/>
        <v/>
      </c>
      <c r="P272" s="174" t="str">
        <f t="shared" si="62"/>
        <v/>
      </c>
      <c r="Q272" s="174" t="str">
        <f t="shared" si="62"/>
        <v/>
      </c>
      <c r="R272" s="174" t="str">
        <f t="shared" si="62"/>
        <v/>
      </c>
      <c r="S272" s="174" t="str">
        <f t="shared" si="62"/>
        <v/>
      </c>
      <c r="T272" s="174" t="str">
        <f t="shared" si="62"/>
        <v/>
      </c>
      <c r="U272" s="174" t="str">
        <f t="shared" si="62"/>
        <v/>
      </c>
      <c r="V272" s="174" t="str">
        <f t="shared" si="62"/>
        <v/>
      </c>
      <c r="W272" s="174" t="str">
        <f t="shared" si="62"/>
        <v/>
      </c>
      <c r="X272" s="174" t="str">
        <f t="shared" si="62"/>
        <v/>
      </c>
      <c r="Y272" s="174" t="str">
        <f t="shared" si="62"/>
        <v/>
      </c>
      <c r="Z272" s="174" t="str">
        <f t="shared" si="62"/>
        <v/>
      </c>
      <c r="AA272" s="174" t="str">
        <f t="shared" si="62"/>
        <v/>
      </c>
      <c r="AB272" s="174" t="str">
        <f t="shared" si="62"/>
        <v/>
      </c>
      <c r="AC272" s="174" t="str">
        <f t="shared" si="62"/>
        <v/>
      </c>
      <c r="AD272" s="174" t="str">
        <f t="shared" si="62"/>
        <v/>
      </c>
      <c r="AE272" s="174" t="str">
        <f t="shared" si="62"/>
        <v/>
      </c>
      <c r="AF272" s="174" t="str">
        <f t="shared" si="62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63">IF(B240&lt;100,"",B240-330)</f>
        <v/>
      </c>
      <c r="C273" s="174" t="str">
        <f t="shared" si="63"/>
        <v/>
      </c>
      <c r="D273" s="174" t="str">
        <f t="shared" si="63"/>
        <v/>
      </c>
      <c r="E273" s="174" t="str">
        <f t="shared" si="63"/>
        <v/>
      </c>
      <c r="F273" s="174" t="str">
        <f t="shared" si="63"/>
        <v/>
      </c>
      <c r="G273" s="174" t="str">
        <f t="shared" si="63"/>
        <v/>
      </c>
      <c r="H273" s="174" t="str">
        <f t="shared" si="63"/>
        <v/>
      </c>
      <c r="I273" s="174" t="str">
        <f t="shared" si="63"/>
        <v/>
      </c>
      <c r="J273" s="174" t="str">
        <f t="shared" si="63"/>
        <v/>
      </c>
      <c r="K273" s="174" t="str">
        <f t="shared" si="63"/>
        <v/>
      </c>
      <c r="L273" s="174" t="str">
        <f t="shared" si="63"/>
        <v/>
      </c>
      <c r="M273" s="174" t="str">
        <f t="shared" si="63"/>
        <v/>
      </c>
      <c r="N273" s="174" t="str">
        <f t="shared" si="63"/>
        <v/>
      </c>
      <c r="O273" s="174" t="str">
        <f t="shared" si="63"/>
        <v/>
      </c>
      <c r="P273" s="174" t="str">
        <f t="shared" si="63"/>
        <v/>
      </c>
      <c r="Q273" s="174" t="str">
        <f t="shared" si="63"/>
        <v/>
      </c>
      <c r="R273" s="174" t="str">
        <f t="shared" si="63"/>
        <v/>
      </c>
      <c r="S273" s="174" t="str">
        <f t="shared" si="63"/>
        <v/>
      </c>
      <c r="T273" s="174" t="str">
        <f t="shared" si="63"/>
        <v/>
      </c>
      <c r="U273" s="174" t="str">
        <f t="shared" si="63"/>
        <v/>
      </c>
      <c r="V273" s="174" t="str">
        <f t="shared" si="63"/>
        <v/>
      </c>
      <c r="W273" s="174" t="str">
        <f t="shared" si="63"/>
        <v/>
      </c>
      <c r="X273" s="174" t="str">
        <f t="shared" si="63"/>
        <v/>
      </c>
      <c r="Y273" s="174" t="str">
        <f t="shared" si="63"/>
        <v/>
      </c>
      <c r="Z273" s="174" t="str">
        <f t="shared" si="63"/>
        <v/>
      </c>
      <c r="AA273" s="174" t="str">
        <f t="shared" si="63"/>
        <v/>
      </c>
      <c r="AB273" s="174" t="str">
        <f t="shared" si="63"/>
        <v/>
      </c>
      <c r="AC273" s="174" t="str">
        <f t="shared" si="63"/>
        <v/>
      </c>
      <c r="AD273" s="174" t="str">
        <f t="shared" si="63"/>
        <v/>
      </c>
      <c r="AE273" s="174" t="str">
        <f t="shared" si="63"/>
        <v/>
      </c>
      <c r="AF273" s="174" t="str">
        <f t="shared" si="63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64">IF(B241&lt;100,"",B241-1500)</f>
        <v/>
      </c>
      <c r="C274" s="174" t="str">
        <f t="shared" si="64"/>
        <v/>
      </c>
      <c r="D274" s="174" t="str">
        <f t="shared" si="64"/>
        <v/>
      </c>
      <c r="E274" s="174" t="str">
        <f t="shared" si="64"/>
        <v/>
      </c>
      <c r="F274" s="174" t="str">
        <f t="shared" si="64"/>
        <v/>
      </c>
      <c r="G274" s="174" t="str">
        <f t="shared" si="64"/>
        <v/>
      </c>
      <c r="H274" s="174" t="str">
        <f t="shared" si="64"/>
        <v/>
      </c>
      <c r="I274" s="174" t="str">
        <f t="shared" si="64"/>
        <v/>
      </c>
      <c r="J274" s="174" t="str">
        <f t="shared" si="64"/>
        <v/>
      </c>
      <c r="K274" s="174" t="str">
        <f t="shared" si="64"/>
        <v/>
      </c>
      <c r="L274" s="174" t="str">
        <f t="shared" si="64"/>
        <v/>
      </c>
      <c r="M274" s="174" t="str">
        <f t="shared" si="64"/>
        <v/>
      </c>
      <c r="N274" s="174" t="str">
        <f t="shared" si="64"/>
        <v/>
      </c>
      <c r="O274" s="174" t="str">
        <f t="shared" si="64"/>
        <v/>
      </c>
      <c r="P274" s="174" t="str">
        <f t="shared" si="64"/>
        <v/>
      </c>
      <c r="Q274" s="174" t="str">
        <f t="shared" si="64"/>
        <v/>
      </c>
      <c r="R274" s="174" t="str">
        <f t="shared" si="64"/>
        <v/>
      </c>
      <c r="S274" s="174" t="str">
        <f t="shared" si="64"/>
        <v/>
      </c>
      <c r="T274" s="174" t="str">
        <f t="shared" si="64"/>
        <v/>
      </c>
      <c r="U274" s="174" t="str">
        <f t="shared" si="64"/>
        <v/>
      </c>
      <c r="V274" s="174" t="str">
        <f t="shared" si="64"/>
        <v/>
      </c>
      <c r="W274" s="174" t="str">
        <f t="shared" si="64"/>
        <v/>
      </c>
      <c r="X274" s="174" t="str">
        <f t="shared" si="64"/>
        <v/>
      </c>
      <c r="Y274" s="174" t="str">
        <f t="shared" si="64"/>
        <v/>
      </c>
      <c r="Z274" s="174" t="str">
        <f t="shared" si="64"/>
        <v/>
      </c>
      <c r="AA274" s="174" t="str">
        <f t="shared" si="64"/>
        <v/>
      </c>
      <c r="AB274" s="174" t="str">
        <f t="shared" si="64"/>
        <v/>
      </c>
      <c r="AC274" s="174" t="str">
        <f t="shared" si="64"/>
        <v/>
      </c>
      <c r="AD274" s="174" t="str">
        <f t="shared" si="64"/>
        <v/>
      </c>
      <c r="AE274" s="174" t="str">
        <f t="shared" si="64"/>
        <v/>
      </c>
      <c r="AF274" s="174" t="str">
        <f t="shared" si="64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566" priority="64">
      <formula>$AH11=0</formula>
    </cfRule>
  </conditionalFormatting>
  <conditionalFormatting sqref="B8 M8 S8 AB8">
    <cfRule type="expression" dxfId="565" priority="116">
      <formula>AND(C$9&gt;=8/24,C$9&lt;14/24)</formula>
    </cfRule>
    <cfRule type="expression" dxfId="564" priority="115">
      <formula>AND(C$9&gt;=14/24,C$9&lt;20/24)</formula>
    </cfRule>
    <cfRule type="expression" dxfId="563" priority="117">
      <formula>C$9&lt;8/24</formula>
    </cfRule>
  </conditionalFormatting>
  <conditionalFormatting sqref="B55:F59 G59:H59">
    <cfRule type="expression" dxfId="562" priority="61">
      <formula>AND(B$9&gt;=14/24,B$9&lt;20/24)</formula>
    </cfRule>
    <cfRule type="expression" dxfId="561" priority="63">
      <formula>B$9&lt;8/24</formula>
    </cfRule>
    <cfRule type="expression" dxfId="560" priority="62">
      <formula>AND(B$9&gt;=8/24,B$9&lt;14/24)</formula>
    </cfRule>
    <cfRule type="expression" dxfId="559" priority="60">
      <formula>B$9&gt;=20/24</formula>
    </cfRule>
  </conditionalFormatting>
  <conditionalFormatting sqref="B60:V60">
    <cfRule type="expression" dxfId="558" priority="54">
      <formula>B$9&lt;8/24</formula>
    </cfRule>
    <cfRule type="expression" dxfId="557" priority="53">
      <formula>AND(B$9&gt;=8/24,B$9&lt;14/24)</formula>
    </cfRule>
    <cfRule type="expression" dxfId="556" priority="52">
      <formula>AND(B$9&gt;=14/24,B$9&lt;20/24)</formula>
    </cfRule>
    <cfRule type="expression" dxfId="555" priority="51">
      <formula>B$9&gt;=20/24</formula>
    </cfRule>
  </conditionalFormatting>
  <conditionalFormatting sqref="B9:AF45">
    <cfRule type="expression" dxfId="554" priority="23">
      <formula>B$9&gt;=20/24</formula>
    </cfRule>
    <cfRule type="expression" dxfId="553" priority="24">
      <formula>AND(B$9&gt;=14/24,B$9&lt;20/24)</formula>
    </cfRule>
    <cfRule type="expression" dxfId="552" priority="25">
      <formula>AND(B$9&gt;=8/24,B$9&lt;14/24)</formula>
    </cfRule>
    <cfRule type="expression" dxfId="551" priority="26">
      <formula>B$9&lt;8/24</formula>
    </cfRule>
  </conditionalFormatting>
  <conditionalFormatting sqref="B11:AF46">
    <cfRule type="expression" dxfId="550" priority="22">
      <formula>B11&gt;$AG11</formula>
    </cfRule>
  </conditionalFormatting>
  <conditionalFormatting sqref="B46:AF46">
    <cfRule type="expression" dxfId="549" priority="18">
      <formula>B$9&gt;=20/24</formula>
    </cfRule>
    <cfRule type="expression" dxfId="548" priority="19">
      <formula>AND(B$9&gt;=14/24,B$9&lt;20/24)</formula>
    </cfRule>
    <cfRule type="expression" dxfId="547" priority="20">
      <formula>AND(B$9&gt;=8/24,B$9&lt;14/24)</formula>
    </cfRule>
    <cfRule type="expression" dxfId="546" priority="21">
      <formula>B$9&lt;8/24</formula>
    </cfRule>
  </conditionalFormatting>
  <conditionalFormatting sqref="B47:AF47">
    <cfRule type="expression" dxfId="545" priority="32">
      <formula>B47&gt;$AG47</formula>
    </cfRule>
  </conditionalFormatting>
  <conditionalFormatting sqref="B47:AF49">
    <cfRule type="expression" dxfId="544" priority="28">
      <formula>B$9&gt;=20/24</formula>
    </cfRule>
    <cfRule type="expression" dxfId="543" priority="29">
      <formula>AND(B$9&gt;=14/24,B$9&lt;20/24)</formula>
    </cfRule>
    <cfRule type="expression" dxfId="542" priority="30">
      <formula>AND(B$9&gt;=8/24,B$9&lt;14/24)</formula>
    </cfRule>
    <cfRule type="expression" dxfId="541" priority="31">
      <formula>B$9&lt;8/24</formula>
    </cfRule>
  </conditionalFormatting>
  <conditionalFormatting sqref="B48:AF53">
    <cfRule type="expression" dxfId="540" priority="27">
      <formula>B48&gt;$AG48</formula>
    </cfRule>
  </conditionalFormatting>
  <conditionalFormatting sqref="B51:AF53">
    <cfRule type="expression" dxfId="539" priority="48">
      <formula>AND(B$9&gt;=14/24,B$9&lt;20/24)</formula>
    </cfRule>
    <cfRule type="expression" dxfId="538" priority="49">
      <formula>AND(B$9&gt;=8/24,B$9&lt;14/24)</formula>
    </cfRule>
    <cfRule type="expression" dxfId="537" priority="50">
      <formula>B$9&lt;8/24</formula>
    </cfRule>
    <cfRule type="expression" dxfId="536" priority="47">
      <formula>B$9&gt;=20/24</formula>
    </cfRule>
  </conditionalFormatting>
  <conditionalFormatting sqref="B55:AF66">
    <cfRule type="expression" dxfId="535" priority="5">
      <formula>B55&gt;$AG55</formula>
    </cfRule>
  </conditionalFormatting>
  <conditionalFormatting sqref="B61:AF66">
    <cfRule type="expression" dxfId="534" priority="9">
      <formula>B$9&lt;8/24</formula>
    </cfRule>
    <cfRule type="expression" dxfId="533" priority="6">
      <formula>B$9&gt;=20/24</formula>
    </cfRule>
    <cfRule type="expression" dxfId="532" priority="7">
      <formula>AND(B$9&gt;=14/24,B$9&lt;20/24)</formula>
    </cfRule>
    <cfRule type="expression" dxfId="531" priority="8">
      <formula>AND(B$9&gt;=8/24,B$9&lt;14/24)</formula>
    </cfRule>
  </conditionalFormatting>
  <conditionalFormatting sqref="B69:AF71">
    <cfRule type="expression" dxfId="530" priority="55">
      <formula>B69&gt;$AG69</formula>
    </cfRule>
    <cfRule type="expression" dxfId="529" priority="56">
      <formula>B$9&gt;=20/24</formula>
    </cfRule>
    <cfRule type="expression" dxfId="528" priority="57">
      <formula>AND(B$9&gt;=14/24,B$9&lt;20/24)</formula>
    </cfRule>
    <cfRule type="expression" dxfId="527" priority="58">
      <formula>AND(B$9&gt;=8/24,B$9&lt;14/24)</formula>
    </cfRule>
    <cfRule type="expression" dxfId="526" priority="59">
      <formula>B$9&lt;8/24</formula>
    </cfRule>
  </conditionalFormatting>
  <conditionalFormatting sqref="B73:AF91">
    <cfRule type="expression" dxfId="525" priority="3">
      <formula>AND(B$9&gt;=8/24,B$9&lt;14/24)</formula>
    </cfRule>
    <cfRule type="expression" dxfId="524" priority="4">
      <formula>B$9&lt;8/24</formula>
    </cfRule>
    <cfRule type="expression" dxfId="523" priority="2">
      <formula>AND(B$9&gt;=14/24,B$9&lt;20/24)</formula>
    </cfRule>
    <cfRule type="expression" dxfId="522" priority="1">
      <formula>B$9&gt;=20/24</formula>
    </cfRule>
  </conditionalFormatting>
  <conditionalFormatting sqref="B111:AF120">
    <cfRule type="expression" dxfId="521" priority="16">
      <formula>AND(B$9&gt;=8/24,B$9&lt;14/24)</formula>
    </cfRule>
    <cfRule type="expression" dxfId="520" priority="14">
      <formula>B$9&gt;=20/24</formula>
    </cfRule>
    <cfRule type="expression" dxfId="519" priority="15">
      <formula>AND(B$9&gt;=14/24,B$9&lt;20/24)</formula>
    </cfRule>
    <cfRule type="expression" dxfId="518" priority="17">
      <formula>B$9&lt;8/24</formula>
    </cfRule>
  </conditionalFormatting>
  <conditionalFormatting sqref="B227:AF227 D229:AF230 B229:B235 D231:H231 J231:AF231 D232:AF235 U248:AF248">
    <cfRule type="expression" dxfId="517" priority="110">
      <formula>AND(B$9&gt;=8/24,B$9&lt;14/24)</formula>
    </cfRule>
    <cfRule type="expression" dxfId="516" priority="108">
      <formula>B$9&gt;=20/24</formula>
    </cfRule>
    <cfRule type="expression" dxfId="515" priority="109">
      <formula>AND(B$9&gt;=14/24,B$9&lt;20/24)</formula>
    </cfRule>
    <cfRule type="expression" dxfId="514" priority="111">
      <formula>B$9&lt;8/24</formula>
    </cfRule>
  </conditionalFormatting>
  <conditionalFormatting sqref="B54:AG54">
    <cfRule type="expression" dxfId="513" priority="39">
      <formula>AND(B$9&gt;=14/24,B$9&lt;20/24)</formula>
    </cfRule>
    <cfRule type="expression" dxfId="512" priority="41">
      <formula>B$9&lt;8/24</formula>
    </cfRule>
    <cfRule type="expression" dxfId="511" priority="40">
      <formula>AND(B$9&gt;=8/24,B$9&lt;14/24)</formula>
    </cfRule>
    <cfRule type="expression" dxfId="510" priority="38">
      <formula>B$9&gt;=20/24</formula>
    </cfRule>
    <cfRule type="expression" dxfId="509" priority="33">
      <formula>B54&gt;$AG54</formula>
    </cfRule>
  </conditionalFormatting>
  <conditionalFormatting sqref="B67:AG68 B72:AG72">
    <cfRule type="expression" dxfId="508" priority="42">
      <formula>B67&gt;$AG67</formula>
    </cfRule>
  </conditionalFormatting>
  <conditionalFormatting sqref="B72:AG72 B93:AF109">
    <cfRule type="expression" dxfId="507" priority="46">
      <formula>B$9&lt;8/24</formula>
    </cfRule>
    <cfRule type="expression" dxfId="506" priority="45">
      <formula>AND(B$9&gt;=8/24,B$9&lt;14/24)</formula>
    </cfRule>
    <cfRule type="expression" dxfId="505" priority="44">
      <formula>AND(B$9&gt;=14/24,B$9&lt;20/24)</formula>
    </cfRule>
    <cfRule type="expression" dxfId="504" priority="43">
      <formula>B$9&gt;=20/24</formula>
    </cfRule>
  </conditionalFormatting>
  <conditionalFormatting sqref="G55:L57">
    <cfRule type="expression" dxfId="503" priority="90">
      <formula>AND(G$9&gt;=14/24,G$9&lt;20/24)</formula>
    </cfRule>
    <cfRule type="expression" dxfId="502" priority="91">
      <formula>AND(G$9&gt;=8/24,G$9&lt;14/24)</formula>
    </cfRule>
    <cfRule type="expression" dxfId="501" priority="92">
      <formula>G$9&lt;8/24</formula>
    </cfRule>
    <cfRule type="expression" dxfId="500" priority="89">
      <formula>G$9&gt;=20/24</formula>
    </cfRule>
  </conditionalFormatting>
  <conditionalFormatting sqref="M55:V59">
    <cfRule type="expression" dxfId="499" priority="93">
      <formula>M$9&gt;=20/24</formula>
    </cfRule>
    <cfRule type="expression" dxfId="498" priority="94">
      <formula>AND(M$9&gt;=14/24,M$9&lt;20/24)</formula>
    </cfRule>
    <cfRule type="expression" dxfId="497" priority="95">
      <formula>AND(M$9&gt;=8/24,M$9&lt;14/24)</formula>
    </cfRule>
    <cfRule type="expression" dxfId="496" priority="96">
      <formula>M$9&lt;8/24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95" priority="114">
      <formula>C$9&gt;=20/24</formula>
    </cfRule>
  </conditionalFormatting>
  <conditionalFormatting sqref="S8">
    <cfRule type="expression" dxfId="494" priority="103">
      <formula>AND(U$9&gt;=8/24,U$9&lt;14/24)</formula>
    </cfRule>
    <cfRule type="expression" dxfId="493" priority="102">
      <formula>AND(U$9&gt;=14/24,U$9&lt;20/24)</formula>
    </cfRule>
    <cfRule type="expression" dxfId="492" priority="101">
      <formula>U$9&gt;=20/24</formula>
    </cfRule>
    <cfRule type="expression" dxfId="491" priority="104">
      <formula>U$9&lt;8/24</formula>
    </cfRule>
  </conditionalFormatting>
  <conditionalFormatting sqref="S55:AF60">
    <cfRule type="expression" dxfId="490" priority="10">
      <formula>S$9&gt;=20/24</formula>
    </cfRule>
    <cfRule type="expression" dxfId="489" priority="11">
      <formula>AND(S$9&gt;=14/24,S$9&lt;20/24)</formula>
    </cfRule>
    <cfRule type="expression" dxfId="488" priority="13">
      <formula>S$9&lt;8/24</formula>
    </cfRule>
    <cfRule type="expression" dxfId="487" priority="12">
      <formula>AND(S$9&gt;=8/24,S$9&lt;14/24)</formula>
    </cfRule>
  </conditionalFormatting>
  <conditionalFormatting sqref="T248">
    <cfRule type="expression" dxfId="486" priority="129">
      <formula>AX$9&lt;8/24</formula>
    </cfRule>
    <cfRule type="expression" dxfId="485" priority="126">
      <formula>AX$9&gt;=20/24</formula>
    </cfRule>
    <cfRule type="expression" dxfId="484" priority="127">
      <formula>AND(AX$9&gt;=14/24,AX$9&lt;20/24)</formula>
    </cfRule>
    <cfRule type="expression" dxfId="483" priority="128">
      <formula>AND(AX$9&gt;=8/24,AX$9&lt;14/24)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82" priority="99">
      <formula>AND(AD$9&gt;=8/24,AD$9&lt;14/24)</formula>
    </cfRule>
    <cfRule type="expression" dxfId="481" priority="98">
      <formula>AND(AD$9&gt;=14/24,AD$9&lt;20/24)</formula>
    </cfRule>
    <cfRule type="expression" dxfId="480" priority="97">
      <formula>AD$9&gt;=20/24</formula>
    </cfRule>
    <cfRule type="expression" dxfId="479" priority="100">
      <formula>AD$9&lt;8/24</formula>
    </cfRule>
  </conditionalFormatting>
  <conditionalFormatting sqref="AG50">
    <cfRule type="expression" dxfId="478" priority="84">
      <formula>AG50&gt;$AG50</formula>
    </cfRule>
  </conditionalFormatting>
  <conditionalFormatting sqref="AG89">
    <cfRule type="expression" dxfId="477" priority="85">
      <formula>AG$9&gt;=20/24</formula>
    </cfRule>
    <cfRule type="expression" dxfId="476" priority="86">
      <formula>AND(AG$9&gt;=14/24,AG$9&lt;20/24)</formula>
    </cfRule>
    <cfRule type="expression" dxfId="475" priority="88">
      <formula>AG$9&lt;8/24</formula>
    </cfRule>
    <cfRule type="expression" dxfId="474" priority="87">
      <formula>AND(AG$9&gt;=8/24,AG$9&lt;14/24)</formula>
    </cfRule>
  </conditionalFormatting>
  <conditionalFormatting sqref="AG248">
    <cfRule type="expression" dxfId="473" priority="118">
      <formula>B$9&gt;=20/24</formula>
    </cfRule>
    <cfRule type="expression" dxfId="472" priority="119">
      <formula>AND(B$9&gt;=14/24,B$9&lt;20/24)</formula>
    </cfRule>
    <cfRule type="expression" dxfId="471" priority="120">
      <formula>AND(B$9&gt;=8/24,B$9&lt;14/24)</formula>
    </cfRule>
    <cfRule type="expression" dxfId="470" priority="121">
      <formula>B$9&lt;8/24</formula>
    </cfRule>
  </conditionalFormatting>
  <conditionalFormatting sqref="AH248:AX248">
    <cfRule type="expression" dxfId="469" priority="122">
      <formula>AG$9&gt;=20/24</formula>
    </cfRule>
    <cfRule type="expression" dxfId="468" priority="123">
      <formula>AND(AG$9&gt;=14/24,AG$9&lt;20/24)</formula>
    </cfRule>
    <cfRule type="expression" dxfId="467" priority="124">
      <formula>AND(AG$9&gt;=8/24,AG$9&lt;14/24)</formula>
    </cfRule>
    <cfRule type="expression" dxfId="466" priority="125">
      <formula>AG$9&lt;8/24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465" priority="131">
      <formula>AJ$9&gt;=20/24</formula>
    </cfRule>
    <cfRule type="expression" dxfId="464" priority="132">
      <formula>AND(AJ$9&gt;=14/24,AJ$9&lt;20/24)</formula>
    </cfRule>
    <cfRule type="expression" dxfId="463" priority="133">
      <formula>AND(AJ$9&gt;=8/24,AJ$9&lt;14/24)</formula>
    </cfRule>
    <cfRule type="expression" dxfId="462" priority="134">
      <formula>AJ$9&lt;8/24</formula>
    </cfRule>
  </conditionalFormatting>
  <conditionalFormatting sqref="AL80:AN80 AL86:AN86">
    <cfRule type="expression" dxfId="461" priority="72">
      <formula>AL$9&gt;=20/24</formula>
    </cfRule>
    <cfRule type="expression" dxfId="460" priority="73">
      <formula>AND(AL$9&gt;=14/24,AL$9&lt;20/24)</formula>
    </cfRule>
    <cfRule type="expression" dxfId="459" priority="74">
      <formula>AND(AL$9&gt;=8/24,AL$9&lt;14/24)</formula>
    </cfRule>
    <cfRule type="expression" dxfId="458" priority="75">
      <formula>AL$9&lt;8/24</formula>
    </cfRule>
  </conditionalFormatting>
  <conditionalFormatting sqref="AN81:AN84">
    <cfRule type="expression" dxfId="457" priority="68">
      <formula>AN$9&gt;=20/24</formula>
    </cfRule>
    <cfRule type="expression" dxfId="456" priority="69">
      <formula>AND(AN$9&gt;=14/24,AN$9&lt;20/24)</formula>
    </cfRule>
    <cfRule type="expression" dxfId="455" priority="70">
      <formula>AND(AN$9&gt;=8/24,AN$9&lt;14/24)</formula>
    </cfRule>
    <cfRule type="expression" dxfId="454" priority="71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CD4F-2B42-4571-A9A1-2C94EAE29D10}">
  <dimension ref="A1:CJ281"/>
  <sheetViews>
    <sheetView zoomScale="106" zoomScaleNormal="106" workbookViewId="0">
      <pane xSplit="1" ySplit="10" topLeftCell="K22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V62" sqref="V6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1" width="8.42578125" style="1" customWidth="1"/>
    <col min="12" max="12" width="9.140625" style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2080/04/23</v>
      </c>
      <c r="C4" s="203"/>
      <c r="D4" s="203"/>
      <c r="E4" s="204" t="str">
        <f ca="1">"2079/"&amp;"12/"&amp;INT(MID(CELL("filename",G6),FIND("]",CELL("filename",G6))+1,200))</f>
        <v>2079/12/23</v>
      </c>
      <c r="F4" s="204"/>
      <c r="G4" s="204"/>
      <c r="H4" s="204" t="str">
        <f ca="1">TEXT(E4,"dddd")</f>
        <v>Saturday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11.6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1875MW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Load=1679</v>
      </c>
      <c r="B7" s="35">
        <f t="shared" ref="B7:AF7" si="1">B91</f>
        <v>1878.94</v>
      </c>
      <c r="C7" s="35">
        <f t="shared" si="1"/>
        <v>1802.44</v>
      </c>
      <c r="D7" s="35">
        <f t="shared" si="1"/>
        <v>1794.44</v>
      </c>
      <c r="E7" s="35">
        <f t="shared" si="1"/>
        <v>1679.4399999999998</v>
      </c>
      <c r="F7" s="35">
        <f t="shared" si="1"/>
        <v>1754.4399999999998</v>
      </c>
      <c r="G7" s="35">
        <f t="shared" si="1"/>
        <v>1710.4399999999998</v>
      </c>
      <c r="H7" s="35">
        <f t="shared" si="1"/>
        <v>1725.4399999999998</v>
      </c>
      <c r="I7" s="35">
        <f t="shared" si="1"/>
        <v>1694.4399999999998</v>
      </c>
      <c r="J7" s="35">
        <f t="shared" si="1"/>
        <v>1764.4399999999998</v>
      </c>
      <c r="K7" s="35">
        <f t="shared" si="1"/>
        <v>1770.4399999999998</v>
      </c>
      <c r="L7" s="35">
        <f t="shared" si="1"/>
        <v>1782.44</v>
      </c>
      <c r="M7" s="35">
        <f t="shared" si="1"/>
        <v>1845.3400000000001</v>
      </c>
      <c r="N7" s="35">
        <f>N91</f>
        <v>1875.3400000000001</v>
      </c>
      <c r="O7" s="35">
        <f t="shared" si="1"/>
        <v>1875.3400000000001</v>
      </c>
      <c r="P7" s="35">
        <f t="shared" si="1"/>
        <v>1875.3400000000001</v>
      </c>
      <c r="Q7" s="35">
        <f t="shared" si="1"/>
        <v>1886.54</v>
      </c>
      <c r="R7" s="35">
        <f t="shared" si="1"/>
        <v>1886.54</v>
      </c>
      <c r="S7" s="35">
        <f t="shared" si="1"/>
        <v>1876.54</v>
      </c>
      <c r="T7" s="35">
        <f t="shared" si="1"/>
        <v>1894.54</v>
      </c>
      <c r="U7" s="35">
        <f t="shared" si="1"/>
        <v>1887.54</v>
      </c>
      <c r="V7" s="35">
        <f t="shared" si="1"/>
        <v>1921.0400000000002</v>
      </c>
      <c r="W7" s="35">
        <f t="shared" si="1"/>
        <v>1907.64</v>
      </c>
      <c r="X7" s="35">
        <f t="shared" si="1"/>
        <v>1906.94</v>
      </c>
      <c r="Y7" s="35">
        <f t="shared" si="1"/>
        <v>1914.74</v>
      </c>
      <c r="Z7" s="35">
        <f t="shared" si="1"/>
        <v>1969.34</v>
      </c>
      <c r="AA7" s="35">
        <f t="shared" si="1"/>
        <v>1951.44</v>
      </c>
      <c r="AB7" s="35">
        <f t="shared" si="1"/>
        <v>1951.44</v>
      </c>
      <c r="AC7" s="35">
        <f t="shared" si="1"/>
        <v>1951.44</v>
      </c>
      <c r="AD7" s="35">
        <f t="shared" si="1"/>
        <v>1951.44</v>
      </c>
      <c r="AE7" s="35">
        <f t="shared" si="1"/>
        <v>1906.64</v>
      </c>
      <c r="AF7" s="35">
        <f t="shared" si="1"/>
        <v>1895.64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</v>
      </c>
      <c r="C11" s="45">
        <v>60</v>
      </c>
      <c r="D11" s="45">
        <v>60</v>
      </c>
      <c r="E11" s="45">
        <v>60</v>
      </c>
      <c r="F11" s="45">
        <v>60</v>
      </c>
      <c r="G11" s="45">
        <v>60</v>
      </c>
      <c r="H11" s="45">
        <v>60</v>
      </c>
      <c r="I11" s="45">
        <v>60</v>
      </c>
      <c r="J11" s="45">
        <v>70</v>
      </c>
      <c r="K11" s="45">
        <v>70</v>
      </c>
      <c r="L11" s="45">
        <v>71</v>
      </c>
      <c r="M11" s="45">
        <v>71.2</v>
      </c>
      <c r="N11" s="45">
        <v>71.2</v>
      </c>
      <c r="O11" s="45">
        <v>71.2</v>
      </c>
      <c r="P11" s="45">
        <v>71.2</v>
      </c>
      <c r="Q11" s="45">
        <v>71.2</v>
      </c>
      <c r="R11" s="45">
        <v>71.2</v>
      </c>
      <c r="S11" s="45">
        <v>71.2</v>
      </c>
      <c r="T11" s="45">
        <v>71.2</v>
      </c>
      <c r="U11" s="45">
        <v>71.2</v>
      </c>
      <c r="V11" s="45">
        <v>86.7</v>
      </c>
      <c r="W11" s="45">
        <v>86.7</v>
      </c>
      <c r="X11" s="45">
        <v>86.7</v>
      </c>
      <c r="Y11" s="45">
        <v>86.7</v>
      </c>
      <c r="Z11" s="45">
        <v>86.7</v>
      </c>
      <c r="AA11" s="45">
        <v>86.7</v>
      </c>
      <c r="AB11" s="45">
        <v>86.7</v>
      </c>
      <c r="AC11" s="45">
        <v>86.7</v>
      </c>
      <c r="AD11" s="45">
        <v>86.7</v>
      </c>
      <c r="AE11" s="45">
        <v>86.7</v>
      </c>
      <c r="AF11" s="45">
        <v>86.7</v>
      </c>
      <c r="AG11" s="46">
        <v>86</v>
      </c>
      <c r="AH11" s="47">
        <f t="shared" ref="AH11:AH76" si="2">MAX(B11:AF11)</f>
        <v>86.7</v>
      </c>
      <c r="AI11" s="48">
        <f t="shared" ref="AI11:AI76" si="3">MIN(B11:AF11)</f>
        <v>60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26</v>
      </c>
      <c r="R12" s="45">
        <v>26</v>
      </c>
      <c r="S12" s="45">
        <v>26</v>
      </c>
      <c r="T12" s="45">
        <v>26</v>
      </c>
      <c r="U12" s="45">
        <v>26</v>
      </c>
      <c r="V12" s="45">
        <v>0</v>
      </c>
      <c r="W12" s="45">
        <v>0</v>
      </c>
      <c r="X12" s="45">
        <v>0</v>
      </c>
      <c r="Y12" s="45">
        <v>0</v>
      </c>
      <c r="Z12" s="45">
        <v>9</v>
      </c>
      <c r="AA12" s="45">
        <v>9</v>
      </c>
      <c r="AB12" s="45">
        <v>9</v>
      </c>
      <c r="AC12" s="45">
        <v>9</v>
      </c>
      <c r="AD12" s="45">
        <v>9</v>
      </c>
      <c r="AE12" s="45">
        <v>9</v>
      </c>
      <c r="AF12" s="45">
        <v>9</v>
      </c>
      <c r="AG12" s="49">
        <v>54</v>
      </c>
      <c r="AH12" s="47">
        <f t="shared" si="2"/>
        <v>26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54.7</v>
      </c>
      <c r="C13" s="45">
        <v>54.7</v>
      </c>
      <c r="D13" s="45">
        <v>54.7</v>
      </c>
      <c r="E13" s="45">
        <v>54.7</v>
      </c>
      <c r="F13" s="45">
        <v>54.7</v>
      </c>
      <c r="G13" s="45">
        <v>54.7</v>
      </c>
      <c r="H13" s="45">
        <v>54.7</v>
      </c>
      <c r="I13" s="45">
        <v>54.7</v>
      </c>
      <c r="J13" s="45">
        <v>54.7</v>
      </c>
      <c r="K13" s="45">
        <v>54.7</v>
      </c>
      <c r="L13" s="45">
        <v>54.7</v>
      </c>
      <c r="M13" s="45">
        <v>54</v>
      </c>
      <c r="N13" s="45">
        <v>54</v>
      </c>
      <c r="O13" s="45">
        <v>54</v>
      </c>
      <c r="P13" s="45">
        <v>54</v>
      </c>
      <c r="Q13" s="45">
        <v>54</v>
      </c>
      <c r="R13" s="45">
        <v>54</v>
      </c>
      <c r="S13" s="45">
        <v>54</v>
      </c>
      <c r="T13" s="45">
        <v>54</v>
      </c>
      <c r="U13" s="45">
        <v>54</v>
      </c>
      <c r="V13" s="45">
        <v>55</v>
      </c>
      <c r="W13" s="45">
        <v>55</v>
      </c>
      <c r="X13" s="45">
        <v>55</v>
      </c>
      <c r="Y13" s="45">
        <v>55</v>
      </c>
      <c r="Z13" s="45">
        <v>55</v>
      </c>
      <c r="AA13" s="45">
        <v>55</v>
      </c>
      <c r="AB13" s="45">
        <v>55</v>
      </c>
      <c r="AC13" s="45">
        <v>55</v>
      </c>
      <c r="AD13" s="45">
        <v>55</v>
      </c>
      <c r="AE13" s="45">
        <v>55</v>
      </c>
      <c r="AF13" s="45">
        <v>55</v>
      </c>
      <c r="AG13" s="46">
        <v>52.4</v>
      </c>
      <c r="AH13" s="47">
        <f t="shared" si="2"/>
        <v>55</v>
      </c>
      <c r="AI13" s="48">
        <f t="shared" si="3"/>
        <v>54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50.4</v>
      </c>
      <c r="C14" s="58">
        <v>50.4</v>
      </c>
      <c r="D14" s="58">
        <v>50.4</v>
      </c>
      <c r="E14" s="58">
        <v>50.4</v>
      </c>
      <c r="F14" s="58">
        <v>50.4</v>
      </c>
      <c r="G14" s="58">
        <v>50.4</v>
      </c>
      <c r="H14" s="58">
        <v>50.4</v>
      </c>
      <c r="I14" s="58">
        <v>50.4</v>
      </c>
      <c r="J14" s="58">
        <v>50.4</v>
      </c>
      <c r="K14" s="58">
        <v>50.4</v>
      </c>
      <c r="L14" s="58">
        <v>45</v>
      </c>
      <c r="M14" s="58">
        <v>50.4</v>
      </c>
      <c r="N14" s="58">
        <v>50.4</v>
      </c>
      <c r="O14" s="58">
        <v>50.4</v>
      </c>
      <c r="P14" s="58">
        <v>50.4</v>
      </c>
      <c r="Q14" s="58">
        <v>50.4</v>
      </c>
      <c r="R14" s="58">
        <v>50.4</v>
      </c>
      <c r="S14" s="58">
        <v>50.4</v>
      </c>
      <c r="T14" s="58">
        <v>50.4</v>
      </c>
      <c r="U14" s="58">
        <v>50.4</v>
      </c>
      <c r="V14" s="58">
        <v>50.4</v>
      </c>
      <c r="W14" s="58">
        <v>50.4</v>
      </c>
      <c r="X14" s="58">
        <v>50.4</v>
      </c>
      <c r="Y14" s="58">
        <v>50.4</v>
      </c>
      <c r="Z14" s="58">
        <v>50.4</v>
      </c>
      <c r="AA14" s="45">
        <v>50.4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49">
        <v>50</v>
      </c>
      <c r="AH14" s="47">
        <f t="shared" si="2"/>
        <v>50.4</v>
      </c>
      <c r="AI14" s="48">
        <f t="shared" si="3"/>
        <v>45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</v>
      </c>
      <c r="C15" s="45">
        <v>46</v>
      </c>
      <c r="D15" s="45">
        <v>46</v>
      </c>
      <c r="E15" s="45">
        <v>46</v>
      </c>
      <c r="F15" s="45">
        <v>46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</v>
      </c>
      <c r="AI15" s="48">
        <f t="shared" si="3"/>
        <v>46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0</v>
      </c>
      <c r="H16" s="45">
        <v>0</v>
      </c>
      <c r="I16" s="45">
        <v>0</v>
      </c>
      <c r="J16" s="45">
        <v>24</v>
      </c>
      <c r="K16" s="45">
        <v>30</v>
      </c>
      <c r="L16" s="45">
        <v>40</v>
      </c>
      <c r="M16" s="45">
        <v>40</v>
      </c>
      <c r="N16" s="45">
        <v>40</v>
      </c>
      <c r="O16" s="45">
        <v>40</v>
      </c>
      <c r="P16" s="45">
        <v>40</v>
      </c>
      <c r="Q16" s="45">
        <v>10</v>
      </c>
      <c r="R16" s="45">
        <v>10</v>
      </c>
      <c r="S16" s="45">
        <v>10</v>
      </c>
      <c r="T16" s="45">
        <v>10</v>
      </c>
      <c r="U16" s="45">
        <v>10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</v>
      </c>
      <c r="C17" s="45">
        <v>28</v>
      </c>
      <c r="D17" s="45">
        <v>25</v>
      </c>
      <c r="E17" s="45">
        <v>25</v>
      </c>
      <c r="F17" s="45">
        <v>25</v>
      </c>
      <c r="G17" s="45">
        <v>25</v>
      </c>
      <c r="H17" s="45">
        <v>25</v>
      </c>
      <c r="I17" s="45">
        <v>25</v>
      </c>
      <c r="J17" s="45">
        <v>25</v>
      </c>
      <c r="K17" s="45">
        <v>25</v>
      </c>
      <c r="L17" s="45">
        <v>25</v>
      </c>
      <c r="M17" s="45">
        <v>25</v>
      </c>
      <c r="N17" s="45">
        <v>25</v>
      </c>
      <c r="O17" s="45">
        <v>25</v>
      </c>
      <c r="P17" s="45">
        <v>25</v>
      </c>
      <c r="Q17" s="45">
        <v>6.5</v>
      </c>
      <c r="R17" s="45">
        <v>6.5</v>
      </c>
      <c r="S17" s="45">
        <v>6.5</v>
      </c>
      <c r="T17" s="45">
        <v>6.5</v>
      </c>
      <c r="U17" s="45">
        <v>6.5</v>
      </c>
      <c r="V17" s="45">
        <v>37.6</v>
      </c>
      <c r="W17" s="45">
        <v>28</v>
      </c>
      <c r="X17" s="45">
        <v>28</v>
      </c>
      <c r="Y17" s="45">
        <v>28</v>
      </c>
      <c r="Z17" s="45">
        <v>42</v>
      </c>
      <c r="AA17" s="45">
        <v>29.5</v>
      </c>
      <c r="AB17" s="45">
        <v>29.5</v>
      </c>
      <c r="AC17" s="45">
        <v>29.5</v>
      </c>
      <c r="AD17" s="45">
        <v>29.5</v>
      </c>
      <c r="AE17" s="45">
        <v>29.5</v>
      </c>
      <c r="AF17" s="45">
        <v>28.5</v>
      </c>
      <c r="AG17" s="49">
        <v>42</v>
      </c>
      <c r="AH17" s="47">
        <f t="shared" si="2"/>
        <v>42</v>
      </c>
      <c r="AI17" s="48">
        <f t="shared" si="3"/>
        <v>6.5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39</v>
      </c>
      <c r="C18" s="45">
        <v>39</v>
      </c>
      <c r="D18" s="45">
        <v>39</v>
      </c>
      <c r="E18" s="45">
        <v>39</v>
      </c>
      <c r="F18" s="45">
        <v>39</v>
      </c>
      <c r="G18" s="45">
        <v>39</v>
      </c>
      <c r="H18" s="45">
        <v>39</v>
      </c>
      <c r="I18" s="45">
        <v>39</v>
      </c>
      <c r="J18" s="45">
        <v>39</v>
      </c>
      <c r="K18" s="45">
        <v>39</v>
      </c>
      <c r="L18" s="45">
        <v>39</v>
      </c>
      <c r="M18" s="45">
        <v>39</v>
      </c>
      <c r="N18" s="45">
        <v>39</v>
      </c>
      <c r="O18" s="45">
        <v>39</v>
      </c>
      <c r="P18" s="45">
        <v>39</v>
      </c>
      <c r="Q18" s="45">
        <v>39</v>
      </c>
      <c r="R18" s="45">
        <v>39</v>
      </c>
      <c r="S18" s="45">
        <v>39</v>
      </c>
      <c r="T18" s="45">
        <v>39</v>
      </c>
      <c r="U18" s="45">
        <v>39</v>
      </c>
      <c r="V18" s="45">
        <v>39</v>
      </c>
      <c r="W18" s="45">
        <v>39</v>
      </c>
      <c r="X18" s="45">
        <v>39</v>
      </c>
      <c r="Y18" s="45">
        <v>39</v>
      </c>
      <c r="Z18" s="45">
        <v>39</v>
      </c>
      <c r="AA18" s="45">
        <v>39</v>
      </c>
      <c r="AB18" s="45">
        <v>39</v>
      </c>
      <c r="AC18" s="45">
        <v>39</v>
      </c>
      <c r="AD18" s="45">
        <v>39</v>
      </c>
      <c r="AE18" s="45">
        <v>39</v>
      </c>
      <c r="AF18" s="45">
        <v>39</v>
      </c>
      <c r="AG18" s="49">
        <v>38.46</v>
      </c>
      <c r="AH18" s="47">
        <f t="shared" si="2"/>
        <v>39</v>
      </c>
      <c r="AI18" s="48">
        <f t="shared" si="3"/>
        <v>39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30</v>
      </c>
      <c r="C19" s="45">
        <v>30</v>
      </c>
      <c r="D19" s="45">
        <v>30</v>
      </c>
      <c r="E19" s="45">
        <v>30</v>
      </c>
      <c r="F19" s="45">
        <v>30</v>
      </c>
      <c r="G19" s="45">
        <v>30</v>
      </c>
      <c r="H19" s="45">
        <v>30</v>
      </c>
      <c r="I19" s="45">
        <v>30</v>
      </c>
      <c r="J19" s="45">
        <v>30</v>
      </c>
      <c r="K19" s="45">
        <v>30</v>
      </c>
      <c r="L19" s="45">
        <v>30</v>
      </c>
      <c r="M19" s="45">
        <v>30</v>
      </c>
      <c r="N19" s="45">
        <v>30</v>
      </c>
      <c r="O19" s="45">
        <v>30</v>
      </c>
      <c r="P19" s="45">
        <v>30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0</v>
      </c>
      <c r="W20" s="45">
        <v>0</v>
      </c>
      <c r="X20" s="45">
        <v>0</v>
      </c>
      <c r="Y20" s="45">
        <v>0</v>
      </c>
      <c r="Z20" s="45">
        <v>5</v>
      </c>
      <c r="AA20" s="45">
        <v>5</v>
      </c>
      <c r="AB20" s="45">
        <v>5</v>
      </c>
      <c r="AC20" s="45">
        <v>5</v>
      </c>
      <c r="AD20" s="45">
        <v>5</v>
      </c>
      <c r="AE20" s="45">
        <v>5</v>
      </c>
      <c r="AF20" s="45">
        <v>5</v>
      </c>
      <c r="AG20" s="51">
        <v>30</v>
      </c>
      <c r="AH20" s="47">
        <f t="shared" si="2"/>
        <v>15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</v>
      </c>
      <c r="C21" s="45">
        <v>20</v>
      </c>
      <c r="D21" s="45">
        <v>20</v>
      </c>
      <c r="E21" s="45">
        <v>20</v>
      </c>
      <c r="F21" s="45">
        <v>20</v>
      </c>
      <c r="G21" s="45">
        <v>20</v>
      </c>
      <c r="H21" s="45">
        <v>20</v>
      </c>
      <c r="I21" s="45">
        <v>20</v>
      </c>
      <c r="J21" s="45">
        <v>20</v>
      </c>
      <c r="K21" s="45">
        <v>20</v>
      </c>
      <c r="L21" s="45">
        <v>20</v>
      </c>
      <c r="M21" s="45">
        <v>21</v>
      </c>
      <c r="N21" s="45">
        <v>21</v>
      </c>
      <c r="O21" s="45">
        <v>21</v>
      </c>
      <c r="P21" s="45">
        <v>21</v>
      </c>
      <c r="Q21" s="45">
        <v>21</v>
      </c>
      <c r="R21" s="45">
        <v>21</v>
      </c>
      <c r="S21" s="45">
        <v>21</v>
      </c>
      <c r="T21" s="45">
        <v>21</v>
      </c>
      <c r="U21" s="45">
        <v>21</v>
      </c>
      <c r="V21" s="45">
        <v>25.4</v>
      </c>
      <c r="W21" s="45">
        <v>25.4</v>
      </c>
      <c r="X21" s="45">
        <v>25.4</v>
      </c>
      <c r="Y21" s="45">
        <v>25.4</v>
      </c>
      <c r="Z21" s="45">
        <v>25.4</v>
      </c>
      <c r="AA21" s="45">
        <v>25.4</v>
      </c>
      <c r="AB21" s="45">
        <v>25.4</v>
      </c>
      <c r="AC21" s="45">
        <v>25.4</v>
      </c>
      <c r="AD21" s="45">
        <v>25.4</v>
      </c>
      <c r="AE21" s="45">
        <v>25.4</v>
      </c>
      <c r="AF21" s="45">
        <v>25.4</v>
      </c>
      <c r="AG21" s="49">
        <v>24.2</v>
      </c>
      <c r="AH21" s="47">
        <f t="shared" si="2"/>
        <v>25.4</v>
      </c>
      <c r="AI21" s="48">
        <f t="shared" si="3"/>
        <v>20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21.2</v>
      </c>
      <c r="R22" s="45">
        <v>21.2</v>
      </c>
      <c r="S22" s="45">
        <v>21.2</v>
      </c>
      <c r="T22" s="45">
        <v>21.2</v>
      </c>
      <c r="U22" s="45">
        <v>21.2</v>
      </c>
      <c r="V22" s="45">
        <v>28.6</v>
      </c>
      <c r="W22" s="45">
        <v>28.6</v>
      </c>
      <c r="X22" s="45">
        <v>28.6</v>
      </c>
      <c r="Y22" s="45">
        <v>28.6</v>
      </c>
      <c r="Z22" s="45">
        <v>28.6</v>
      </c>
      <c r="AA22" s="45">
        <v>28.6</v>
      </c>
      <c r="AB22" s="45">
        <v>28.6</v>
      </c>
      <c r="AC22" s="45">
        <v>28.6</v>
      </c>
      <c r="AD22" s="45">
        <v>28.6</v>
      </c>
      <c r="AE22" s="45">
        <v>28.6</v>
      </c>
      <c r="AF22" s="45">
        <v>28.6</v>
      </c>
      <c r="AG22" s="49">
        <v>28</v>
      </c>
      <c r="AH22" s="47">
        <f t="shared" si="2"/>
        <v>28.6</v>
      </c>
      <c r="AI22" s="48">
        <f t="shared" si="3"/>
        <v>20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13.5</v>
      </c>
      <c r="R23" s="45">
        <v>13.5</v>
      </c>
      <c r="S23" s="45">
        <v>13.5</v>
      </c>
      <c r="T23" s="45">
        <v>13.5</v>
      </c>
      <c r="U23" s="45">
        <v>13.5</v>
      </c>
      <c r="V23" s="45">
        <v>0</v>
      </c>
      <c r="W23" s="45">
        <v>0</v>
      </c>
      <c r="X23" s="45">
        <v>0</v>
      </c>
      <c r="Y23" s="45">
        <v>0</v>
      </c>
      <c r="Z23" s="45">
        <v>4.5</v>
      </c>
      <c r="AA23" s="45">
        <v>4.5</v>
      </c>
      <c r="AB23" s="45">
        <v>4.5</v>
      </c>
      <c r="AC23" s="45">
        <v>4.5</v>
      </c>
      <c r="AD23" s="45">
        <v>4.5</v>
      </c>
      <c r="AE23" s="45">
        <v>4.5</v>
      </c>
      <c r="AF23" s="45">
        <v>4.5</v>
      </c>
      <c r="AG23" s="51">
        <v>30</v>
      </c>
      <c r="AH23" s="47">
        <f t="shared" si="2"/>
        <v>13.5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</v>
      </c>
      <c r="C24" s="45">
        <v>24</v>
      </c>
      <c r="D24" s="45">
        <v>24</v>
      </c>
      <c r="E24" s="45">
        <v>24</v>
      </c>
      <c r="F24" s="45">
        <v>24</v>
      </c>
      <c r="G24" s="45">
        <v>24</v>
      </c>
      <c r="H24" s="45">
        <v>24</v>
      </c>
      <c r="I24" s="45">
        <v>24</v>
      </c>
      <c r="J24" s="45">
        <v>24</v>
      </c>
      <c r="K24" s="45">
        <v>24</v>
      </c>
      <c r="L24" s="45">
        <v>20.399999999999999</v>
      </c>
      <c r="M24" s="45">
        <v>20.399999999999999</v>
      </c>
      <c r="N24" s="45">
        <v>20.399999999999999</v>
      </c>
      <c r="O24" s="45">
        <v>20.399999999999999</v>
      </c>
      <c r="P24" s="45">
        <v>20.399999999999999</v>
      </c>
      <c r="Q24" s="45">
        <v>5.8</v>
      </c>
      <c r="R24" s="45">
        <v>5.8</v>
      </c>
      <c r="S24" s="45">
        <v>5.8</v>
      </c>
      <c r="T24" s="45">
        <v>5.8</v>
      </c>
      <c r="U24" s="45">
        <v>5.8</v>
      </c>
      <c r="V24" s="45">
        <v>26</v>
      </c>
      <c r="W24" s="45">
        <v>26</v>
      </c>
      <c r="X24" s="45">
        <v>26</v>
      </c>
      <c r="Y24" s="45">
        <v>26</v>
      </c>
      <c r="Z24" s="45">
        <v>26</v>
      </c>
      <c r="AA24" s="45">
        <v>26</v>
      </c>
      <c r="AB24" s="45">
        <v>26</v>
      </c>
      <c r="AC24" s="45">
        <v>26</v>
      </c>
      <c r="AD24" s="45">
        <v>26</v>
      </c>
      <c r="AE24" s="45">
        <v>26</v>
      </c>
      <c r="AF24" s="45">
        <v>26</v>
      </c>
      <c r="AG24" s="49">
        <v>25</v>
      </c>
      <c r="AH24" s="47">
        <f t="shared" si="2"/>
        <v>26</v>
      </c>
      <c r="AI24" s="48">
        <f t="shared" si="3"/>
        <v>5.8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20</v>
      </c>
      <c r="E26" s="45">
        <v>20</v>
      </c>
      <c r="F26" s="45">
        <v>20</v>
      </c>
      <c r="G26" s="45">
        <v>20</v>
      </c>
      <c r="H26" s="45">
        <v>20</v>
      </c>
      <c r="I26" s="45">
        <v>20</v>
      </c>
      <c r="J26" s="45">
        <v>20</v>
      </c>
      <c r="K26" s="45">
        <v>20</v>
      </c>
      <c r="L26" s="45">
        <v>20</v>
      </c>
      <c r="M26" s="45">
        <v>20</v>
      </c>
      <c r="N26" s="45">
        <v>20</v>
      </c>
      <c r="O26" s="45">
        <v>20</v>
      </c>
      <c r="P26" s="45">
        <v>20</v>
      </c>
      <c r="Q26" s="45">
        <v>20</v>
      </c>
      <c r="R26" s="45">
        <v>20</v>
      </c>
      <c r="S26" s="45">
        <v>20</v>
      </c>
      <c r="T26" s="45">
        <v>20</v>
      </c>
      <c r="U26" s="45">
        <v>20</v>
      </c>
      <c r="V26" s="45">
        <v>20</v>
      </c>
      <c r="W26" s="45">
        <v>20</v>
      </c>
      <c r="X26" s="45">
        <v>20</v>
      </c>
      <c r="Y26" s="45">
        <v>20</v>
      </c>
      <c r="Z26" s="45">
        <v>20</v>
      </c>
      <c r="AA26" s="45">
        <v>20</v>
      </c>
      <c r="AB26" s="45">
        <v>20</v>
      </c>
      <c r="AC26" s="45">
        <v>20</v>
      </c>
      <c r="AD26" s="45">
        <v>20</v>
      </c>
      <c r="AE26" s="45">
        <v>20</v>
      </c>
      <c r="AF26" s="45">
        <v>20</v>
      </c>
      <c r="AG26" s="49">
        <v>25</v>
      </c>
      <c r="AH26" s="47">
        <f t="shared" si="2"/>
        <v>25</v>
      </c>
      <c r="AI26" s="48">
        <f t="shared" si="3"/>
        <v>20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12.5</v>
      </c>
      <c r="R27" s="45">
        <v>12.5</v>
      </c>
      <c r="S27" s="45">
        <v>12.5</v>
      </c>
      <c r="T27" s="45">
        <v>12.5</v>
      </c>
      <c r="U27" s="45">
        <v>12.5</v>
      </c>
      <c r="V27" s="45">
        <v>0</v>
      </c>
      <c r="W27" s="45">
        <v>0</v>
      </c>
      <c r="X27" s="45">
        <v>0</v>
      </c>
      <c r="Y27" s="45">
        <v>0</v>
      </c>
      <c r="Z27" s="45">
        <v>4.5</v>
      </c>
      <c r="AA27" s="45">
        <v>4.5</v>
      </c>
      <c r="AB27" s="45">
        <v>4.5</v>
      </c>
      <c r="AC27" s="45">
        <v>4.5</v>
      </c>
      <c r="AD27" s="45">
        <v>4.5</v>
      </c>
      <c r="AE27" s="45">
        <v>4.5</v>
      </c>
      <c r="AF27" s="45">
        <v>4.5</v>
      </c>
      <c r="AG27" s="49">
        <v>25</v>
      </c>
      <c r="AH27" s="47">
        <f t="shared" si="2"/>
        <v>12.5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24.9</v>
      </c>
      <c r="C28" s="45">
        <v>24.9</v>
      </c>
      <c r="D28" s="45">
        <v>24.9</v>
      </c>
      <c r="E28" s="45">
        <v>24.9</v>
      </c>
      <c r="F28" s="45">
        <v>24.9</v>
      </c>
      <c r="G28" s="45">
        <v>24.9</v>
      </c>
      <c r="H28" s="45">
        <v>24.9</v>
      </c>
      <c r="I28" s="45">
        <v>24.9</v>
      </c>
      <c r="J28" s="45">
        <v>24.9</v>
      </c>
      <c r="K28" s="45">
        <v>24.9</v>
      </c>
      <c r="L28" s="45">
        <v>24.9</v>
      </c>
      <c r="M28" s="45">
        <v>24.9</v>
      </c>
      <c r="N28" s="45">
        <v>24.9</v>
      </c>
      <c r="O28" s="45">
        <v>24.9</v>
      </c>
      <c r="P28" s="45">
        <v>24.9</v>
      </c>
      <c r="Q28" s="45">
        <v>24.9</v>
      </c>
      <c r="R28" s="45">
        <v>24.9</v>
      </c>
      <c r="S28" s="45">
        <v>24.9</v>
      </c>
      <c r="T28" s="45">
        <v>24.9</v>
      </c>
      <c r="U28" s="45">
        <v>24.9</v>
      </c>
      <c r="V28" s="45">
        <v>24.9</v>
      </c>
      <c r="W28" s="45">
        <v>24.9</v>
      </c>
      <c r="X28" s="45">
        <v>24.9</v>
      </c>
      <c r="Y28" s="45">
        <v>24.9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24.9</v>
      </c>
      <c r="AF28" s="45">
        <v>24.9</v>
      </c>
      <c r="AG28" s="49">
        <v>23.5</v>
      </c>
      <c r="AH28" s="47">
        <f t="shared" si="2"/>
        <v>24.9</v>
      </c>
      <c r="AI28" s="48">
        <f t="shared" si="3"/>
        <v>24.9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15</v>
      </c>
      <c r="AF32" s="45">
        <v>15</v>
      </c>
      <c r="AG32" s="49">
        <v>22</v>
      </c>
      <c r="AH32" s="47">
        <f t="shared" si="2"/>
        <v>22</v>
      </c>
      <c r="AI32" s="48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9">
        <v>20</v>
      </c>
      <c r="AH33" s="47">
        <f t="shared" si="2"/>
        <v>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5</v>
      </c>
      <c r="R34" s="45">
        <v>5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4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9">
        <v>18</v>
      </c>
      <c r="AH34" s="47">
        <f t="shared" si="2"/>
        <v>5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6</v>
      </c>
      <c r="R39" s="45">
        <v>6</v>
      </c>
      <c r="S39" s="45">
        <v>6</v>
      </c>
      <c r="T39" s="45">
        <v>6</v>
      </c>
      <c r="U39" s="45">
        <v>6</v>
      </c>
      <c r="V39" s="45">
        <v>0</v>
      </c>
      <c r="W39" s="45">
        <v>0</v>
      </c>
      <c r="X39" s="45">
        <v>0</v>
      </c>
      <c r="Y39" s="45">
        <v>0</v>
      </c>
      <c r="Z39" s="45">
        <v>2</v>
      </c>
      <c r="AA39" s="45">
        <v>2</v>
      </c>
      <c r="AB39" s="45">
        <v>2</v>
      </c>
      <c r="AC39" s="45">
        <v>2</v>
      </c>
      <c r="AD39" s="45">
        <v>2</v>
      </c>
      <c r="AE39" s="45">
        <v>2</v>
      </c>
      <c r="AF39" s="45">
        <v>2</v>
      </c>
      <c r="AG39" s="49">
        <v>12</v>
      </c>
      <c r="AH39" s="47">
        <f t="shared" si="2"/>
        <v>6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8</v>
      </c>
      <c r="C40" s="45">
        <v>8</v>
      </c>
      <c r="D40" s="45">
        <v>8</v>
      </c>
      <c r="E40" s="45">
        <v>8</v>
      </c>
      <c r="F40" s="45">
        <v>8</v>
      </c>
      <c r="G40" s="45">
        <v>8</v>
      </c>
      <c r="H40" s="45">
        <v>8</v>
      </c>
      <c r="I40" s="45">
        <v>8</v>
      </c>
      <c r="J40" s="45">
        <v>8</v>
      </c>
      <c r="K40" s="45">
        <v>8</v>
      </c>
      <c r="L40" s="45">
        <v>8</v>
      </c>
      <c r="M40" s="45">
        <v>8</v>
      </c>
      <c r="N40" s="45">
        <v>8</v>
      </c>
      <c r="O40" s="45">
        <v>8</v>
      </c>
      <c r="P40" s="45">
        <v>8</v>
      </c>
      <c r="Q40" s="45">
        <v>8</v>
      </c>
      <c r="R40" s="45">
        <v>8</v>
      </c>
      <c r="S40" s="45">
        <v>8</v>
      </c>
      <c r="T40" s="45">
        <v>8</v>
      </c>
      <c r="U40" s="45">
        <v>8</v>
      </c>
      <c r="V40" s="45">
        <v>8</v>
      </c>
      <c r="W40" s="45">
        <v>8</v>
      </c>
      <c r="X40" s="45">
        <v>8</v>
      </c>
      <c r="Y40" s="45">
        <v>8</v>
      </c>
      <c r="Z40" s="45">
        <v>8</v>
      </c>
      <c r="AA40" s="45">
        <v>8</v>
      </c>
      <c r="AB40" s="45">
        <v>8</v>
      </c>
      <c r="AC40" s="45">
        <v>8</v>
      </c>
      <c r="AD40" s="45">
        <v>8</v>
      </c>
      <c r="AE40" s="45">
        <v>8</v>
      </c>
      <c r="AF40" s="45">
        <v>8</v>
      </c>
      <c r="AG40" s="49">
        <v>12</v>
      </c>
      <c r="AH40" s="47">
        <f t="shared" si="2"/>
        <v>8</v>
      </c>
      <c r="AI40" s="48">
        <f t="shared" si="3"/>
        <v>8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9">
        <v>12</v>
      </c>
      <c r="AH41" s="47">
        <f t="shared" si="2"/>
        <v>0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0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52">
        <v>22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11.9</v>
      </c>
      <c r="C43" s="45">
        <v>11.9</v>
      </c>
      <c r="D43" s="45">
        <v>11.9</v>
      </c>
      <c r="E43" s="45">
        <v>11.9</v>
      </c>
      <c r="F43" s="45">
        <v>11.9</v>
      </c>
      <c r="G43" s="45">
        <v>11.9</v>
      </c>
      <c r="H43" s="45">
        <v>11.9</v>
      </c>
      <c r="I43" s="45">
        <v>11.9</v>
      </c>
      <c r="J43" s="45">
        <v>11.9</v>
      </c>
      <c r="K43" s="45">
        <v>11.9</v>
      </c>
      <c r="L43" s="45">
        <v>11.9</v>
      </c>
      <c r="M43" s="45">
        <v>11.9</v>
      </c>
      <c r="N43" s="45">
        <v>11.9</v>
      </c>
      <c r="O43" s="45">
        <v>11.9</v>
      </c>
      <c r="P43" s="45">
        <v>11.9</v>
      </c>
      <c r="Q43" s="45">
        <v>6</v>
      </c>
      <c r="R43" s="45">
        <v>6</v>
      </c>
      <c r="S43" s="45">
        <v>6</v>
      </c>
      <c r="T43" s="45">
        <v>6</v>
      </c>
      <c r="U43" s="45">
        <v>6</v>
      </c>
      <c r="V43" s="45">
        <v>6</v>
      </c>
      <c r="W43" s="45">
        <v>6</v>
      </c>
      <c r="X43" s="45">
        <v>6</v>
      </c>
      <c r="Y43" s="45">
        <v>6</v>
      </c>
      <c r="Z43" s="45">
        <v>6</v>
      </c>
      <c r="AA43" s="45">
        <v>6</v>
      </c>
      <c r="AB43" s="45">
        <v>6</v>
      </c>
      <c r="AC43" s="45">
        <v>6</v>
      </c>
      <c r="AD43" s="45">
        <v>6</v>
      </c>
      <c r="AE43" s="45">
        <v>6</v>
      </c>
      <c r="AF43" s="45">
        <v>6</v>
      </c>
      <c r="AG43" s="51">
        <v>11.88</v>
      </c>
      <c r="AH43" s="47">
        <f t="shared" si="2"/>
        <v>11.9</v>
      </c>
      <c r="AI43" s="48">
        <f t="shared" si="3"/>
        <v>6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5</v>
      </c>
      <c r="R45" s="45">
        <v>5</v>
      </c>
      <c r="S45" s="45">
        <v>5</v>
      </c>
      <c r="T45" s="45">
        <v>5</v>
      </c>
      <c r="U45" s="45">
        <v>0</v>
      </c>
      <c r="V45" s="45">
        <v>0</v>
      </c>
      <c r="W45" s="45">
        <v>0</v>
      </c>
      <c r="X45" s="45">
        <v>0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10</v>
      </c>
      <c r="AI45" s="48">
        <f t="shared" si="3"/>
        <v>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358</v>
      </c>
      <c r="C48" s="56">
        <v>358</v>
      </c>
      <c r="D48" s="56">
        <v>358</v>
      </c>
      <c r="E48" s="56">
        <v>358</v>
      </c>
      <c r="F48" s="56">
        <v>358</v>
      </c>
      <c r="G48" s="56">
        <v>358</v>
      </c>
      <c r="H48" s="56">
        <v>358</v>
      </c>
      <c r="I48" s="56">
        <v>358</v>
      </c>
      <c r="J48" s="56">
        <v>358</v>
      </c>
      <c r="K48" s="56">
        <v>358</v>
      </c>
      <c r="L48" s="56">
        <v>358</v>
      </c>
      <c r="M48" s="56">
        <v>358</v>
      </c>
      <c r="N48" s="56">
        <v>358</v>
      </c>
      <c r="O48" s="56">
        <v>358</v>
      </c>
      <c r="P48" s="56">
        <v>358</v>
      </c>
      <c r="Q48" s="56">
        <v>358</v>
      </c>
      <c r="R48" s="56">
        <v>358</v>
      </c>
      <c r="S48" s="56">
        <v>358</v>
      </c>
      <c r="T48" s="56">
        <v>358</v>
      </c>
      <c r="U48" s="56">
        <v>358</v>
      </c>
      <c r="V48" s="56">
        <v>358</v>
      </c>
      <c r="W48" s="56">
        <v>358</v>
      </c>
      <c r="X48" s="56">
        <v>358</v>
      </c>
      <c r="Y48" s="56">
        <v>358</v>
      </c>
      <c r="Z48" s="56">
        <v>358</v>
      </c>
      <c r="AA48" s="56">
        <v>358</v>
      </c>
      <c r="AB48" s="56">
        <v>358</v>
      </c>
      <c r="AC48" s="56">
        <v>358</v>
      </c>
      <c r="AD48" s="56">
        <v>358</v>
      </c>
      <c r="AE48" s="56">
        <v>358</v>
      </c>
      <c r="AF48" s="56">
        <v>358</v>
      </c>
      <c r="AG48" s="54">
        <v>85</v>
      </c>
      <c r="AH48" s="47">
        <f t="shared" si="2"/>
        <v>358</v>
      </c>
      <c r="AI48" s="48">
        <f t="shared" si="3"/>
        <v>358</v>
      </c>
      <c r="AK48" s="50"/>
    </row>
    <row r="49" spans="1:41" ht="15.75" thickBot="1" x14ac:dyDescent="0.3">
      <c r="A49" s="57" t="s">
        <v>57</v>
      </c>
      <c r="B49" s="56">
        <v>113</v>
      </c>
      <c r="C49" s="56">
        <v>113</v>
      </c>
      <c r="D49" s="56">
        <v>113</v>
      </c>
      <c r="E49" s="56">
        <v>113</v>
      </c>
      <c r="F49" s="56">
        <v>113</v>
      </c>
      <c r="G49" s="56">
        <v>113</v>
      </c>
      <c r="H49" s="56">
        <v>113</v>
      </c>
      <c r="I49" s="56">
        <v>113</v>
      </c>
      <c r="J49" s="56">
        <v>113</v>
      </c>
      <c r="K49" s="56">
        <v>113</v>
      </c>
      <c r="L49" s="56">
        <v>113</v>
      </c>
      <c r="M49" s="56">
        <v>113</v>
      </c>
      <c r="N49" s="56">
        <v>113</v>
      </c>
      <c r="O49" s="56">
        <v>113</v>
      </c>
      <c r="P49" s="56">
        <v>113</v>
      </c>
      <c r="Q49" s="56">
        <v>113</v>
      </c>
      <c r="R49" s="56">
        <v>113</v>
      </c>
      <c r="S49" s="56">
        <v>113</v>
      </c>
      <c r="T49" s="56">
        <v>113</v>
      </c>
      <c r="U49" s="56">
        <v>113</v>
      </c>
      <c r="V49" s="56">
        <v>109</v>
      </c>
      <c r="W49" s="56">
        <v>103</v>
      </c>
      <c r="X49" s="56">
        <v>113</v>
      </c>
      <c r="Y49" s="56">
        <v>114</v>
      </c>
      <c r="Z49" s="56">
        <v>114</v>
      </c>
      <c r="AA49" s="56">
        <v>114</v>
      </c>
      <c r="AB49" s="56">
        <v>114</v>
      </c>
      <c r="AC49" s="56">
        <v>114</v>
      </c>
      <c r="AD49" s="56">
        <v>114</v>
      </c>
      <c r="AE49" s="56">
        <v>114</v>
      </c>
      <c r="AF49" s="56">
        <v>114</v>
      </c>
      <c r="AG49" s="54">
        <v>240</v>
      </c>
      <c r="AH49" s="47">
        <f t="shared" si="2"/>
        <v>114</v>
      </c>
      <c r="AI49" s="48">
        <f t="shared" si="3"/>
        <v>103</v>
      </c>
      <c r="AK49" s="50"/>
    </row>
    <row r="50" spans="1:41" ht="15.75" thickBot="1" x14ac:dyDescent="0.3">
      <c r="A50" s="59" t="s">
        <v>58</v>
      </c>
      <c r="B50" s="60">
        <f t="shared" ref="B50:AF50" si="4">SUM(B11:B48)</f>
        <v>962.6</v>
      </c>
      <c r="C50" s="60">
        <f t="shared" si="4"/>
        <v>962.6</v>
      </c>
      <c r="D50" s="60">
        <f t="shared" si="4"/>
        <v>954.6</v>
      </c>
      <c r="E50" s="60">
        <f t="shared" si="4"/>
        <v>954.6</v>
      </c>
      <c r="F50" s="60">
        <f t="shared" si="4"/>
        <v>954.6</v>
      </c>
      <c r="G50" s="60">
        <f t="shared" si="4"/>
        <v>910.6</v>
      </c>
      <c r="H50" s="60">
        <f t="shared" si="4"/>
        <v>910.6</v>
      </c>
      <c r="I50" s="60">
        <f t="shared" si="4"/>
        <v>910.6</v>
      </c>
      <c r="J50" s="60">
        <f t="shared" si="4"/>
        <v>944.6</v>
      </c>
      <c r="K50" s="60">
        <f t="shared" si="4"/>
        <v>950.6</v>
      </c>
      <c r="L50" s="60">
        <f t="shared" si="4"/>
        <v>952.6</v>
      </c>
      <c r="M50" s="60">
        <f t="shared" si="4"/>
        <v>936.5</v>
      </c>
      <c r="N50" s="60">
        <f t="shared" ref="N50:Q50" si="5">SUM(N11:N48)</f>
        <v>936.5</v>
      </c>
      <c r="O50" s="60">
        <f t="shared" si="5"/>
        <v>936.5</v>
      </c>
      <c r="P50" s="60">
        <f t="shared" si="5"/>
        <v>936.5</v>
      </c>
      <c r="Q50" s="60">
        <f t="shared" si="5"/>
        <v>947.7</v>
      </c>
      <c r="R50" s="60">
        <f t="shared" si="4"/>
        <v>947.7</v>
      </c>
      <c r="S50" s="60">
        <f t="shared" si="4"/>
        <v>942.7</v>
      </c>
      <c r="T50" s="60">
        <f t="shared" si="4"/>
        <v>942.7</v>
      </c>
      <c r="U50" s="60">
        <f t="shared" si="4"/>
        <v>937.7</v>
      </c>
      <c r="V50" s="60">
        <f t="shared" si="4"/>
        <v>978.30000000000007</v>
      </c>
      <c r="W50" s="60">
        <f t="shared" si="4"/>
        <v>968.7</v>
      </c>
      <c r="X50" s="60">
        <f t="shared" si="4"/>
        <v>968.7</v>
      </c>
      <c r="Y50" s="60">
        <f t="shared" si="4"/>
        <v>977.7</v>
      </c>
      <c r="Z50" s="60">
        <f t="shared" si="4"/>
        <v>1020.7</v>
      </c>
      <c r="AA50" s="60">
        <f t="shared" si="4"/>
        <v>1004.2</v>
      </c>
      <c r="AB50" s="60">
        <f t="shared" ref="AB50:AC50" si="6">SUM(AB11:AB48)</f>
        <v>1004.2</v>
      </c>
      <c r="AC50" s="60">
        <f t="shared" si="6"/>
        <v>1004.2</v>
      </c>
      <c r="AD50" s="60">
        <f t="shared" si="4"/>
        <v>1004.2</v>
      </c>
      <c r="AE50" s="60">
        <f t="shared" si="4"/>
        <v>1019.2</v>
      </c>
      <c r="AF50" s="60">
        <f t="shared" si="4"/>
        <v>1018.2</v>
      </c>
      <c r="AG50" s="61">
        <f>SUM(AG13:AG48)</f>
        <v>922.14</v>
      </c>
      <c r="AH50" s="47">
        <f t="shared" si="2"/>
        <v>1020.7</v>
      </c>
      <c r="AI50" s="48">
        <f t="shared" si="3"/>
        <v>910.6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425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425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40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40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</v>
      </c>
      <c r="N53" s="66">
        <v>22</v>
      </c>
      <c r="O53" s="66">
        <v>22</v>
      </c>
      <c r="P53" s="66">
        <v>22</v>
      </c>
      <c r="Q53" s="66">
        <v>22</v>
      </c>
      <c r="R53" s="66">
        <v>22</v>
      </c>
      <c r="S53" s="66">
        <v>22</v>
      </c>
      <c r="T53" s="66">
        <v>22</v>
      </c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66">
        <v>22</v>
      </c>
      <c r="AB53" s="66">
        <v>22</v>
      </c>
      <c r="AC53" s="66">
        <v>22</v>
      </c>
      <c r="AD53" s="66">
        <v>22</v>
      </c>
      <c r="AE53" s="66">
        <v>22</v>
      </c>
      <c r="AF53" s="66">
        <v>22</v>
      </c>
      <c r="AG53" s="67">
        <v>22.1</v>
      </c>
      <c r="AH53" s="47">
        <f t="shared" si="2"/>
        <v>22.5</v>
      </c>
      <c r="AI53" s="48">
        <f t="shared" si="3"/>
        <v>22</v>
      </c>
      <c r="AK53" s="50"/>
    </row>
    <row r="54" spans="1:41" ht="15.75" thickBot="1" x14ac:dyDescent="0.3">
      <c r="A54" s="68" t="s">
        <v>62</v>
      </c>
      <c r="B54" s="60">
        <f t="shared" ref="B54:AG54" si="7">SUM(B51:B53)</f>
        <v>533.5</v>
      </c>
      <c r="C54" s="60">
        <f t="shared" si="7"/>
        <v>533.5</v>
      </c>
      <c r="D54" s="60">
        <f t="shared" si="7"/>
        <v>533.5</v>
      </c>
      <c r="E54" s="60">
        <f t="shared" si="7"/>
        <v>533.5</v>
      </c>
      <c r="F54" s="60">
        <f t="shared" si="7"/>
        <v>533.5</v>
      </c>
      <c r="G54" s="60">
        <f t="shared" si="7"/>
        <v>533.5</v>
      </c>
      <c r="H54" s="60">
        <f t="shared" si="7"/>
        <v>533.5</v>
      </c>
      <c r="I54" s="60">
        <f t="shared" si="7"/>
        <v>502.5</v>
      </c>
      <c r="J54" s="60">
        <f t="shared" si="7"/>
        <v>533.5</v>
      </c>
      <c r="K54" s="60">
        <f t="shared" si="7"/>
        <v>533.5</v>
      </c>
      <c r="L54" s="60">
        <f t="shared" si="7"/>
        <v>533.5</v>
      </c>
      <c r="M54" s="60">
        <f t="shared" si="7"/>
        <v>533</v>
      </c>
      <c r="N54" s="60">
        <f t="shared" ref="N54:Q54" si="8">SUM(N51:N53)</f>
        <v>533</v>
      </c>
      <c r="O54" s="60">
        <f t="shared" si="8"/>
        <v>533</v>
      </c>
      <c r="P54" s="60">
        <f t="shared" si="8"/>
        <v>533</v>
      </c>
      <c r="Q54" s="60">
        <f t="shared" si="8"/>
        <v>533</v>
      </c>
      <c r="R54" s="60">
        <f t="shared" si="7"/>
        <v>533</v>
      </c>
      <c r="S54" s="60">
        <f t="shared" si="7"/>
        <v>518</v>
      </c>
      <c r="T54" s="60">
        <f t="shared" si="7"/>
        <v>538</v>
      </c>
      <c r="U54" s="60">
        <f t="shared" si="7"/>
        <v>538</v>
      </c>
      <c r="V54" s="60">
        <f t="shared" si="7"/>
        <v>538</v>
      </c>
      <c r="W54" s="60">
        <f t="shared" si="7"/>
        <v>538</v>
      </c>
      <c r="X54" s="60">
        <f t="shared" si="7"/>
        <v>538</v>
      </c>
      <c r="Y54" s="60">
        <f t="shared" si="7"/>
        <v>538</v>
      </c>
      <c r="Z54" s="60">
        <f t="shared" si="7"/>
        <v>538</v>
      </c>
      <c r="AA54" s="60">
        <f t="shared" si="7"/>
        <v>538</v>
      </c>
      <c r="AB54" s="60">
        <f t="shared" si="7"/>
        <v>538</v>
      </c>
      <c r="AC54" s="60">
        <f t="shared" si="7"/>
        <v>538</v>
      </c>
      <c r="AD54" s="60">
        <f t="shared" si="7"/>
        <v>538</v>
      </c>
      <c r="AE54" s="60">
        <f t="shared" si="7"/>
        <v>533</v>
      </c>
      <c r="AF54" s="60">
        <f t="shared" si="7"/>
        <v>533</v>
      </c>
      <c r="AG54" s="61">
        <f t="shared" si="7"/>
        <v>538.1</v>
      </c>
      <c r="AH54" s="47">
        <f t="shared" si="2"/>
        <v>538</v>
      </c>
      <c r="AI54" s="48">
        <f t="shared" si="3"/>
        <v>502.5</v>
      </c>
      <c r="AK54" s="50"/>
    </row>
    <row r="55" spans="1:41" x14ac:dyDescent="0.25">
      <c r="A55" s="44" t="s">
        <v>63</v>
      </c>
      <c r="B55" s="45">
        <v>134</v>
      </c>
      <c r="C55" s="45">
        <v>105</v>
      </c>
      <c r="D55" s="45">
        <v>105</v>
      </c>
      <c r="E55" s="45">
        <v>0</v>
      </c>
      <c r="F55" s="45">
        <v>90</v>
      </c>
      <c r="G55" s="45">
        <v>90</v>
      </c>
      <c r="H55" s="45">
        <v>90</v>
      </c>
      <c r="I55" s="45">
        <v>90</v>
      </c>
      <c r="J55" s="45">
        <v>90</v>
      </c>
      <c r="K55" s="45">
        <v>90</v>
      </c>
      <c r="L55" s="45">
        <v>100</v>
      </c>
      <c r="M55" s="45">
        <v>130.6</v>
      </c>
      <c r="N55" s="45">
        <v>130.6</v>
      </c>
      <c r="O55" s="45">
        <v>130.6</v>
      </c>
      <c r="P55" s="45">
        <v>130.6</v>
      </c>
      <c r="Q55" s="45">
        <v>130.6</v>
      </c>
      <c r="R55" s="45">
        <v>130.6</v>
      </c>
      <c r="S55" s="45">
        <v>130.6</v>
      </c>
      <c r="T55" s="45">
        <v>130.6</v>
      </c>
      <c r="U55" s="45">
        <v>130.6</v>
      </c>
      <c r="V55" s="45">
        <v>130.6</v>
      </c>
      <c r="W55" s="45">
        <v>130.6</v>
      </c>
      <c r="X55" s="45">
        <v>130.6</v>
      </c>
      <c r="Y55" s="45">
        <v>130.6</v>
      </c>
      <c r="Z55" s="45">
        <v>130.6</v>
      </c>
      <c r="AA55" s="45">
        <v>130.6</v>
      </c>
      <c r="AB55" s="45">
        <v>130.6</v>
      </c>
      <c r="AC55" s="45">
        <v>130.6</v>
      </c>
      <c r="AD55" s="45">
        <v>130.6</v>
      </c>
      <c r="AE55" s="45">
        <v>115</v>
      </c>
      <c r="AF55" s="45">
        <v>115</v>
      </c>
      <c r="AG55" s="51">
        <v>144</v>
      </c>
      <c r="AH55" s="47">
        <f t="shared" si="2"/>
        <v>134</v>
      </c>
      <c r="AI55" s="48">
        <f t="shared" si="3"/>
        <v>0</v>
      </c>
      <c r="AK55" s="50"/>
    </row>
    <row r="56" spans="1:41" x14ac:dyDescent="0.25">
      <c r="A56" s="53" t="s">
        <v>64</v>
      </c>
      <c r="B56" s="64">
        <v>69</v>
      </c>
      <c r="C56" s="64">
        <v>51</v>
      </c>
      <c r="D56" s="64">
        <v>51</v>
      </c>
      <c r="E56" s="64">
        <v>45</v>
      </c>
      <c r="F56" s="64">
        <v>30</v>
      </c>
      <c r="G56" s="64">
        <v>30</v>
      </c>
      <c r="H56" s="64">
        <v>45</v>
      </c>
      <c r="I56" s="64">
        <v>45</v>
      </c>
      <c r="J56" s="64">
        <v>45</v>
      </c>
      <c r="K56" s="64">
        <v>45</v>
      </c>
      <c r="L56" s="64">
        <v>45</v>
      </c>
      <c r="M56" s="64">
        <v>69</v>
      </c>
      <c r="N56" s="64">
        <v>69</v>
      </c>
      <c r="O56" s="64">
        <v>69</v>
      </c>
      <c r="P56" s="64">
        <v>69</v>
      </c>
      <c r="Q56" s="64">
        <v>69</v>
      </c>
      <c r="R56" s="64">
        <v>69</v>
      </c>
      <c r="S56" s="64">
        <v>69</v>
      </c>
      <c r="T56" s="64">
        <v>69</v>
      </c>
      <c r="U56" s="64">
        <v>69</v>
      </c>
      <c r="V56" s="64">
        <v>69</v>
      </c>
      <c r="W56" s="64">
        <v>69</v>
      </c>
      <c r="X56" s="64">
        <v>69</v>
      </c>
      <c r="Y56" s="64">
        <v>69</v>
      </c>
      <c r="Z56" s="64">
        <v>69</v>
      </c>
      <c r="AA56" s="45">
        <v>72</v>
      </c>
      <c r="AB56" s="45">
        <v>72</v>
      </c>
      <c r="AC56" s="45">
        <v>72</v>
      </c>
      <c r="AD56" s="45">
        <v>72</v>
      </c>
      <c r="AE56" s="45">
        <v>60</v>
      </c>
      <c r="AF56" s="45">
        <v>50</v>
      </c>
      <c r="AG56" s="54">
        <v>70</v>
      </c>
      <c r="AH56" s="47">
        <f t="shared" si="2"/>
        <v>72</v>
      </c>
      <c r="AI56" s="48">
        <f t="shared" si="3"/>
        <v>30</v>
      </c>
      <c r="AK56" s="50"/>
    </row>
    <row r="57" spans="1:41" x14ac:dyDescent="0.25">
      <c r="A57" s="53" t="s">
        <v>65</v>
      </c>
      <c r="B57" s="64">
        <v>64.2</v>
      </c>
      <c r="C57" s="64">
        <v>56</v>
      </c>
      <c r="D57" s="64">
        <v>56</v>
      </c>
      <c r="E57" s="64">
        <v>52</v>
      </c>
      <c r="F57" s="64">
        <v>52</v>
      </c>
      <c r="G57" s="64">
        <v>52</v>
      </c>
      <c r="H57" s="64">
        <v>52</v>
      </c>
      <c r="I57" s="64">
        <v>52</v>
      </c>
      <c r="J57" s="64">
        <v>57</v>
      </c>
      <c r="K57" s="64">
        <v>57</v>
      </c>
      <c r="L57" s="64">
        <v>57</v>
      </c>
      <c r="M57" s="64">
        <v>62.9</v>
      </c>
      <c r="N57" s="64">
        <v>62.9</v>
      </c>
      <c r="O57" s="64">
        <v>62.9</v>
      </c>
      <c r="P57" s="64">
        <v>62.9</v>
      </c>
      <c r="Q57" s="64">
        <v>62.9</v>
      </c>
      <c r="R57" s="64">
        <v>62.9</v>
      </c>
      <c r="S57" s="64">
        <v>62.9</v>
      </c>
      <c r="T57" s="64">
        <v>62.9</v>
      </c>
      <c r="U57" s="64">
        <v>62.9</v>
      </c>
      <c r="V57" s="64">
        <v>62.9</v>
      </c>
      <c r="W57" s="64">
        <v>62.9</v>
      </c>
      <c r="X57" s="64">
        <v>62.9</v>
      </c>
      <c r="Y57" s="64">
        <v>62.9</v>
      </c>
      <c r="Z57" s="64">
        <v>62.9</v>
      </c>
      <c r="AA57" s="45">
        <v>64</v>
      </c>
      <c r="AB57" s="45">
        <v>64</v>
      </c>
      <c r="AC57" s="45">
        <v>64</v>
      </c>
      <c r="AD57" s="45">
        <v>64</v>
      </c>
      <c r="AE57" s="45">
        <v>53</v>
      </c>
      <c r="AF57" s="45">
        <v>53</v>
      </c>
      <c r="AG57" s="54">
        <v>69</v>
      </c>
      <c r="AH57" s="47">
        <f t="shared" si="2"/>
        <v>64.2</v>
      </c>
      <c r="AI57" s="48">
        <f t="shared" si="3"/>
        <v>52</v>
      </c>
      <c r="AK57" s="50"/>
    </row>
    <row r="58" spans="1:41" x14ac:dyDescent="0.25">
      <c r="A58" s="53" t="s">
        <v>66</v>
      </c>
      <c r="B58" s="64">
        <v>62.3</v>
      </c>
      <c r="C58" s="64">
        <v>41</v>
      </c>
      <c r="D58" s="64">
        <v>41</v>
      </c>
      <c r="E58" s="64">
        <v>41</v>
      </c>
      <c r="F58" s="64">
        <v>41</v>
      </c>
      <c r="G58" s="64">
        <v>41</v>
      </c>
      <c r="H58" s="64">
        <v>41</v>
      </c>
      <c r="I58" s="64">
        <v>41</v>
      </c>
      <c r="J58" s="64">
        <v>41</v>
      </c>
      <c r="K58" s="64">
        <v>41</v>
      </c>
      <c r="L58" s="64">
        <v>41</v>
      </c>
      <c r="M58" s="64">
        <v>60</v>
      </c>
      <c r="N58" s="64">
        <v>60</v>
      </c>
      <c r="O58" s="64">
        <v>60</v>
      </c>
      <c r="P58" s="64">
        <v>60</v>
      </c>
      <c r="Q58" s="64">
        <v>60</v>
      </c>
      <c r="R58" s="64">
        <v>60</v>
      </c>
      <c r="S58" s="64">
        <v>60</v>
      </c>
      <c r="T58" s="64">
        <v>60</v>
      </c>
      <c r="U58" s="64">
        <v>60</v>
      </c>
      <c r="V58" s="64">
        <v>60</v>
      </c>
      <c r="W58" s="64">
        <v>60</v>
      </c>
      <c r="X58" s="64">
        <v>60</v>
      </c>
      <c r="Y58" s="64">
        <v>60</v>
      </c>
      <c r="Z58" s="64">
        <v>60</v>
      </c>
      <c r="AA58" s="45">
        <v>61.2</v>
      </c>
      <c r="AB58" s="45">
        <v>61.2</v>
      </c>
      <c r="AC58" s="45">
        <v>61.2</v>
      </c>
      <c r="AD58" s="45">
        <v>61.2</v>
      </c>
      <c r="AE58" s="45">
        <v>50</v>
      </c>
      <c r="AF58" s="45">
        <v>50</v>
      </c>
      <c r="AG58" s="54">
        <v>60</v>
      </c>
      <c r="AH58" s="47">
        <f t="shared" si="2"/>
        <v>62.3</v>
      </c>
      <c r="AI58" s="48">
        <f t="shared" si="3"/>
        <v>41</v>
      </c>
      <c r="AK58" s="50"/>
    </row>
    <row r="59" spans="1:41" x14ac:dyDescent="0.25">
      <c r="A59" s="53" t="s">
        <v>67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30</v>
      </c>
      <c r="O59" s="64">
        <v>30</v>
      </c>
      <c r="P59" s="64">
        <v>30</v>
      </c>
      <c r="Q59" s="64">
        <v>30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64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25</v>
      </c>
      <c r="AF59" s="45">
        <v>25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10</v>
      </c>
      <c r="T60" s="64">
        <v>8</v>
      </c>
      <c r="U60" s="64">
        <v>6</v>
      </c>
      <c r="V60" s="64">
        <v>4</v>
      </c>
      <c r="W60" s="64">
        <v>1.1000000000000001</v>
      </c>
      <c r="X60" s="64">
        <v>0.4</v>
      </c>
      <c r="Y60" s="64">
        <v>0</v>
      </c>
      <c r="Z60" s="64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10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16</v>
      </c>
      <c r="X61" s="64">
        <v>16</v>
      </c>
      <c r="Y61" s="64">
        <v>16</v>
      </c>
      <c r="Z61" s="64">
        <v>16</v>
      </c>
      <c r="AA61" s="64">
        <v>16</v>
      </c>
      <c r="AB61" s="64">
        <v>16</v>
      </c>
      <c r="AC61" s="64">
        <v>16</v>
      </c>
      <c r="AD61" s="64">
        <v>16</v>
      </c>
      <c r="AE61" s="64">
        <v>16</v>
      </c>
      <c r="AF61" s="64">
        <v>16</v>
      </c>
      <c r="AG61" s="54">
        <v>24</v>
      </c>
      <c r="AH61" s="47">
        <f t="shared" si="2"/>
        <v>16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5.0999999999999996</v>
      </c>
      <c r="C62" s="64">
        <v>5.0999999999999996</v>
      </c>
      <c r="D62" s="64">
        <v>5.0999999999999996</v>
      </c>
      <c r="E62" s="64">
        <v>5.0999999999999996</v>
      </c>
      <c r="F62" s="64">
        <v>5.0999999999999996</v>
      </c>
      <c r="G62" s="64">
        <v>5.0999999999999996</v>
      </c>
      <c r="H62" s="64">
        <v>5.0999999999999996</v>
      </c>
      <c r="I62" s="64">
        <v>5.0999999999999996</v>
      </c>
      <c r="J62" s="64">
        <v>5.0999999999999996</v>
      </c>
      <c r="K62" s="64">
        <v>5.0999999999999996</v>
      </c>
      <c r="L62" s="64">
        <v>5.0999999999999996</v>
      </c>
      <c r="M62" s="64">
        <v>5.0999999999999996</v>
      </c>
      <c r="N62" s="64">
        <v>5.0999999999999996</v>
      </c>
      <c r="O62" s="64">
        <v>5.0999999999999996</v>
      </c>
      <c r="P62" s="64">
        <v>5.0999999999999996</v>
      </c>
      <c r="Q62" s="64">
        <v>5.0999999999999996</v>
      </c>
      <c r="R62" s="64">
        <v>5.0999999999999996</v>
      </c>
      <c r="S62" s="64">
        <v>5.0999999999999996</v>
      </c>
      <c r="T62" s="64">
        <v>5.0999999999999996</v>
      </c>
      <c r="U62" s="64">
        <v>5.0999999999999996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54">
        <v>15</v>
      </c>
      <c r="AH62" s="47">
        <f t="shared" si="2"/>
        <v>5.0999999999999996</v>
      </c>
      <c r="AI62" s="48">
        <f t="shared" si="3"/>
        <v>0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11.1</v>
      </c>
      <c r="C63" s="64">
        <v>11.1</v>
      </c>
      <c r="D63" s="64">
        <v>11.1</v>
      </c>
      <c r="E63" s="64">
        <v>11.1</v>
      </c>
      <c r="F63" s="64">
        <v>11.1</v>
      </c>
      <c r="G63" s="64">
        <v>11.1</v>
      </c>
      <c r="H63" s="64">
        <v>11.1</v>
      </c>
      <c r="I63" s="64">
        <v>11.1</v>
      </c>
      <c r="J63" s="64">
        <v>11.1</v>
      </c>
      <c r="K63" s="64">
        <v>11.1</v>
      </c>
      <c r="L63" s="64">
        <v>11.1</v>
      </c>
      <c r="M63" s="64">
        <v>11.1</v>
      </c>
      <c r="N63" s="64">
        <v>11.1</v>
      </c>
      <c r="O63" s="64">
        <v>11.1</v>
      </c>
      <c r="P63" s="64">
        <v>11.1</v>
      </c>
      <c r="Q63" s="64">
        <v>11.1</v>
      </c>
      <c r="R63" s="64">
        <v>11.1</v>
      </c>
      <c r="S63" s="64">
        <v>11.1</v>
      </c>
      <c r="T63" s="64">
        <v>11.1</v>
      </c>
      <c r="U63" s="64">
        <v>11.1</v>
      </c>
      <c r="V63" s="64">
        <v>11.1</v>
      </c>
      <c r="W63" s="64">
        <v>10</v>
      </c>
      <c r="X63" s="64">
        <v>10</v>
      </c>
      <c r="Y63" s="64">
        <v>10</v>
      </c>
      <c r="Z63" s="64">
        <v>10</v>
      </c>
      <c r="AA63" s="64">
        <v>10</v>
      </c>
      <c r="AB63" s="64">
        <v>10</v>
      </c>
      <c r="AC63" s="64">
        <v>10</v>
      </c>
      <c r="AD63" s="64">
        <v>10</v>
      </c>
      <c r="AE63" s="64">
        <v>10</v>
      </c>
      <c r="AF63" s="64">
        <v>10</v>
      </c>
      <c r="AG63" s="54">
        <v>14.1</v>
      </c>
      <c r="AH63" s="47">
        <f t="shared" si="2"/>
        <v>11.1</v>
      </c>
      <c r="AI63" s="48">
        <f t="shared" si="3"/>
        <v>10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3.5</v>
      </c>
      <c r="C64" s="64">
        <v>3.5</v>
      </c>
      <c r="D64" s="64">
        <v>3.5</v>
      </c>
      <c r="E64" s="64">
        <v>3.5</v>
      </c>
      <c r="F64" s="64">
        <v>3.5</v>
      </c>
      <c r="G64" s="64">
        <v>3.5</v>
      </c>
      <c r="H64" s="64">
        <v>3.5</v>
      </c>
      <c r="I64" s="64">
        <v>3.5</v>
      </c>
      <c r="J64" s="64">
        <v>3.5</v>
      </c>
      <c r="K64" s="64">
        <v>3.5</v>
      </c>
      <c r="L64" s="64">
        <v>3.5</v>
      </c>
      <c r="M64" s="64">
        <v>3.5</v>
      </c>
      <c r="N64" s="64">
        <v>3.5</v>
      </c>
      <c r="O64" s="64">
        <v>3.5</v>
      </c>
      <c r="P64" s="64">
        <v>3.5</v>
      </c>
      <c r="Q64" s="64">
        <v>3.5</v>
      </c>
      <c r="R64" s="64">
        <v>3.5</v>
      </c>
      <c r="S64" s="64">
        <v>3.5</v>
      </c>
      <c r="T64" s="64">
        <v>3.5</v>
      </c>
      <c r="U64" s="64">
        <v>3.5</v>
      </c>
      <c r="V64" s="64">
        <v>3.5</v>
      </c>
      <c r="W64" s="64">
        <v>2.7</v>
      </c>
      <c r="X64" s="64">
        <v>2.7</v>
      </c>
      <c r="Y64" s="64">
        <v>1.9</v>
      </c>
      <c r="Z64" s="64">
        <v>1.9</v>
      </c>
      <c r="AA64" s="64">
        <v>6.8</v>
      </c>
      <c r="AB64" s="64">
        <v>6.8</v>
      </c>
      <c r="AC64" s="64">
        <v>6.8</v>
      </c>
      <c r="AD64" s="64">
        <v>6.8</v>
      </c>
      <c r="AE64" s="64">
        <v>6.8</v>
      </c>
      <c r="AF64" s="64">
        <v>6.8</v>
      </c>
      <c r="AG64" s="54">
        <v>14</v>
      </c>
      <c r="AH64" s="47">
        <f t="shared" si="2"/>
        <v>6.8</v>
      </c>
      <c r="AI64" s="48">
        <f t="shared" si="3"/>
        <v>1.9</v>
      </c>
      <c r="AK64" s="50"/>
    </row>
    <row r="65" spans="1:40" x14ac:dyDescent="0.25">
      <c r="A65" s="53" t="s">
        <v>73</v>
      </c>
      <c r="B65" s="64">
        <v>8.9</v>
      </c>
      <c r="C65" s="64">
        <v>8.9</v>
      </c>
      <c r="D65" s="64">
        <v>8.9</v>
      </c>
      <c r="E65" s="64">
        <v>8.9</v>
      </c>
      <c r="F65" s="64">
        <v>8.9</v>
      </c>
      <c r="G65" s="64">
        <v>8.9</v>
      </c>
      <c r="H65" s="64">
        <v>8.9</v>
      </c>
      <c r="I65" s="64">
        <v>8.9</v>
      </c>
      <c r="J65" s="64">
        <v>8.9</v>
      </c>
      <c r="K65" s="64">
        <v>8.9</v>
      </c>
      <c r="L65" s="64">
        <v>8.9</v>
      </c>
      <c r="M65" s="64">
        <v>8.9</v>
      </c>
      <c r="N65" s="64">
        <v>8.9</v>
      </c>
      <c r="O65" s="64">
        <v>8.9</v>
      </c>
      <c r="P65" s="64">
        <v>8.9</v>
      </c>
      <c r="Q65" s="64">
        <v>8.9</v>
      </c>
      <c r="R65" s="64">
        <v>8.9</v>
      </c>
      <c r="S65" s="64">
        <v>8.9</v>
      </c>
      <c r="T65" s="64">
        <v>8.9</v>
      </c>
      <c r="U65" s="64">
        <v>8.9</v>
      </c>
      <c r="V65" s="64">
        <v>8.9</v>
      </c>
      <c r="W65" s="64">
        <v>8.9</v>
      </c>
      <c r="X65" s="64">
        <v>8.9</v>
      </c>
      <c r="Y65" s="64">
        <v>8.9</v>
      </c>
      <c r="Z65" s="64">
        <v>8.9</v>
      </c>
      <c r="AA65" s="64">
        <v>8.9</v>
      </c>
      <c r="AB65" s="64">
        <v>8.9</v>
      </c>
      <c r="AC65" s="64">
        <v>8.9</v>
      </c>
      <c r="AD65" s="64">
        <v>8.9</v>
      </c>
      <c r="AE65" s="64">
        <v>8.9</v>
      </c>
      <c r="AF65" s="64">
        <v>8.9</v>
      </c>
      <c r="AG65" s="54">
        <v>10.050000000000001</v>
      </c>
      <c r="AH65" s="47">
        <f t="shared" si="2"/>
        <v>8.9</v>
      </c>
      <c r="AI65" s="48">
        <f t="shared" si="3"/>
        <v>8.9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9">SUM(B55:B67)</f>
        <v>382.84000000000003</v>
      </c>
      <c r="C68" s="60">
        <f t="shared" si="9"/>
        <v>306.34000000000003</v>
      </c>
      <c r="D68" s="60">
        <f t="shared" si="9"/>
        <v>306.34000000000003</v>
      </c>
      <c r="E68" s="60">
        <f t="shared" si="9"/>
        <v>191.33999999999997</v>
      </c>
      <c r="F68" s="60">
        <f t="shared" si="9"/>
        <v>266.33999999999997</v>
      </c>
      <c r="G68" s="60">
        <f t="shared" si="9"/>
        <v>266.33999999999997</v>
      </c>
      <c r="H68" s="60">
        <f t="shared" si="9"/>
        <v>281.33999999999997</v>
      </c>
      <c r="I68" s="60">
        <f t="shared" si="9"/>
        <v>281.33999999999997</v>
      </c>
      <c r="J68" s="60">
        <f t="shared" si="9"/>
        <v>286.33999999999997</v>
      </c>
      <c r="K68" s="60">
        <f t="shared" si="9"/>
        <v>286.33999999999997</v>
      </c>
      <c r="L68" s="60">
        <f t="shared" si="9"/>
        <v>296.34000000000003</v>
      </c>
      <c r="M68" s="60">
        <f t="shared" si="9"/>
        <v>375.84000000000003</v>
      </c>
      <c r="N68" s="60">
        <f t="shared" ref="N68:Q68" si="10">SUM(N55:N67)</f>
        <v>405.84000000000003</v>
      </c>
      <c r="O68" s="60">
        <f t="shared" si="10"/>
        <v>405.84000000000003</v>
      </c>
      <c r="P68" s="60">
        <f t="shared" si="10"/>
        <v>405.84000000000003</v>
      </c>
      <c r="Q68" s="60">
        <f t="shared" si="10"/>
        <v>405.84000000000003</v>
      </c>
      <c r="R68" s="60">
        <f t="shared" si="9"/>
        <v>405.84000000000003</v>
      </c>
      <c r="S68" s="60">
        <f t="shared" si="9"/>
        <v>415.84000000000003</v>
      </c>
      <c r="T68" s="60">
        <f t="shared" si="9"/>
        <v>413.84000000000003</v>
      </c>
      <c r="U68" s="60">
        <f t="shared" si="9"/>
        <v>411.84000000000003</v>
      </c>
      <c r="V68" s="60">
        <f t="shared" si="9"/>
        <v>404.74</v>
      </c>
      <c r="W68" s="60">
        <f t="shared" si="9"/>
        <v>400.94</v>
      </c>
      <c r="X68" s="60">
        <f t="shared" si="9"/>
        <v>400.23999999999995</v>
      </c>
      <c r="Y68" s="60">
        <f t="shared" si="9"/>
        <v>399.03999999999996</v>
      </c>
      <c r="Z68" s="60">
        <f t="shared" si="9"/>
        <v>399.03999999999996</v>
      </c>
      <c r="AA68" s="60">
        <f t="shared" si="9"/>
        <v>409.24</v>
      </c>
      <c r="AB68" s="60">
        <f t="shared" si="9"/>
        <v>409.24</v>
      </c>
      <c r="AC68" s="60">
        <f t="shared" si="9"/>
        <v>409.24</v>
      </c>
      <c r="AD68" s="60">
        <f t="shared" si="9"/>
        <v>409.24</v>
      </c>
      <c r="AE68" s="60">
        <f t="shared" si="9"/>
        <v>354.44</v>
      </c>
      <c r="AF68" s="60">
        <f t="shared" si="9"/>
        <v>344.44</v>
      </c>
      <c r="AG68" s="61">
        <f t="shared" si="9"/>
        <v>489.91</v>
      </c>
      <c r="AH68" s="47">
        <f t="shared" si="2"/>
        <v>415.84000000000003</v>
      </c>
      <c r="AI68" s="48">
        <f t="shared" si="3"/>
        <v>191.33999999999997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1">M69+M70+M71</f>
        <v>0</v>
      </c>
      <c r="N72" s="60">
        <f t="shared" ref="N72:Q72" si="12">N69+N70+N71</f>
        <v>0</v>
      </c>
      <c r="O72" s="60">
        <f t="shared" si="12"/>
        <v>0</v>
      </c>
      <c r="P72" s="60">
        <f t="shared" si="12"/>
        <v>0</v>
      </c>
      <c r="Q72" s="60">
        <f t="shared" si="12"/>
        <v>0</v>
      </c>
      <c r="R72" s="60">
        <f t="shared" si="11"/>
        <v>0</v>
      </c>
      <c r="S72" s="60">
        <f t="shared" si="11"/>
        <v>0</v>
      </c>
      <c r="T72" s="60">
        <f t="shared" si="11"/>
        <v>0</v>
      </c>
      <c r="U72" s="60">
        <f t="shared" si="11"/>
        <v>0</v>
      </c>
      <c r="V72" s="60">
        <f t="shared" si="11"/>
        <v>0</v>
      </c>
      <c r="W72" s="60">
        <f t="shared" si="11"/>
        <v>0</v>
      </c>
      <c r="X72" s="60">
        <f t="shared" si="11"/>
        <v>0</v>
      </c>
      <c r="Y72" s="60">
        <f t="shared" si="11"/>
        <v>0</v>
      </c>
      <c r="Z72" s="60">
        <f t="shared" si="11"/>
        <v>0</v>
      </c>
      <c r="AA72" s="60">
        <f t="shared" si="11"/>
        <v>0</v>
      </c>
      <c r="AB72" s="60">
        <f t="shared" si="11"/>
        <v>0</v>
      </c>
      <c r="AC72" s="60">
        <f t="shared" si="11"/>
        <v>0</v>
      </c>
      <c r="AD72" s="60">
        <f t="shared" si="11"/>
        <v>0</v>
      </c>
      <c r="AE72" s="60">
        <f t="shared" si="11"/>
        <v>0</v>
      </c>
      <c r="AF72" s="60">
        <f t="shared" si="11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-29</v>
      </c>
      <c r="C73" s="45">
        <v>-32</v>
      </c>
      <c r="D73" s="45">
        <v>-45</v>
      </c>
      <c r="E73" s="45">
        <v>-45</v>
      </c>
      <c r="F73" s="45">
        <v>-45</v>
      </c>
      <c r="G73" s="45">
        <v>-45</v>
      </c>
      <c r="H73" s="45">
        <v>-45</v>
      </c>
      <c r="I73" s="45">
        <v>-45</v>
      </c>
      <c r="J73" s="45">
        <v>-52</v>
      </c>
      <c r="K73" s="45">
        <v>-52</v>
      </c>
      <c r="L73" s="45">
        <v>-57</v>
      </c>
      <c r="M73" s="45">
        <v>-50</v>
      </c>
      <c r="N73" s="45">
        <v>-10</v>
      </c>
      <c r="O73" s="45">
        <v>-10</v>
      </c>
      <c r="P73" s="45">
        <v>-10</v>
      </c>
      <c r="Q73" s="45">
        <v>-10</v>
      </c>
      <c r="R73" s="45">
        <v>-10</v>
      </c>
      <c r="S73" s="45">
        <v>-31</v>
      </c>
      <c r="T73" s="45">
        <v>-43.4</v>
      </c>
      <c r="U73" s="45">
        <v>-17</v>
      </c>
      <c r="V73" s="45">
        <v>-6.7</v>
      </c>
      <c r="W73" s="45">
        <v>-10.4</v>
      </c>
      <c r="X73" s="45">
        <v>-16.600000000000001</v>
      </c>
      <c r="Y73" s="45">
        <v>-18.399999999999999</v>
      </c>
      <c r="Z73" s="45">
        <v>11.6</v>
      </c>
      <c r="AA73" s="45">
        <v>-4.9000000000000004</v>
      </c>
      <c r="AB73" s="45">
        <v>-5</v>
      </c>
      <c r="AC73" s="45">
        <v>-10</v>
      </c>
      <c r="AD73" s="45">
        <v>-30</v>
      </c>
      <c r="AE73" s="45">
        <v>-24</v>
      </c>
      <c r="AF73" s="45">
        <v>-30</v>
      </c>
      <c r="AG73" s="51"/>
      <c r="AH73" s="47">
        <f t="shared" si="2"/>
        <v>11.6</v>
      </c>
      <c r="AI73" s="48">
        <f t="shared" si="3"/>
        <v>-57</v>
      </c>
      <c r="AK73" s="50"/>
    </row>
    <row r="74" spans="1:40" x14ac:dyDescent="0.25">
      <c r="A74" s="53" t="s">
        <v>82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-400</v>
      </c>
      <c r="C75" s="64">
        <v>-420</v>
      </c>
      <c r="D75" s="64">
        <v>-440</v>
      </c>
      <c r="E75" s="64">
        <v>-401</v>
      </c>
      <c r="F75" s="64">
        <v>-448</v>
      </c>
      <c r="G75" s="64">
        <v>-450</v>
      </c>
      <c r="H75" s="64">
        <v>-448</v>
      </c>
      <c r="I75" s="64">
        <v>-440</v>
      </c>
      <c r="J75" s="64">
        <v>-464</v>
      </c>
      <c r="K75" s="64">
        <v>-451</v>
      </c>
      <c r="L75" s="64">
        <v>-437</v>
      </c>
      <c r="M75" s="64">
        <v>-448</v>
      </c>
      <c r="N75" s="64">
        <v>-460</v>
      </c>
      <c r="O75" s="64">
        <v>-476</v>
      </c>
      <c r="P75" s="64">
        <v>-428</v>
      </c>
      <c r="Q75" s="64">
        <v>-498</v>
      </c>
      <c r="R75" s="64">
        <v>-498</v>
      </c>
      <c r="S75" s="64">
        <v>-420</v>
      </c>
      <c r="T75" s="64">
        <v>-439</v>
      </c>
      <c r="U75" s="64">
        <v>-438</v>
      </c>
      <c r="V75" s="64">
        <v>-458</v>
      </c>
      <c r="W75" s="64">
        <v>-455</v>
      </c>
      <c r="X75" s="64">
        <v>-447</v>
      </c>
      <c r="Y75" s="64">
        <v>-416</v>
      </c>
      <c r="Z75" s="64">
        <v>-407</v>
      </c>
      <c r="AA75" s="64">
        <v>-366</v>
      </c>
      <c r="AB75" s="64">
        <v>-358</v>
      </c>
      <c r="AC75" s="64">
        <v>-334</v>
      </c>
      <c r="AD75" s="64">
        <v>-360</v>
      </c>
      <c r="AE75" s="64">
        <v>-400</v>
      </c>
      <c r="AF75" s="64">
        <v>-373</v>
      </c>
      <c r="AG75" s="74"/>
      <c r="AH75" s="47">
        <f t="shared" si="2"/>
        <v>-334</v>
      </c>
      <c r="AI75" s="48">
        <f t="shared" si="3"/>
        <v>-498</v>
      </c>
      <c r="AK75" s="50"/>
    </row>
    <row r="76" spans="1:40" x14ac:dyDescent="0.25">
      <c r="A76" s="53" t="s">
        <v>84</v>
      </c>
      <c r="B76" s="64"/>
      <c r="C76" s="64"/>
      <c r="D76" s="64"/>
      <c r="E76" s="64"/>
      <c r="F76" s="64"/>
      <c r="G76" s="64"/>
      <c r="H76" s="64"/>
      <c r="I76" s="64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64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45"/>
      <c r="D77" s="64"/>
      <c r="E77" s="64"/>
      <c r="F77" s="64"/>
      <c r="G77" s="64"/>
      <c r="H77" s="64"/>
      <c r="I77" s="64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4"/>
      <c r="AH77" s="47">
        <f t="shared" ref="AH77:AH120" si="13">MAX(B77:AF77)</f>
        <v>0</v>
      </c>
      <c r="AI77" s="48">
        <f t="shared" ref="AI77:AI120" si="14">MIN(B77:AF77)</f>
        <v>0</v>
      </c>
      <c r="AK77" s="50"/>
    </row>
    <row r="78" spans="1:40" x14ac:dyDescent="0.25">
      <c r="A78" s="53" t="s">
        <v>86</v>
      </c>
      <c r="B78" s="45"/>
      <c r="C78" s="76"/>
      <c r="D78" s="64"/>
      <c r="E78" s="64"/>
      <c r="F78" s="64"/>
      <c r="G78" s="64"/>
      <c r="H78" s="64"/>
      <c r="I78" s="64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4"/>
      <c r="AH78" s="47">
        <f t="shared" si="13"/>
        <v>0</v>
      </c>
      <c r="AI78" s="48">
        <f t="shared" si="14"/>
        <v>0</v>
      </c>
      <c r="AK78" s="50"/>
    </row>
    <row r="79" spans="1:40" ht="15.75" thickBot="1" x14ac:dyDescent="0.3">
      <c r="A79" s="53" t="s">
        <v>87</v>
      </c>
      <c r="B79" s="45"/>
      <c r="C79" s="76"/>
      <c r="D79" s="64"/>
      <c r="E79" s="64"/>
      <c r="F79" s="64"/>
      <c r="G79" s="64"/>
      <c r="H79" s="64"/>
      <c r="I79" s="64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4"/>
      <c r="AH79" s="47">
        <f t="shared" si="13"/>
        <v>0</v>
      </c>
      <c r="AI79" s="48">
        <f t="shared" si="14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/>
      <c r="C80" s="76"/>
      <c r="D80" s="64"/>
      <c r="E80" s="64"/>
      <c r="F80" s="64"/>
      <c r="G80" s="64"/>
      <c r="H80" s="64"/>
      <c r="I80" s="64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4"/>
      <c r="AH80" s="47">
        <f t="shared" si="13"/>
        <v>0</v>
      </c>
      <c r="AI80" s="48">
        <f t="shared" si="14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/>
      <c r="C81" s="76"/>
      <c r="D81" s="64"/>
      <c r="E81" s="64"/>
      <c r="F81" s="64"/>
      <c r="G81" s="64"/>
      <c r="H81" s="64"/>
      <c r="I81" s="64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4"/>
      <c r="AH81" s="47">
        <f t="shared" si="13"/>
        <v>0</v>
      </c>
      <c r="AI81" s="48">
        <f t="shared" si="14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/>
      <c r="C82" s="76"/>
      <c r="D82" s="64"/>
      <c r="E82" s="64"/>
      <c r="F82" s="64"/>
      <c r="G82" s="64"/>
      <c r="H82" s="64"/>
      <c r="I82" s="64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84"/>
      <c r="AH82" s="47">
        <f t="shared" si="13"/>
        <v>0</v>
      </c>
      <c r="AI82" s="48">
        <f t="shared" si="14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/>
      <c r="C83" s="76"/>
      <c r="D83" s="64"/>
      <c r="E83" s="64"/>
      <c r="F83" s="64"/>
      <c r="G83" s="64"/>
      <c r="H83" s="64"/>
      <c r="I83" s="64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4"/>
      <c r="AH83" s="47">
        <f t="shared" si="13"/>
        <v>0</v>
      </c>
      <c r="AI83" s="48">
        <f t="shared" si="14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15">SUMIF(B73:B83,"&gt;0")</f>
        <v>0</v>
      </c>
      <c r="C84" s="60">
        <f t="shared" si="15"/>
        <v>0</v>
      </c>
      <c r="D84" s="60">
        <f t="shared" si="15"/>
        <v>0</v>
      </c>
      <c r="E84" s="60">
        <f t="shared" si="15"/>
        <v>0</v>
      </c>
      <c r="F84" s="60">
        <f t="shared" si="15"/>
        <v>0</v>
      </c>
      <c r="G84" s="60">
        <f t="shared" si="15"/>
        <v>0</v>
      </c>
      <c r="H84" s="60">
        <f t="shared" si="15"/>
        <v>0</v>
      </c>
      <c r="I84" s="60">
        <f t="shared" si="15"/>
        <v>0</v>
      </c>
      <c r="J84" s="60">
        <f t="shared" si="15"/>
        <v>0</v>
      </c>
      <c r="K84" s="60">
        <f t="shared" si="15"/>
        <v>0</v>
      </c>
      <c r="L84" s="60">
        <f t="shared" si="15"/>
        <v>0</v>
      </c>
      <c r="M84" s="60">
        <f t="shared" si="15"/>
        <v>0</v>
      </c>
      <c r="N84" s="60">
        <f t="shared" ref="N84:Q84" si="16">SUMIF(N73:N83,"&gt;0")</f>
        <v>0</v>
      </c>
      <c r="O84" s="60">
        <f t="shared" si="16"/>
        <v>0</v>
      </c>
      <c r="P84" s="60">
        <f t="shared" si="16"/>
        <v>0</v>
      </c>
      <c r="Q84" s="60">
        <f t="shared" si="16"/>
        <v>0</v>
      </c>
      <c r="R84" s="60">
        <f t="shared" si="15"/>
        <v>0</v>
      </c>
      <c r="S84" s="60">
        <f t="shared" si="15"/>
        <v>0</v>
      </c>
      <c r="T84" s="60">
        <f t="shared" si="15"/>
        <v>0</v>
      </c>
      <c r="U84" s="60">
        <f t="shared" si="15"/>
        <v>0</v>
      </c>
      <c r="V84" s="60">
        <f t="shared" si="15"/>
        <v>0</v>
      </c>
      <c r="W84" s="60">
        <f t="shared" si="15"/>
        <v>0</v>
      </c>
      <c r="X84" s="60">
        <f t="shared" si="15"/>
        <v>0</v>
      </c>
      <c r="Y84" s="60">
        <f t="shared" si="15"/>
        <v>0</v>
      </c>
      <c r="Z84" s="60">
        <f t="shared" si="15"/>
        <v>11.6</v>
      </c>
      <c r="AA84" s="60">
        <f t="shared" si="15"/>
        <v>0</v>
      </c>
      <c r="AB84" s="60">
        <f t="shared" si="15"/>
        <v>0</v>
      </c>
      <c r="AC84" s="60">
        <f t="shared" si="15"/>
        <v>0</v>
      </c>
      <c r="AD84" s="60">
        <f t="shared" si="15"/>
        <v>0</v>
      </c>
      <c r="AE84" s="60">
        <f t="shared" si="15"/>
        <v>0</v>
      </c>
      <c r="AF84" s="60">
        <f t="shared" si="15"/>
        <v>0</v>
      </c>
      <c r="AG84" s="87">
        <f>SUM(AG73:AG83)</f>
        <v>0</v>
      </c>
      <c r="AH84" s="47">
        <f t="shared" si="13"/>
        <v>11.6</v>
      </c>
      <c r="AI84" s="48">
        <f t="shared" si="14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3"/>
        <v>0</v>
      </c>
      <c r="AI85" s="48">
        <f t="shared" si="14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3"/>
        <v>0</v>
      </c>
      <c r="AI86" s="48">
        <f t="shared" si="14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3"/>
        <v>0</v>
      </c>
      <c r="AI87" s="48">
        <f t="shared" si="14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3"/>
        <v>0</v>
      </c>
      <c r="AI88" s="48">
        <f t="shared" si="14"/>
        <v>0</v>
      </c>
    </row>
    <row r="89" spans="1:40" ht="15.75" thickBot="1" x14ac:dyDescent="0.3">
      <c r="A89" s="73" t="s">
        <v>100</v>
      </c>
      <c r="B89" s="94">
        <f t="shared" ref="B89:AG89" si="17">B50+B54+B72+B68+B84+B88</f>
        <v>1878.94</v>
      </c>
      <c r="C89" s="94">
        <f t="shared" si="17"/>
        <v>1802.44</v>
      </c>
      <c r="D89" s="94">
        <f t="shared" si="17"/>
        <v>1794.44</v>
      </c>
      <c r="E89" s="94">
        <f t="shared" si="17"/>
        <v>1679.4399999999998</v>
      </c>
      <c r="F89" s="94">
        <f t="shared" si="17"/>
        <v>1754.4399999999998</v>
      </c>
      <c r="G89" s="94">
        <f t="shared" si="17"/>
        <v>1710.4399999999998</v>
      </c>
      <c r="H89" s="94">
        <f t="shared" si="17"/>
        <v>1725.4399999999998</v>
      </c>
      <c r="I89" s="94">
        <f t="shared" si="17"/>
        <v>1694.4399999999998</v>
      </c>
      <c r="J89" s="94">
        <f t="shared" si="17"/>
        <v>1764.4399999999998</v>
      </c>
      <c r="K89" s="94">
        <f t="shared" si="17"/>
        <v>1770.4399999999998</v>
      </c>
      <c r="L89" s="94">
        <f t="shared" si="17"/>
        <v>1782.44</v>
      </c>
      <c r="M89" s="94">
        <f t="shared" si="17"/>
        <v>1845.3400000000001</v>
      </c>
      <c r="N89" s="94">
        <f t="shared" ref="N89:Q89" si="18">N50+N54+N72+N68+N84+N88</f>
        <v>1875.3400000000001</v>
      </c>
      <c r="O89" s="94">
        <f t="shared" si="18"/>
        <v>1875.3400000000001</v>
      </c>
      <c r="P89" s="94">
        <f t="shared" si="18"/>
        <v>1875.3400000000001</v>
      </c>
      <c r="Q89" s="94">
        <f t="shared" si="18"/>
        <v>1886.54</v>
      </c>
      <c r="R89" s="94">
        <f t="shared" si="17"/>
        <v>1886.54</v>
      </c>
      <c r="S89" s="94">
        <f t="shared" si="17"/>
        <v>1876.54</v>
      </c>
      <c r="T89" s="94">
        <f t="shared" si="17"/>
        <v>1894.54</v>
      </c>
      <c r="U89" s="94">
        <f t="shared" si="17"/>
        <v>1887.54</v>
      </c>
      <c r="V89" s="94">
        <f t="shared" si="17"/>
        <v>1921.0400000000002</v>
      </c>
      <c r="W89" s="94">
        <f t="shared" si="17"/>
        <v>1907.64</v>
      </c>
      <c r="X89" s="94">
        <f t="shared" si="17"/>
        <v>1906.94</v>
      </c>
      <c r="Y89" s="94">
        <f t="shared" si="17"/>
        <v>1914.74</v>
      </c>
      <c r="Z89" s="94">
        <f t="shared" si="17"/>
        <v>1969.34</v>
      </c>
      <c r="AA89" s="94">
        <f t="shared" si="17"/>
        <v>1951.44</v>
      </c>
      <c r="AB89" s="94">
        <f t="shared" si="17"/>
        <v>1951.44</v>
      </c>
      <c r="AC89" s="94">
        <f t="shared" si="17"/>
        <v>1951.44</v>
      </c>
      <c r="AD89" s="94">
        <f t="shared" si="17"/>
        <v>1951.44</v>
      </c>
      <c r="AE89" s="94">
        <f t="shared" si="17"/>
        <v>1906.64</v>
      </c>
      <c r="AF89" s="94">
        <f t="shared" si="17"/>
        <v>1895.64</v>
      </c>
      <c r="AG89" s="61">
        <f t="shared" si="17"/>
        <v>2111.5500000000002</v>
      </c>
      <c r="AH89" s="47">
        <f t="shared" si="13"/>
        <v>1969.34</v>
      </c>
      <c r="AI89" s="48">
        <f t="shared" si="14"/>
        <v>1679.4399999999998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3"/>
        <v>0</v>
      </c>
      <c r="AI90" s="48">
        <f t="shared" si="14"/>
        <v>0</v>
      </c>
    </row>
    <row r="91" spans="1:40" ht="15.75" thickBot="1" x14ac:dyDescent="0.3">
      <c r="A91" s="73" t="s">
        <v>102</v>
      </c>
      <c r="B91" s="94">
        <f t="shared" ref="B91:AF91" si="19">B89+B90</f>
        <v>1878.94</v>
      </c>
      <c r="C91" s="94">
        <f t="shared" si="19"/>
        <v>1802.44</v>
      </c>
      <c r="D91" s="94">
        <f t="shared" si="19"/>
        <v>1794.44</v>
      </c>
      <c r="E91" s="94">
        <f t="shared" si="19"/>
        <v>1679.4399999999998</v>
      </c>
      <c r="F91" s="94">
        <f t="shared" si="19"/>
        <v>1754.4399999999998</v>
      </c>
      <c r="G91" s="94">
        <f t="shared" si="19"/>
        <v>1710.4399999999998</v>
      </c>
      <c r="H91" s="94">
        <f t="shared" si="19"/>
        <v>1725.4399999999998</v>
      </c>
      <c r="I91" s="94">
        <f t="shared" si="19"/>
        <v>1694.4399999999998</v>
      </c>
      <c r="J91" s="94">
        <f t="shared" si="19"/>
        <v>1764.4399999999998</v>
      </c>
      <c r="K91" s="94">
        <f t="shared" si="19"/>
        <v>1770.4399999999998</v>
      </c>
      <c r="L91" s="94">
        <f t="shared" si="19"/>
        <v>1782.44</v>
      </c>
      <c r="M91" s="94">
        <f t="shared" si="19"/>
        <v>1845.3400000000001</v>
      </c>
      <c r="N91" s="94">
        <f t="shared" ref="N91:Q91" si="20">N89+N90</f>
        <v>1875.3400000000001</v>
      </c>
      <c r="O91" s="94">
        <f t="shared" si="20"/>
        <v>1875.3400000000001</v>
      </c>
      <c r="P91" s="94">
        <f t="shared" si="20"/>
        <v>1875.3400000000001</v>
      </c>
      <c r="Q91" s="94">
        <f t="shared" si="20"/>
        <v>1886.54</v>
      </c>
      <c r="R91" s="94">
        <f t="shared" si="19"/>
        <v>1886.54</v>
      </c>
      <c r="S91" s="94">
        <f t="shared" si="19"/>
        <v>1876.54</v>
      </c>
      <c r="T91" s="94">
        <f t="shared" si="19"/>
        <v>1894.54</v>
      </c>
      <c r="U91" s="94">
        <f t="shared" si="19"/>
        <v>1887.54</v>
      </c>
      <c r="V91" s="94">
        <f t="shared" si="19"/>
        <v>1921.0400000000002</v>
      </c>
      <c r="W91" s="94">
        <f t="shared" si="19"/>
        <v>1907.64</v>
      </c>
      <c r="X91" s="94">
        <f t="shared" si="19"/>
        <v>1906.94</v>
      </c>
      <c r="Y91" s="94">
        <f t="shared" si="19"/>
        <v>1914.74</v>
      </c>
      <c r="Z91" s="94">
        <f t="shared" si="19"/>
        <v>1969.34</v>
      </c>
      <c r="AA91" s="94">
        <f t="shared" si="19"/>
        <v>1951.44</v>
      </c>
      <c r="AB91" s="94">
        <f t="shared" si="19"/>
        <v>1951.44</v>
      </c>
      <c r="AC91" s="94">
        <f t="shared" si="19"/>
        <v>1951.44</v>
      </c>
      <c r="AD91" s="94">
        <f t="shared" si="19"/>
        <v>1951.44</v>
      </c>
      <c r="AE91" s="94">
        <f t="shared" si="19"/>
        <v>1906.64</v>
      </c>
      <c r="AF91" s="94">
        <f t="shared" si="19"/>
        <v>1895.64</v>
      </c>
      <c r="AG91" s="87">
        <f>AG88+AG84+AG72+AG68+AG50+AG90</f>
        <v>1573.45</v>
      </c>
      <c r="AH91" s="47">
        <f t="shared" si="13"/>
        <v>1969.34</v>
      </c>
      <c r="AI91" s="48">
        <f t="shared" si="14"/>
        <v>1679.4399999999998</v>
      </c>
    </row>
    <row r="92" spans="1:40" ht="15.75" thickBot="1" x14ac:dyDescent="0.3">
      <c r="A92" s="73" t="s">
        <v>103</v>
      </c>
      <c r="B92" s="94">
        <f t="shared" ref="B92:AF92" si="21">B91-B99</f>
        <v>1478.94</v>
      </c>
      <c r="C92" s="94">
        <f t="shared" si="21"/>
        <v>1382.44</v>
      </c>
      <c r="D92" s="94">
        <f t="shared" si="21"/>
        <v>1354.44</v>
      </c>
      <c r="E92" s="94">
        <f t="shared" si="21"/>
        <v>1278.4399999999998</v>
      </c>
      <c r="F92" s="94">
        <f t="shared" si="21"/>
        <v>1306.4399999999998</v>
      </c>
      <c r="G92" s="94">
        <f t="shared" si="21"/>
        <v>1260.4399999999998</v>
      </c>
      <c r="H92" s="94">
        <f t="shared" si="21"/>
        <v>1277.4399999999998</v>
      </c>
      <c r="I92" s="94">
        <f t="shared" si="21"/>
        <v>1254.4399999999998</v>
      </c>
      <c r="J92" s="94">
        <f t="shared" si="21"/>
        <v>1300.4399999999998</v>
      </c>
      <c r="K92" s="94">
        <f t="shared" si="21"/>
        <v>1319.4399999999998</v>
      </c>
      <c r="L92" s="94">
        <f t="shared" si="21"/>
        <v>1345.44</v>
      </c>
      <c r="M92" s="94">
        <f t="shared" si="21"/>
        <v>1397.3400000000001</v>
      </c>
      <c r="N92" s="94">
        <f t="shared" ref="N92:Q92" si="22">N91-N99</f>
        <v>1415.3400000000001</v>
      </c>
      <c r="O92" s="94">
        <f t="shared" si="22"/>
        <v>1399.3400000000001</v>
      </c>
      <c r="P92" s="94">
        <f t="shared" si="22"/>
        <v>1447.3400000000001</v>
      </c>
      <c r="Q92" s="94">
        <f t="shared" si="22"/>
        <v>1388.54</v>
      </c>
      <c r="R92" s="94">
        <f t="shared" si="21"/>
        <v>1388.54</v>
      </c>
      <c r="S92" s="94">
        <f t="shared" si="21"/>
        <v>1456.54</v>
      </c>
      <c r="T92" s="94">
        <f t="shared" si="21"/>
        <v>1455.54</v>
      </c>
      <c r="U92" s="94">
        <f t="shared" si="21"/>
        <v>1449.54</v>
      </c>
      <c r="V92" s="94">
        <f t="shared" si="21"/>
        <v>1463.0400000000002</v>
      </c>
      <c r="W92" s="94">
        <f t="shared" si="21"/>
        <v>1452.64</v>
      </c>
      <c r="X92" s="94">
        <f t="shared" si="21"/>
        <v>1459.94</v>
      </c>
      <c r="Y92" s="94">
        <f t="shared" si="21"/>
        <v>1498.74</v>
      </c>
      <c r="Z92" s="94">
        <f t="shared" si="21"/>
        <v>1562.34</v>
      </c>
      <c r="AA92" s="94">
        <f t="shared" si="21"/>
        <v>1585.44</v>
      </c>
      <c r="AB92" s="94">
        <f t="shared" si="21"/>
        <v>1593.44</v>
      </c>
      <c r="AC92" s="94">
        <f t="shared" si="21"/>
        <v>1617.44</v>
      </c>
      <c r="AD92" s="94">
        <f t="shared" si="21"/>
        <v>1591.44</v>
      </c>
      <c r="AE92" s="94">
        <f t="shared" si="21"/>
        <v>1506.64</v>
      </c>
      <c r="AF92" s="94">
        <f t="shared" si="21"/>
        <v>1522.64</v>
      </c>
      <c r="AG92" s="87"/>
      <c r="AH92" s="47">
        <f t="shared" si="13"/>
        <v>1617.44</v>
      </c>
      <c r="AI92" s="48">
        <f t="shared" si="14"/>
        <v>1254.4399999999998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3"/>
        <v>0</v>
      </c>
      <c r="AI93" s="48">
        <f t="shared" si="14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3"/>
        <v>0</v>
      </c>
      <c r="AI94" s="48">
        <f t="shared" si="14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3"/>
        <v>0</v>
      </c>
      <c r="AI95" s="48">
        <f t="shared" si="14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3"/>
        <v>0</v>
      </c>
      <c r="AI96" s="48">
        <f t="shared" si="14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3"/>
        <v>0</v>
      </c>
      <c r="AI97" s="48">
        <f t="shared" si="14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3"/>
        <v>0</v>
      </c>
      <c r="AI98" s="48">
        <f t="shared" si="14"/>
        <v>0</v>
      </c>
    </row>
    <row r="99" spans="1:37" ht="15.75" thickBot="1" x14ac:dyDescent="0.3">
      <c r="A99" s="98" t="s">
        <v>107</v>
      </c>
      <c r="B99" s="60">
        <f>-B75</f>
        <v>400</v>
      </c>
      <c r="C99" s="60">
        <f t="shared" ref="C99:AF99" si="23">-C75</f>
        <v>420</v>
      </c>
      <c r="D99" s="60">
        <f t="shared" si="23"/>
        <v>440</v>
      </c>
      <c r="E99" s="60">
        <f t="shared" si="23"/>
        <v>401</v>
      </c>
      <c r="F99" s="60">
        <f t="shared" si="23"/>
        <v>448</v>
      </c>
      <c r="G99" s="60">
        <f t="shared" si="23"/>
        <v>450</v>
      </c>
      <c r="H99" s="60">
        <f t="shared" si="23"/>
        <v>448</v>
      </c>
      <c r="I99" s="60">
        <f t="shared" si="23"/>
        <v>440</v>
      </c>
      <c r="J99" s="60">
        <f t="shared" si="23"/>
        <v>464</v>
      </c>
      <c r="K99" s="60">
        <f t="shared" si="23"/>
        <v>451</v>
      </c>
      <c r="L99" s="60">
        <f t="shared" si="23"/>
        <v>437</v>
      </c>
      <c r="M99" s="60">
        <f t="shared" si="23"/>
        <v>448</v>
      </c>
      <c r="N99" s="60">
        <f t="shared" ref="N99:Q99" si="24">-N75</f>
        <v>460</v>
      </c>
      <c r="O99" s="60">
        <f t="shared" si="24"/>
        <v>476</v>
      </c>
      <c r="P99" s="60">
        <f t="shared" si="24"/>
        <v>428</v>
      </c>
      <c r="Q99" s="60">
        <f t="shared" si="24"/>
        <v>498</v>
      </c>
      <c r="R99" s="60">
        <f t="shared" si="23"/>
        <v>498</v>
      </c>
      <c r="S99" s="60">
        <f t="shared" si="23"/>
        <v>420</v>
      </c>
      <c r="T99" s="60">
        <f t="shared" si="23"/>
        <v>439</v>
      </c>
      <c r="U99" s="60">
        <f t="shared" si="23"/>
        <v>438</v>
      </c>
      <c r="V99" s="60">
        <f t="shared" si="23"/>
        <v>458</v>
      </c>
      <c r="W99" s="60">
        <f t="shared" si="23"/>
        <v>455</v>
      </c>
      <c r="X99" s="60">
        <f t="shared" si="23"/>
        <v>447</v>
      </c>
      <c r="Y99" s="60">
        <f t="shared" si="23"/>
        <v>416</v>
      </c>
      <c r="Z99" s="60">
        <f t="shared" si="23"/>
        <v>407</v>
      </c>
      <c r="AA99" s="60">
        <f t="shared" si="23"/>
        <v>366</v>
      </c>
      <c r="AB99" s="60">
        <f t="shared" si="23"/>
        <v>358</v>
      </c>
      <c r="AC99" s="60">
        <f t="shared" si="23"/>
        <v>334</v>
      </c>
      <c r="AD99" s="60">
        <f t="shared" si="23"/>
        <v>360</v>
      </c>
      <c r="AE99" s="60">
        <f t="shared" si="23"/>
        <v>400</v>
      </c>
      <c r="AF99" s="60">
        <f t="shared" si="23"/>
        <v>373</v>
      </c>
      <c r="AG99" s="87"/>
      <c r="AH99" s="47">
        <f t="shared" si="13"/>
        <v>498</v>
      </c>
      <c r="AI99" s="48">
        <f t="shared" si="14"/>
        <v>334</v>
      </c>
      <c r="AK99" s="50"/>
    </row>
    <row r="100" spans="1:37" ht="15.75" thickBot="1" x14ac:dyDescent="0.3">
      <c r="A100" s="73" t="s">
        <v>108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87"/>
      <c r="AH100" s="47">
        <f t="shared" si="13"/>
        <v>0</v>
      </c>
      <c r="AI100" s="48">
        <f t="shared" si="14"/>
        <v>0</v>
      </c>
    </row>
    <row r="101" spans="1:37" x14ac:dyDescent="0.25">
      <c r="A101" s="99" t="s">
        <v>109</v>
      </c>
      <c r="B101" s="100">
        <v>50.05</v>
      </c>
      <c r="C101" s="100">
        <v>49.97</v>
      </c>
      <c r="D101" s="100">
        <v>49.97</v>
      </c>
      <c r="E101" s="100">
        <v>50</v>
      </c>
      <c r="F101" s="100">
        <v>49.97</v>
      </c>
      <c r="G101" s="100">
        <v>49.93</v>
      </c>
      <c r="H101" s="100">
        <v>49.92</v>
      </c>
      <c r="I101" s="100">
        <v>49.93</v>
      </c>
      <c r="J101" s="100">
        <v>50</v>
      </c>
      <c r="K101" s="100">
        <v>50.04</v>
      </c>
      <c r="L101" s="100">
        <v>50.04</v>
      </c>
      <c r="M101" s="100">
        <v>50.045999999999999</v>
      </c>
      <c r="N101" s="100">
        <v>50.045999999999999</v>
      </c>
      <c r="O101" s="100">
        <v>50.045999999999999</v>
      </c>
      <c r="P101" s="100">
        <v>50.045999999999999</v>
      </c>
      <c r="Q101" s="100">
        <v>49.973999999999997</v>
      </c>
      <c r="R101" s="100">
        <v>49.973999999999997</v>
      </c>
      <c r="S101" s="100">
        <v>49.973999999999997</v>
      </c>
      <c r="T101" s="100">
        <v>49.973999999999997</v>
      </c>
      <c r="U101" s="100">
        <v>49.994999999999997</v>
      </c>
      <c r="V101" s="100">
        <v>49.923000000000002</v>
      </c>
      <c r="W101" s="100">
        <v>50.012</v>
      </c>
      <c r="X101" s="100">
        <v>50.042999999999999</v>
      </c>
      <c r="Y101" s="100">
        <v>49.99</v>
      </c>
      <c r="Z101" s="100">
        <v>49.938000000000002</v>
      </c>
      <c r="AA101" s="100">
        <v>49.59</v>
      </c>
      <c r="AB101" s="100">
        <v>50.06</v>
      </c>
      <c r="AC101" s="100">
        <v>49.96</v>
      </c>
      <c r="AD101" s="100">
        <v>49.8</v>
      </c>
      <c r="AE101" s="100">
        <v>50</v>
      </c>
      <c r="AF101" s="100">
        <v>49.92</v>
      </c>
      <c r="AG101" s="101"/>
      <c r="AH101" s="47">
        <f t="shared" si="13"/>
        <v>50.06</v>
      </c>
      <c r="AI101" s="48">
        <f t="shared" si="14"/>
        <v>49.59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3"/>
        <v>0</v>
      </c>
      <c r="AI102" s="48">
        <f t="shared" si="14"/>
        <v>0</v>
      </c>
    </row>
    <row r="103" spans="1:37" x14ac:dyDescent="0.25">
      <c r="A103" s="102" t="s">
        <v>111</v>
      </c>
      <c r="B103" s="64">
        <v>130</v>
      </c>
      <c r="C103" s="64">
        <v>130</v>
      </c>
      <c r="D103" s="64">
        <v>130</v>
      </c>
      <c r="E103" s="64">
        <v>130</v>
      </c>
      <c r="F103" s="64">
        <v>130</v>
      </c>
      <c r="G103" s="64">
        <v>130.5</v>
      </c>
      <c r="H103" s="64">
        <v>130.1</v>
      </c>
      <c r="I103" s="64">
        <v>129.5</v>
      </c>
      <c r="J103" s="64">
        <v>129.9</v>
      </c>
      <c r="K103" s="64">
        <v>127.6</v>
      </c>
      <c r="L103" s="64">
        <v>127.7</v>
      </c>
      <c r="M103" s="64">
        <v>127</v>
      </c>
      <c r="N103" s="64">
        <v>127</v>
      </c>
      <c r="O103" s="64">
        <v>127</v>
      </c>
      <c r="P103" s="64">
        <v>127</v>
      </c>
      <c r="Q103" s="64">
        <v>127</v>
      </c>
      <c r="R103" s="64">
        <v>127</v>
      </c>
      <c r="S103" s="64">
        <v>127</v>
      </c>
      <c r="T103" s="64">
        <v>127</v>
      </c>
      <c r="U103" s="64">
        <v>126.2</v>
      </c>
      <c r="V103" s="64">
        <v>127.7</v>
      </c>
      <c r="W103" s="64">
        <v>128.4</v>
      </c>
      <c r="X103" s="64">
        <v>129.19999999999999</v>
      </c>
      <c r="Y103" s="64">
        <v>129.6</v>
      </c>
      <c r="Z103" s="64"/>
      <c r="AA103" s="64"/>
      <c r="AB103" s="64">
        <v>129.19999999999999</v>
      </c>
      <c r="AC103" s="64">
        <v>129.19999999999999</v>
      </c>
      <c r="AD103" s="64">
        <v>129.19999999999999</v>
      </c>
      <c r="AE103" s="64">
        <v>129.4</v>
      </c>
      <c r="AF103" s="64">
        <v>130</v>
      </c>
      <c r="AG103" s="103"/>
      <c r="AH103" s="47">
        <f t="shared" si="13"/>
        <v>130.5</v>
      </c>
      <c r="AI103" s="48">
        <f t="shared" si="14"/>
        <v>126.2</v>
      </c>
    </row>
    <row r="104" spans="1:37" x14ac:dyDescent="0.25">
      <c r="A104" s="102" t="s">
        <v>112</v>
      </c>
      <c r="B104" s="64">
        <v>130</v>
      </c>
      <c r="C104" s="64">
        <v>130</v>
      </c>
      <c r="D104" s="64">
        <v>130</v>
      </c>
      <c r="E104" s="64">
        <v>130</v>
      </c>
      <c r="F104" s="64">
        <v>130</v>
      </c>
      <c r="G104" s="64">
        <v>130</v>
      </c>
      <c r="H104" s="64">
        <v>130</v>
      </c>
      <c r="I104" s="64">
        <v>130.5</v>
      </c>
      <c r="J104" s="64">
        <v>130.9</v>
      </c>
      <c r="K104" s="64">
        <v>128</v>
      </c>
      <c r="L104" s="64">
        <v>127.9</v>
      </c>
      <c r="M104" s="64">
        <v>128</v>
      </c>
      <c r="N104" s="64">
        <v>128</v>
      </c>
      <c r="O104" s="64">
        <v>128</v>
      </c>
      <c r="P104" s="64">
        <v>128</v>
      </c>
      <c r="Q104" s="64">
        <v>128</v>
      </c>
      <c r="R104" s="64">
        <v>128</v>
      </c>
      <c r="S104" s="64">
        <v>128</v>
      </c>
      <c r="T104" s="64">
        <v>128</v>
      </c>
      <c r="U104" s="64">
        <v>127.4</v>
      </c>
      <c r="V104" s="64">
        <v>128.69999999999999</v>
      </c>
      <c r="W104" s="64">
        <v>126.3</v>
      </c>
      <c r="X104" s="64">
        <v>127.6</v>
      </c>
      <c r="Y104" s="64">
        <v>128</v>
      </c>
      <c r="Z104" s="64">
        <v>127.8</v>
      </c>
      <c r="AA104" s="64">
        <v>128.5</v>
      </c>
      <c r="AB104" s="64">
        <v>129.5</v>
      </c>
      <c r="AC104" s="64">
        <v>129.5</v>
      </c>
      <c r="AD104" s="64">
        <v>129.5</v>
      </c>
      <c r="AE104" s="64">
        <v>129.5</v>
      </c>
      <c r="AF104" s="64">
        <v>129</v>
      </c>
      <c r="AG104" s="103"/>
      <c r="AH104" s="47">
        <f t="shared" si="13"/>
        <v>130.9</v>
      </c>
      <c r="AI104" s="48">
        <f t="shared" si="14"/>
        <v>126.3</v>
      </c>
    </row>
    <row r="105" spans="1:37" x14ac:dyDescent="0.25">
      <c r="A105" s="104" t="s">
        <v>113</v>
      </c>
      <c r="B105" s="64">
        <v>133</v>
      </c>
      <c r="C105" s="64">
        <v>133</v>
      </c>
      <c r="D105" s="64">
        <v>13</v>
      </c>
      <c r="E105" s="64">
        <v>132</v>
      </c>
      <c r="F105" s="64">
        <v>132</v>
      </c>
      <c r="G105" s="64">
        <v>132.1</v>
      </c>
      <c r="H105" s="64">
        <v>131</v>
      </c>
      <c r="I105" s="64">
        <v>130.9</v>
      </c>
      <c r="J105" s="64">
        <v>132.19999999999999</v>
      </c>
      <c r="K105" s="64">
        <v>130</v>
      </c>
      <c r="L105" s="64">
        <v>128.19999999999999</v>
      </c>
      <c r="M105" s="64">
        <v>129</v>
      </c>
      <c r="N105" s="64">
        <v>129</v>
      </c>
      <c r="O105" s="64">
        <v>129</v>
      </c>
      <c r="P105" s="64">
        <v>129</v>
      </c>
      <c r="Q105" s="64">
        <v>129</v>
      </c>
      <c r="R105" s="64">
        <v>129</v>
      </c>
      <c r="S105" s="64">
        <v>129</v>
      </c>
      <c r="T105" s="64">
        <v>129</v>
      </c>
      <c r="U105" s="64">
        <v>129.19999999999999</v>
      </c>
      <c r="V105" s="64">
        <v>130</v>
      </c>
      <c r="W105" s="64">
        <v>125.6</v>
      </c>
      <c r="X105" s="64">
        <v>128.30000000000001</v>
      </c>
      <c r="Y105" s="64">
        <v>128.6</v>
      </c>
      <c r="Z105" s="64">
        <v>129</v>
      </c>
      <c r="AA105" s="64">
        <v>130.19999999999999</v>
      </c>
      <c r="AB105" s="64">
        <v>131</v>
      </c>
      <c r="AC105" s="64">
        <v>131</v>
      </c>
      <c r="AD105" s="64">
        <v>131</v>
      </c>
      <c r="AE105" s="64">
        <v>130.69999999999999</v>
      </c>
      <c r="AF105" s="64">
        <v>131</v>
      </c>
      <c r="AG105" s="103"/>
      <c r="AH105" s="47">
        <f t="shared" si="13"/>
        <v>133</v>
      </c>
      <c r="AI105" s="48">
        <f t="shared" si="14"/>
        <v>13</v>
      </c>
    </row>
    <row r="106" spans="1:37" x14ac:dyDescent="0.25">
      <c r="A106" s="104" t="s">
        <v>114</v>
      </c>
      <c r="B106" s="105">
        <v>130</v>
      </c>
      <c r="C106" s="105">
        <v>130</v>
      </c>
      <c r="D106" s="105">
        <v>131.4</v>
      </c>
      <c r="E106" s="105">
        <v>129.4</v>
      </c>
      <c r="F106" s="105">
        <v>131.6</v>
      </c>
      <c r="G106" s="105">
        <v>132</v>
      </c>
      <c r="H106" s="105">
        <v>132.6</v>
      </c>
      <c r="I106" s="105">
        <v>133</v>
      </c>
      <c r="J106" s="105">
        <v>129.69999999999999</v>
      </c>
      <c r="K106" s="105">
        <v>131.5</v>
      </c>
      <c r="L106" s="105">
        <v>130.69999999999999</v>
      </c>
      <c r="M106" s="105">
        <v>128.9</v>
      </c>
      <c r="N106" s="105">
        <v>128.9</v>
      </c>
      <c r="O106" s="105">
        <v>128.9</v>
      </c>
      <c r="P106" s="105">
        <v>128.9</v>
      </c>
      <c r="Q106" s="105">
        <v>128.9</v>
      </c>
      <c r="R106" s="105">
        <v>128.9</v>
      </c>
      <c r="S106" s="105">
        <v>128.9</v>
      </c>
      <c r="T106" s="105">
        <v>128.9</v>
      </c>
      <c r="U106" s="105">
        <v>130.69999999999999</v>
      </c>
      <c r="V106" s="105">
        <v>131.19999999999999</v>
      </c>
      <c r="W106" s="105">
        <v>134.6</v>
      </c>
      <c r="X106" s="105">
        <v>131.69999999999999</v>
      </c>
      <c r="Y106" s="105">
        <v>131.69999999999999</v>
      </c>
      <c r="Z106" s="105">
        <v>130</v>
      </c>
      <c r="AA106" s="105">
        <v>134.9</v>
      </c>
      <c r="AB106" s="105">
        <v>132</v>
      </c>
      <c r="AC106" s="105">
        <v>132</v>
      </c>
      <c r="AD106" s="105">
        <v>132</v>
      </c>
      <c r="AE106" s="105">
        <v>131</v>
      </c>
      <c r="AF106" s="105">
        <v>131</v>
      </c>
      <c r="AG106" s="106"/>
      <c r="AH106" s="47">
        <f t="shared" si="13"/>
        <v>134.9</v>
      </c>
      <c r="AI106" s="48">
        <f t="shared" si="14"/>
        <v>128.9</v>
      </c>
    </row>
    <row r="107" spans="1:37" x14ac:dyDescent="0.25">
      <c r="A107" s="102" t="s">
        <v>115</v>
      </c>
      <c r="B107" s="64">
        <v>130</v>
      </c>
      <c r="C107" s="64">
        <v>130</v>
      </c>
      <c r="D107" s="64">
        <v>132.88</v>
      </c>
      <c r="E107" s="64">
        <v>133.4</v>
      </c>
      <c r="F107" s="64">
        <v>134.1</v>
      </c>
      <c r="G107" s="64">
        <v>132.9</v>
      </c>
      <c r="H107" s="64">
        <v>133</v>
      </c>
      <c r="I107" s="64">
        <v>132.30000000000001</v>
      </c>
      <c r="J107" s="64">
        <v>130.6</v>
      </c>
      <c r="K107" s="64">
        <v>130.1</v>
      </c>
      <c r="L107" s="64">
        <v>129.6</v>
      </c>
      <c r="M107" s="64">
        <v>129</v>
      </c>
      <c r="N107" s="64">
        <v>129</v>
      </c>
      <c r="O107" s="64">
        <v>129</v>
      </c>
      <c r="P107" s="64">
        <v>129</v>
      </c>
      <c r="Q107" s="64">
        <v>129</v>
      </c>
      <c r="R107" s="64">
        <v>129</v>
      </c>
      <c r="S107" s="64">
        <v>129</v>
      </c>
      <c r="T107" s="64">
        <v>129</v>
      </c>
      <c r="U107" s="64">
        <v>126.6</v>
      </c>
      <c r="V107" s="64">
        <v>129.5</v>
      </c>
      <c r="W107" s="64">
        <v>132.30000000000001</v>
      </c>
      <c r="X107" s="64">
        <v>129</v>
      </c>
      <c r="Y107" s="64">
        <v>129</v>
      </c>
      <c r="Z107" s="64">
        <v>128.1</v>
      </c>
      <c r="AA107" s="64">
        <v>130.19999999999999</v>
      </c>
      <c r="AB107" s="64">
        <v>132</v>
      </c>
      <c r="AC107" s="64">
        <v>132</v>
      </c>
      <c r="AD107" s="64">
        <v>132</v>
      </c>
      <c r="AE107" s="64">
        <v>130</v>
      </c>
      <c r="AF107" s="64">
        <v>132</v>
      </c>
      <c r="AG107" s="103"/>
      <c r="AH107" s="47">
        <f t="shared" si="13"/>
        <v>134.1</v>
      </c>
      <c r="AI107" s="48">
        <f t="shared" si="14"/>
        <v>126.6</v>
      </c>
    </row>
    <row r="108" spans="1:37" ht="15.75" thickBot="1" x14ac:dyDescent="0.3">
      <c r="A108" s="102" t="s">
        <v>116</v>
      </c>
      <c r="B108" s="91">
        <v>65.7</v>
      </c>
      <c r="C108" s="91">
        <v>65.7</v>
      </c>
      <c r="D108" s="91">
        <v>65.7</v>
      </c>
      <c r="E108" s="91">
        <v>65.8</v>
      </c>
      <c r="F108" s="91">
        <v>66</v>
      </c>
      <c r="G108" s="91">
        <v>65.7</v>
      </c>
      <c r="H108" s="91">
        <v>65.400000000000006</v>
      </c>
      <c r="I108" s="91">
        <v>65.099999999999994</v>
      </c>
      <c r="J108" s="91">
        <v>65.3</v>
      </c>
      <c r="K108" s="91">
        <v>64.3</v>
      </c>
      <c r="L108" s="91">
        <v>64.400000000000006</v>
      </c>
      <c r="M108" s="91">
        <v>64</v>
      </c>
      <c r="N108" s="91">
        <v>64</v>
      </c>
      <c r="O108" s="91">
        <v>64</v>
      </c>
      <c r="P108" s="91">
        <v>64</v>
      </c>
      <c r="Q108" s="91">
        <v>64</v>
      </c>
      <c r="R108" s="91">
        <v>64</v>
      </c>
      <c r="S108" s="91">
        <v>64</v>
      </c>
      <c r="T108" s="91">
        <v>64</v>
      </c>
      <c r="U108" s="91">
        <v>63.2</v>
      </c>
      <c r="V108" s="91">
        <v>64</v>
      </c>
      <c r="W108" s="91">
        <v>64.3</v>
      </c>
      <c r="X108" s="91">
        <v>64.900000000000006</v>
      </c>
      <c r="Y108" s="91">
        <v>65.099999999999994</v>
      </c>
      <c r="Z108" s="91"/>
      <c r="AA108" s="91"/>
      <c r="AB108" s="91">
        <v>65</v>
      </c>
      <c r="AC108" s="91">
        <v>65</v>
      </c>
      <c r="AD108" s="91">
        <v>65</v>
      </c>
      <c r="AE108" s="91">
        <v>65</v>
      </c>
      <c r="AF108" s="91">
        <v>65.5</v>
      </c>
      <c r="AG108" s="107"/>
      <c r="AH108" s="47">
        <f t="shared" si="13"/>
        <v>66</v>
      </c>
      <c r="AI108" s="48">
        <f t="shared" si="14"/>
        <v>63.2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13"/>
        <v>0</v>
      </c>
      <c r="AI109" s="48">
        <f t="shared" si="14"/>
        <v>0</v>
      </c>
    </row>
    <row r="110" spans="1:37" ht="15.75" thickBot="1" x14ac:dyDescent="0.3">
      <c r="A110" s="109" t="s">
        <v>118</v>
      </c>
      <c r="B110" s="110">
        <f t="shared" ref="B110:M110" si="25">SUM(B20,B26,B29:B30,B58,B60:B61,B63,B65,B111:B115,B138,B144,B150,B159,B161,B173,B180,B183:B184,B191,B193,B195,B199:B201,B203:B205,B210,B216:B217,B219:B221,B229,B234)</f>
        <v>46.300000000000011</v>
      </c>
      <c r="C110" s="110">
        <f t="shared" si="25"/>
        <v>28.94</v>
      </c>
      <c r="D110" s="110">
        <f t="shared" si="25"/>
        <v>15.940000000000001</v>
      </c>
      <c r="E110" s="110">
        <f t="shared" si="25"/>
        <v>15.940000000000001</v>
      </c>
      <c r="F110" s="110">
        <f t="shared" si="25"/>
        <v>15.940000000000001</v>
      </c>
      <c r="G110" s="110">
        <f t="shared" si="25"/>
        <v>15.940000000000001</v>
      </c>
      <c r="H110" s="110">
        <f t="shared" si="25"/>
        <v>15.940000000000001</v>
      </c>
      <c r="I110" s="110">
        <f t="shared" si="25"/>
        <v>82.440000000000026</v>
      </c>
      <c r="J110" s="110">
        <f t="shared" si="25"/>
        <v>111.54</v>
      </c>
      <c r="K110" s="110">
        <f t="shared" si="25"/>
        <v>131.94</v>
      </c>
      <c r="L110" s="110">
        <f t="shared" si="25"/>
        <v>133.44</v>
      </c>
      <c r="M110" s="110">
        <f t="shared" si="25"/>
        <v>152.94</v>
      </c>
      <c r="N110" s="110">
        <f t="shared" ref="N110:Q110" si="26">SUM(N20,N26,N29:N30,N58,N60:N61,N63,N65,N111:N115,N138,N144,N150,N159,N161,N173,N180,N183:N184,N191,N193,N195,N199:N201,N203:N205,N210,N216:N217,N219:N221,N229,N234)</f>
        <v>141.44000000000003</v>
      </c>
      <c r="O110" s="110">
        <f t="shared" si="26"/>
        <v>141.44000000000003</v>
      </c>
      <c r="P110" s="110">
        <f t="shared" si="26"/>
        <v>141.44000000000003</v>
      </c>
      <c r="Q110" s="110">
        <f t="shared" si="26"/>
        <v>155.50000000000003</v>
      </c>
      <c r="R110" s="110">
        <f t="shared" ref="R110:AF110" si="27">SUM(R20,R26,R29:R30,R58,R60:R61,R63,R65,R111:R115,R138,R144,R150,R159,R161,R173,R180,R183:R184,R191,R193,R195,R199:R201,R203:R205,R210,R216:R217,R219:R221,R229,R234)</f>
        <v>155.50000000000003</v>
      </c>
      <c r="S110" s="110">
        <f t="shared" si="27"/>
        <v>165.50000000000003</v>
      </c>
      <c r="T110" s="110">
        <f t="shared" si="27"/>
        <v>163.50000000000003</v>
      </c>
      <c r="U110" s="110">
        <f t="shared" si="27"/>
        <v>207.10000000000002</v>
      </c>
      <c r="V110" s="110">
        <f t="shared" si="27"/>
        <v>167.8</v>
      </c>
      <c r="W110" s="110">
        <f t="shared" si="27"/>
        <v>155.4</v>
      </c>
      <c r="X110" s="110">
        <f t="shared" si="27"/>
        <v>168.3</v>
      </c>
      <c r="Y110" s="110">
        <f t="shared" si="27"/>
        <v>179.4</v>
      </c>
      <c r="Z110" s="110">
        <f t="shared" si="27"/>
        <v>151.4</v>
      </c>
      <c r="AA110" s="110">
        <f t="shared" si="27"/>
        <v>218.4</v>
      </c>
      <c r="AB110" s="110">
        <f t="shared" si="27"/>
        <v>179.1</v>
      </c>
      <c r="AC110" s="110">
        <f t="shared" si="27"/>
        <v>176.1</v>
      </c>
      <c r="AD110" s="110"/>
      <c r="AE110" s="110">
        <f t="shared" si="27"/>
        <v>72.900000000000006</v>
      </c>
      <c r="AF110" s="110">
        <f t="shared" si="27"/>
        <v>40.900000000000006</v>
      </c>
      <c r="AG110" s="111"/>
      <c r="AH110" s="47">
        <f t="shared" si="13"/>
        <v>218.4</v>
      </c>
      <c r="AI110" s="48">
        <f t="shared" si="14"/>
        <v>15.940000000000001</v>
      </c>
    </row>
    <row r="111" spans="1:37" x14ac:dyDescent="0.25">
      <c r="A111" s="99" t="s">
        <v>119</v>
      </c>
      <c r="B111" s="112">
        <v>20</v>
      </c>
      <c r="C111" s="112">
        <v>24</v>
      </c>
      <c r="D111" s="112">
        <v>24</v>
      </c>
      <c r="E111" s="112">
        <v>24</v>
      </c>
      <c r="F111" s="112">
        <v>24</v>
      </c>
      <c r="G111" s="112">
        <v>24</v>
      </c>
      <c r="H111" s="112">
        <v>24</v>
      </c>
      <c r="I111" s="112">
        <v>19.8</v>
      </c>
      <c r="J111" s="112">
        <v>22.4</v>
      </c>
      <c r="K111" s="112">
        <v>25.9</v>
      </c>
      <c r="L111" s="112">
        <v>25.5</v>
      </c>
      <c r="M111" s="112">
        <v>33</v>
      </c>
      <c r="N111" s="112">
        <v>37.299999999999997</v>
      </c>
      <c r="O111" s="112">
        <v>37.299999999999997</v>
      </c>
      <c r="P111" s="112">
        <v>37.299999999999997</v>
      </c>
      <c r="Q111" s="112">
        <v>37.299999999999997</v>
      </c>
      <c r="R111" s="112">
        <v>37.299999999999997</v>
      </c>
      <c r="S111" s="112">
        <v>37.299999999999997</v>
      </c>
      <c r="T111" s="112">
        <v>37.299999999999997</v>
      </c>
      <c r="U111" s="112">
        <v>39.299999999999997</v>
      </c>
      <c r="V111" s="112">
        <v>36.799999999999997</v>
      </c>
      <c r="W111" s="112">
        <v>33.5</v>
      </c>
      <c r="X111" s="112">
        <v>35</v>
      </c>
      <c r="Y111" s="112">
        <v>34.9</v>
      </c>
      <c r="Z111" s="112">
        <v>-23.5</v>
      </c>
      <c r="AA111" s="112">
        <v>35.4</v>
      </c>
      <c r="AB111" s="112">
        <v>48</v>
      </c>
      <c r="AC111" s="112">
        <v>50</v>
      </c>
      <c r="AD111" s="112">
        <v>48</v>
      </c>
      <c r="AE111" s="112">
        <v>41</v>
      </c>
      <c r="AF111" s="112">
        <v>14</v>
      </c>
      <c r="AG111" s="113">
        <v>75</v>
      </c>
      <c r="AH111" s="47">
        <f t="shared" si="13"/>
        <v>50</v>
      </c>
      <c r="AI111" s="48">
        <f t="shared" si="14"/>
        <v>-23.5</v>
      </c>
    </row>
    <row r="112" spans="1:37" x14ac:dyDescent="0.25">
      <c r="A112" s="102" t="s">
        <v>120</v>
      </c>
      <c r="B112" s="114">
        <v>14</v>
      </c>
      <c r="C112" s="114">
        <v>18</v>
      </c>
      <c r="D112" s="114">
        <v>18</v>
      </c>
      <c r="E112" s="114">
        <v>18</v>
      </c>
      <c r="F112" s="114">
        <v>18</v>
      </c>
      <c r="G112" s="114">
        <v>18</v>
      </c>
      <c r="H112" s="114">
        <v>18</v>
      </c>
      <c r="I112" s="114">
        <v>24.3</v>
      </c>
      <c r="J112" s="114">
        <v>27.5</v>
      </c>
      <c r="K112" s="114">
        <v>31.7</v>
      </c>
      <c r="L112" s="114">
        <v>30.4</v>
      </c>
      <c r="M112" s="114">
        <v>42</v>
      </c>
      <c r="N112" s="114">
        <v>47.9</v>
      </c>
      <c r="O112" s="114">
        <v>47.9</v>
      </c>
      <c r="P112" s="114">
        <v>47.9</v>
      </c>
      <c r="Q112" s="114">
        <v>47.9</v>
      </c>
      <c r="R112" s="114">
        <v>47.9</v>
      </c>
      <c r="S112" s="114">
        <v>47.9</v>
      </c>
      <c r="T112" s="114">
        <v>47.9</v>
      </c>
      <c r="U112" s="114">
        <v>52.7</v>
      </c>
      <c r="V112" s="114">
        <v>48.4</v>
      </c>
      <c r="W112" s="114">
        <v>44.3</v>
      </c>
      <c r="X112" s="114">
        <v>45</v>
      </c>
      <c r="Y112" s="114">
        <v>44.6</v>
      </c>
      <c r="Z112" s="114">
        <v>58</v>
      </c>
      <c r="AA112" s="114">
        <v>51.9</v>
      </c>
      <c r="AB112" s="114">
        <v>35</v>
      </c>
      <c r="AC112" s="114">
        <v>36</v>
      </c>
      <c r="AD112" s="114">
        <v>33</v>
      </c>
      <c r="AE112" s="114">
        <v>29</v>
      </c>
      <c r="AF112" s="114">
        <v>12</v>
      </c>
      <c r="AG112" s="113">
        <v>240</v>
      </c>
      <c r="AH112" s="47">
        <f t="shared" si="13"/>
        <v>58</v>
      </c>
      <c r="AI112" s="48">
        <f t="shared" si="14"/>
        <v>12</v>
      </c>
    </row>
    <row r="113" spans="1:37" x14ac:dyDescent="0.25">
      <c r="A113" s="102" t="s">
        <v>121</v>
      </c>
      <c r="B113" s="114">
        <v>-124</v>
      </c>
      <c r="C113" s="114">
        <v>-128</v>
      </c>
      <c r="D113" s="114">
        <v>-135</v>
      </c>
      <c r="E113" s="114">
        <v>-135</v>
      </c>
      <c r="F113" s="114">
        <v>-135</v>
      </c>
      <c r="G113" s="114">
        <v>-135</v>
      </c>
      <c r="H113" s="114">
        <v>-135</v>
      </c>
      <c r="I113" s="114">
        <f>-38.8-41.8</f>
        <v>-80.599999999999994</v>
      </c>
      <c r="J113" s="114">
        <f>-29.6-31.4</f>
        <v>-61</v>
      </c>
      <c r="K113" s="114">
        <f>-23.5-25.1</f>
        <v>-48.6</v>
      </c>
      <c r="L113" s="114">
        <f>-20-21.4</f>
        <v>-41.4</v>
      </c>
      <c r="M113" s="114">
        <v>-53</v>
      </c>
      <c r="N113" s="114">
        <v>-70.8</v>
      </c>
      <c r="O113" s="114">
        <v>-70.8</v>
      </c>
      <c r="P113" s="114">
        <v>-70.8</v>
      </c>
      <c r="Q113" s="114">
        <v>-70.8</v>
      </c>
      <c r="R113" s="114">
        <v>-70.8</v>
      </c>
      <c r="S113" s="114">
        <v>-70.8</v>
      </c>
      <c r="T113" s="114">
        <v>-70.8</v>
      </c>
      <c r="U113" s="114">
        <f>-37.4-42.3</f>
        <v>-79.699999999999989</v>
      </c>
      <c r="V113" s="114">
        <v>-96</v>
      </c>
      <c r="W113" s="114">
        <v>-97</v>
      </c>
      <c r="X113" s="114">
        <v>-71</v>
      </c>
      <c r="Y113" s="114">
        <v>-60</v>
      </c>
      <c r="Z113" s="114">
        <v>-64</v>
      </c>
      <c r="AA113" s="114">
        <v>-54</v>
      </c>
      <c r="AB113" s="114">
        <v>-88</v>
      </c>
      <c r="AC113" s="114">
        <v>-90</v>
      </c>
      <c r="AD113" s="114">
        <v>-120</v>
      </c>
      <c r="AE113" s="114">
        <v>-123</v>
      </c>
      <c r="AF113" s="114">
        <v>-110</v>
      </c>
      <c r="AG113" s="113">
        <v>240</v>
      </c>
      <c r="AH113" s="47">
        <f t="shared" si="13"/>
        <v>-41.4</v>
      </c>
      <c r="AI113" s="48">
        <f t="shared" si="14"/>
        <v>-135</v>
      </c>
    </row>
    <row r="114" spans="1:37" x14ac:dyDescent="0.25">
      <c r="A114" s="102" t="s">
        <v>122</v>
      </c>
      <c r="B114" s="114">
        <v>-10</v>
      </c>
      <c r="C114" s="114">
        <v>-11</v>
      </c>
      <c r="D114" s="114">
        <v>-10</v>
      </c>
      <c r="E114" s="114">
        <v>-10</v>
      </c>
      <c r="F114" s="114">
        <v>-10</v>
      </c>
      <c r="G114" s="114">
        <v>-10</v>
      </c>
      <c r="H114" s="114">
        <v>-10</v>
      </c>
      <c r="I114" s="114">
        <v>0</v>
      </c>
      <c r="J114" s="114">
        <v>3.7</v>
      </c>
      <c r="K114" s="114">
        <v>4</v>
      </c>
      <c r="L114" s="114">
        <v>0</v>
      </c>
      <c r="M114" s="114">
        <v>-7</v>
      </c>
      <c r="N114" s="114">
        <v>-10.9</v>
      </c>
      <c r="O114" s="114">
        <v>-10.9</v>
      </c>
      <c r="P114" s="114">
        <v>-10.9</v>
      </c>
      <c r="Q114" s="114">
        <v>-10.9</v>
      </c>
      <c r="R114" s="114">
        <v>-10.9</v>
      </c>
      <c r="S114" s="114">
        <v>-10.9</v>
      </c>
      <c r="T114" s="114">
        <v>-10.9</v>
      </c>
      <c r="U114" s="114">
        <v>-9.1999999999999993</v>
      </c>
      <c r="V114" s="114">
        <v>-9.1</v>
      </c>
      <c r="W114" s="114">
        <v>-9.1999999999999993</v>
      </c>
      <c r="X114" s="114">
        <v>-6</v>
      </c>
      <c r="Y114" s="114">
        <v>-5</v>
      </c>
      <c r="Z114" s="114"/>
      <c r="AA114" s="114"/>
      <c r="AB114" s="114">
        <v>-6</v>
      </c>
      <c r="AC114" s="114">
        <v>-9</v>
      </c>
      <c r="AD114" s="114">
        <v>-3</v>
      </c>
      <c r="AE114" s="114">
        <v>-8</v>
      </c>
      <c r="AF114" s="114">
        <v>-9</v>
      </c>
      <c r="AG114" s="113">
        <v>60</v>
      </c>
      <c r="AH114" s="47">
        <f t="shared" si="13"/>
        <v>4</v>
      </c>
      <c r="AI114" s="48">
        <f t="shared" si="14"/>
        <v>-11</v>
      </c>
    </row>
    <row r="115" spans="1:37" x14ac:dyDescent="0.25">
      <c r="A115" s="115" t="s">
        <v>123</v>
      </c>
      <c r="B115" s="116">
        <v>2</v>
      </c>
      <c r="C115" s="116">
        <v>2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  <c r="O115" s="116">
        <v>0</v>
      </c>
      <c r="P115" s="116">
        <v>0</v>
      </c>
      <c r="Q115" s="116">
        <v>0</v>
      </c>
      <c r="R115" s="116">
        <v>0</v>
      </c>
      <c r="S115" s="116">
        <v>0</v>
      </c>
      <c r="T115" s="116">
        <v>0</v>
      </c>
      <c r="U115" s="116">
        <v>46</v>
      </c>
      <c r="V115" s="116">
        <v>46.7</v>
      </c>
      <c r="W115" s="116">
        <v>45.8</v>
      </c>
      <c r="X115" s="116">
        <v>28</v>
      </c>
      <c r="Y115" s="116">
        <v>28</v>
      </c>
      <c r="Z115" s="116">
        <v>39</v>
      </c>
      <c r="AA115" s="116">
        <v>42</v>
      </c>
      <c r="AB115" s="116">
        <v>47</v>
      </c>
      <c r="AC115" s="116">
        <v>46</v>
      </c>
      <c r="AD115" s="116">
        <v>23</v>
      </c>
      <c r="AE115" s="116">
        <v>2</v>
      </c>
      <c r="AF115" s="116">
        <v>2</v>
      </c>
      <c r="AG115" s="117">
        <v>120</v>
      </c>
      <c r="AH115" s="47">
        <f t="shared" si="13"/>
        <v>47</v>
      </c>
      <c r="AI115" s="48">
        <f t="shared" si="14"/>
        <v>0</v>
      </c>
    </row>
    <row r="116" spans="1:37" x14ac:dyDescent="0.25">
      <c r="A116" s="115" t="s">
        <v>124</v>
      </c>
      <c r="B116" s="116">
        <v>35</v>
      </c>
      <c r="C116" s="116">
        <v>27</v>
      </c>
      <c r="D116" s="116">
        <v>25</v>
      </c>
      <c r="E116" s="116">
        <v>25</v>
      </c>
      <c r="F116" s="116">
        <v>25</v>
      </c>
      <c r="G116" s="116">
        <v>25</v>
      </c>
      <c r="H116" s="116">
        <v>25</v>
      </c>
      <c r="I116" s="116">
        <v>46.4</v>
      </c>
      <c r="J116" s="116">
        <v>48.7</v>
      </c>
      <c r="K116" s="116">
        <v>59</v>
      </c>
      <c r="L116" s="116">
        <v>61.4</v>
      </c>
      <c r="M116" s="116">
        <v>51.4</v>
      </c>
      <c r="N116" s="116">
        <v>40.200000000000003</v>
      </c>
      <c r="O116" s="116">
        <v>40.200000000000003</v>
      </c>
      <c r="P116" s="116">
        <v>40.200000000000003</v>
      </c>
      <c r="Q116" s="116">
        <v>40.200000000000003</v>
      </c>
      <c r="R116" s="116">
        <v>40.200000000000003</v>
      </c>
      <c r="S116" s="116">
        <v>40.200000000000003</v>
      </c>
      <c r="T116" s="116">
        <v>40.200000000000003</v>
      </c>
      <c r="U116" s="116">
        <v>45.2</v>
      </c>
      <c r="V116" s="116">
        <v>34</v>
      </c>
      <c r="W116" s="116">
        <v>31</v>
      </c>
      <c r="X116" s="116">
        <v>40</v>
      </c>
      <c r="Y116" s="116">
        <v>45</v>
      </c>
      <c r="Z116" s="116">
        <v>45</v>
      </c>
      <c r="AA116" s="116">
        <v>71</v>
      </c>
      <c r="AB116" s="116">
        <v>46</v>
      </c>
      <c r="AC116" s="116">
        <v>50</v>
      </c>
      <c r="AD116" s="116">
        <v>21</v>
      </c>
      <c r="AE116" s="116">
        <v>28</v>
      </c>
      <c r="AF116" s="116">
        <v>50</v>
      </c>
      <c r="AG116" s="117"/>
      <c r="AH116" s="47">
        <f t="shared" si="13"/>
        <v>71</v>
      </c>
      <c r="AI116" s="48">
        <f t="shared" si="14"/>
        <v>21</v>
      </c>
    </row>
    <row r="117" spans="1:37" x14ac:dyDescent="0.25">
      <c r="A117" s="115" t="s">
        <v>125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  <c r="O117" s="116">
        <v>0</v>
      </c>
      <c r="P117" s="116">
        <v>0</v>
      </c>
      <c r="Q117" s="116">
        <v>0</v>
      </c>
      <c r="R117" s="116">
        <v>0</v>
      </c>
      <c r="S117" s="116">
        <v>0</v>
      </c>
      <c r="T117" s="116">
        <v>0</v>
      </c>
      <c r="U117" s="116">
        <v>14.1</v>
      </c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8"/>
      <c r="AH117" s="47">
        <f t="shared" si="13"/>
        <v>14.1</v>
      </c>
      <c r="AI117" s="48">
        <f t="shared" si="14"/>
        <v>0</v>
      </c>
    </row>
    <row r="118" spans="1:37" x14ac:dyDescent="0.25">
      <c r="A118" s="119" t="s">
        <v>126</v>
      </c>
      <c r="B118" s="105">
        <v>37</v>
      </c>
      <c r="C118" s="105">
        <v>47</v>
      </c>
      <c r="D118" s="105">
        <v>47</v>
      </c>
      <c r="E118" s="105">
        <v>47</v>
      </c>
      <c r="F118" s="105">
        <v>47</v>
      </c>
      <c r="G118" s="105">
        <v>47</v>
      </c>
      <c r="H118" s="105">
        <v>47</v>
      </c>
      <c r="I118" s="105">
        <v>58.6</v>
      </c>
      <c r="J118" s="105">
        <v>55.1</v>
      </c>
      <c r="K118" s="105">
        <v>55.7</v>
      </c>
      <c r="L118" s="105">
        <v>43.3</v>
      </c>
      <c r="M118" s="105">
        <v>47.3</v>
      </c>
      <c r="N118" s="105">
        <v>46.1</v>
      </c>
      <c r="O118" s="105">
        <v>46.1</v>
      </c>
      <c r="P118" s="105">
        <v>46.1</v>
      </c>
      <c r="Q118" s="105">
        <v>46.1</v>
      </c>
      <c r="R118" s="105">
        <v>46.1</v>
      </c>
      <c r="S118" s="105">
        <v>46.1</v>
      </c>
      <c r="T118" s="105">
        <v>46.1</v>
      </c>
      <c r="U118" s="105">
        <v>45.5</v>
      </c>
      <c r="V118" s="105">
        <v>43</v>
      </c>
      <c r="W118" s="105">
        <v>34.200000000000003</v>
      </c>
      <c r="X118" s="105">
        <v>43</v>
      </c>
      <c r="Y118" s="105">
        <v>41</v>
      </c>
      <c r="Z118" s="105">
        <v>28</v>
      </c>
      <c r="AA118" s="105">
        <v>31</v>
      </c>
      <c r="AB118" s="105">
        <v>33</v>
      </c>
      <c r="AC118" s="105">
        <v>34</v>
      </c>
      <c r="AD118" s="105">
        <v>34</v>
      </c>
      <c r="AE118" s="105">
        <v>42</v>
      </c>
      <c r="AF118" s="105">
        <v>46</v>
      </c>
      <c r="AG118" s="118"/>
      <c r="AH118" s="47">
        <f t="shared" si="13"/>
        <v>58.6</v>
      </c>
      <c r="AI118" s="48">
        <f t="shared" si="14"/>
        <v>28</v>
      </c>
    </row>
    <row r="119" spans="1:37" x14ac:dyDescent="0.25">
      <c r="A119" s="120" t="s">
        <v>127</v>
      </c>
      <c r="B119" s="105">
        <v>85</v>
      </c>
      <c r="C119" s="105">
        <v>90</v>
      </c>
      <c r="D119" s="105">
        <v>62.3</v>
      </c>
      <c r="E119" s="105">
        <v>64</v>
      </c>
      <c r="F119" s="105">
        <v>62.4</v>
      </c>
      <c r="G119" s="105">
        <v>63</v>
      </c>
      <c r="H119" s="105">
        <v>62</v>
      </c>
      <c r="I119" s="105">
        <v>56.2</v>
      </c>
      <c r="J119" s="105">
        <v>47.5</v>
      </c>
      <c r="K119" s="105">
        <v>33.299999999999997</v>
      </c>
      <c r="L119" s="105">
        <v>28.3</v>
      </c>
      <c r="M119" s="105">
        <v>42.7</v>
      </c>
      <c r="N119" s="105">
        <v>42.7</v>
      </c>
      <c r="O119" s="105">
        <v>42.7</v>
      </c>
      <c r="P119" s="105">
        <v>42.7</v>
      </c>
      <c r="Q119" s="105">
        <v>42.7</v>
      </c>
      <c r="R119" s="105">
        <v>42.7</v>
      </c>
      <c r="S119" s="105">
        <v>42.7</v>
      </c>
      <c r="T119" s="105">
        <v>42.7</v>
      </c>
      <c r="U119" s="105">
        <v>63.6</v>
      </c>
      <c r="V119" s="105">
        <v>75</v>
      </c>
      <c r="W119" s="105">
        <v>68.2</v>
      </c>
      <c r="X119" s="105">
        <v>53</v>
      </c>
      <c r="Y119" s="105">
        <v>48</v>
      </c>
      <c r="Z119" s="105">
        <v>54</v>
      </c>
      <c r="AA119" s="105">
        <v>40</v>
      </c>
      <c r="AB119" s="105">
        <v>65.900000000000006</v>
      </c>
      <c r="AC119" s="105">
        <v>66</v>
      </c>
      <c r="AD119" s="105">
        <v>90</v>
      </c>
      <c r="AE119" s="105">
        <v>90</v>
      </c>
      <c r="AF119" s="105">
        <v>80</v>
      </c>
      <c r="AG119" s="118"/>
      <c r="AH119" s="47">
        <f t="shared" si="13"/>
        <v>90</v>
      </c>
      <c r="AI119" s="48">
        <f t="shared" si="14"/>
        <v>28.3</v>
      </c>
    </row>
    <row r="120" spans="1:37" ht="15.75" thickBot="1" x14ac:dyDescent="0.3">
      <c r="A120" s="119" t="s">
        <v>128</v>
      </c>
      <c r="B120" s="105">
        <v>31</v>
      </c>
      <c r="C120" s="105">
        <v>25</v>
      </c>
      <c r="D120" s="105">
        <v>20</v>
      </c>
      <c r="E120" s="105">
        <v>20</v>
      </c>
      <c r="F120" s="105">
        <v>8.4</v>
      </c>
      <c r="G120" s="105">
        <v>-10</v>
      </c>
      <c r="H120" s="105">
        <v>-12.4</v>
      </c>
      <c r="I120" s="105">
        <v>-8.3000000000000007</v>
      </c>
      <c r="J120" s="105">
        <v>-10.199999999999999</v>
      </c>
      <c r="K120" s="105">
        <v>-8.4</v>
      </c>
      <c r="L120" s="105">
        <v>2.2999999999999998</v>
      </c>
      <c r="M120" s="105">
        <v>11.4</v>
      </c>
      <c r="N120" s="105">
        <v>11.4</v>
      </c>
      <c r="O120" s="105">
        <v>11.4</v>
      </c>
      <c r="P120" s="105">
        <v>11.4</v>
      </c>
      <c r="Q120" s="105">
        <v>11.4</v>
      </c>
      <c r="R120" s="105">
        <v>11.4</v>
      </c>
      <c r="S120" s="105">
        <v>11.4</v>
      </c>
      <c r="T120" s="105">
        <v>11.4</v>
      </c>
      <c r="U120" s="105">
        <v>8.1</v>
      </c>
      <c r="V120" s="105">
        <v>9</v>
      </c>
      <c r="W120" s="105">
        <v>5</v>
      </c>
      <c r="X120" s="105">
        <v>3</v>
      </c>
      <c r="Y120" s="105">
        <v>5</v>
      </c>
      <c r="Z120" s="105">
        <v>23</v>
      </c>
      <c r="AA120" s="105">
        <v>26</v>
      </c>
      <c r="AB120" s="105">
        <v>28</v>
      </c>
      <c r="AC120" s="105">
        <v>28</v>
      </c>
      <c r="AD120" s="105">
        <v>30</v>
      </c>
      <c r="AE120" s="105">
        <v>15</v>
      </c>
      <c r="AF120" s="105">
        <v>15</v>
      </c>
      <c r="AG120" s="118"/>
      <c r="AH120" s="47">
        <f t="shared" si="13"/>
        <v>31</v>
      </c>
      <c r="AI120" s="48">
        <f t="shared" si="14"/>
        <v>-12.4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28">SUM(B122:B226)</f>
        <v>0</v>
      </c>
      <c r="C227" s="136">
        <f t="shared" si="28"/>
        <v>0</v>
      </c>
      <c r="D227" s="136">
        <f t="shared" si="28"/>
        <v>0</v>
      </c>
      <c r="E227" s="136">
        <f t="shared" si="28"/>
        <v>0</v>
      </c>
      <c r="F227" s="136">
        <f t="shared" si="28"/>
        <v>0</v>
      </c>
      <c r="G227" s="136">
        <f t="shared" si="28"/>
        <v>0</v>
      </c>
      <c r="H227" s="136">
        <f t="shared" si="28"/>
        <v>0</v>
      </c>
      <c r="I227" s="136">
        <f t="shared" si="28"/>
        <v>0</v>
      </c>
      <c r="J227" s="136">
        <f t="shared" si="28"/>
        <v>0</v>
      </c>
      <c r="K227" s="136">
        <f t="shared" si="28"/>
        <v>0</v>
      </c>
      <c r="L227" s="136">
        <f t="shared" si="28"/>
        <v>0</v>
      </c>
      <c r="M227" s="136">
        <f t="shared" si="28"/>
        <v>0</v>
      </c>
      <c r="N227" s="136">
        <f t="shared" si="28"/>
        <v>0</v>
      </c>
      <c r="O227" s="136">
        <f t="shared" si="28"/>
        <v>0</v>
      </c>
      <c r="P227" s="136">
        <f t="shared" si="28"/>
        <v>0</v>
      </c>
      <c r="Q227" s="136">
        <f t="shared" si="28"/>
        <v>0</v>
      </c>
      <c r="R227" s="136">
        <f t="shared" si="28"/>
        <v>0</v>
      </c>
      <c r="S227" s="136">
        <f t="shared" si="28"/>
        <v>0</v>
      </c>
      <c r="T227" s="136">
        <f t="shared" si="28"/>
        <v>0</v>
      </c>
      <c r="U227" s="136">
        <f t="shared" si="28"/>
        <v>0</v>
      </c>
      <c r="V227" s="136">
        <f t="shared" si="28"/>
        <v>0</v>
      </c>
      <c r="W227" s="136">
        <f t="shared" si="28"/>
        <v>0</v>
      </c>
      <c r="X227" s="136">
        <f t="shared" si="28"/>
        <v>0</v>
      </c>
      <c r="Y227" s="136">
        <f t="shared" si="28"/>
        <v>0</v>
      </c>
      <c r="Z227" s="136">
        <f t="shared" si="28"/>
        <v>0</v>
      </c>
      <c r="AA227" s="136">
        <f t="shared" si="28"/>
        <v>0</v>
      </c>
      <c r="AB227" s="136">
        <f t="shared" si="28"/>
        <v>0</v>
      </c>
      <c r="AC227" s="136">
        <f t="shared" si="28"/>
        <v>0</v>
      </c>
      <c r="AD227" s="136">
        <f t="shared" si="28"/>
        <v>0</v>
      </c>
      <c r="AE227" s="136">
        <f t="shared" si="28"/>
        <v>0</v>
      </c>
      <c r="AF227" s="137">
        <f t="shared" si="28"/>
        <v>0</v>
      </c>
      <c r="AG227" s="138">
        <f t="shared" si="28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29">AF229</f>
        <v>0</v>
      </c>
      <c r="C229" s="140">
        <v>0.3</v>
      </c>
      <c r="D229" s="140">
        <f t="shared" ref="D229:P234" si="30">C229</f>
        <v>0.3</v>
      </c>
      <c r="E229" s="140">
        <f t="shared" si="30"/>
        <v>0.3</v>
      </c>
      <c r="F229" s="140">
        <f t="shared" si="30"/>
        <v>0.3</v>
      </c>
      <c r="G229" s="140">
        <f t="shared" si="30"/>
        <v>0.3</v>
      </c>
      <c r="H229" s="140">
        <f t="shared" si="30"/>
        <v>0.3</v>
      </c>
      <c r="I229" s="140">
        <f t="shared" si="30"/>
        <v>0.3</v>
      </c>
      <c r="J229" s="140">
        <f t="shared" si="30"/>
        <v>0.3</v>
      </c>
      <c r="K229" s="140">
        <f t="shared" si="30"/>
        <v>0.3</v>
      </c>
      <c r="L229" s="140">
        <f t="shared" si="30"/>
        <v>0.3</v>
      </c>
      <c r="M229" s="140">
        <f t="shared" si="30"/>
        <v>0.3</v>
      </c>
      <c r="N229" s="140">
        <f t="shared" si="30"/>
        <v>0.3</v>
      </c>
      <c r="O229" s="140">
        <f t="shared" si="30"/>
        <v>0.3</v>
      </c>
      <c r="P229" s="140">
        <f t="shared" si="30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29"/>
        <v>0</v>
      </c>
      <c r="C230" s="128">
        <v>0.4</v>
      </c>
      <c r="D230" s="128">
        <f t="shared" si="30"/>
        <v>0.4</v>
      </c>
      <c r="E230" s="128">
        <f t="shared" si="30"/>
        <v>0.4</v>
      </c>
      <c r="F230" s="128">
        <f t="shared" si="30"/>
        <v>0.4</v>
      </c>
      <c r="G230" s="128">
        <f t="shared" si="30"/>
        <v>0.4</v>
      </c>
      <c r="H230" s="128">
        <f t="shared" si="30"/>
        <v>0.4</v>
      </c>
      <c r="I230" s="128">
        <f t="shared" si="30"/>
        <v>0.4</v>
      </c>
      <c r="J230" s="128">
        <f t="shared" si="30"/>
        <v>0.4</v>
      </c>
      <c r="K230" s="128">
        <f t="shared" si="30"/>
        <v>0.4</v>
      </c>
      <c r="L230" s="128">
        <f t="shared" si="30"/>
        <v>0.4</v>
      </c>
      <c r="M230" s="128">
        <f t="shared" si="30"/>
        <v>0.4</v>
      </c>
      <c r="N230" s="128">
        <f t="shared" si="30"/>
        <v>0.4</v>
      </c>
      <c r="O230" s="128">
        <f t="shared" si="30"/>
        <v>0.4</v>
      </c>
      <c r="P230" s="128">
        <f t="shared" si="30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29"/>
        <v>0</v>
      </c>
      <c r="C231" s="128">
        <v>1.5</v>
      </c>
      <c r="D231" s="128">
        <f t="shared" si="30"/>
        <v>1.5</v>
      </c>
      <c r="E231" s="128">
        <f t="shared" si="30"/>
        <v>1.5</v>
      </c>
      <c r="F231" s="128">
        <f t="shared" si="30"/>
        <v>1.5</v>
      </c>
      <c r="G231" s="128">
        <f t="shared" si="30"/>
        <v>1.5</v>
      </c>
      <c r="H231" s="128">
        <f t="shared" si="30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30"/>
        <v>123.21900000000009</v>
      </c>
      <c r="K231" s="128">
        <f t="shared" ca="1" si="30"/>
        <v>123.21900000000009</v>
      </c>
      <c r="L231" s="128">
        <f t="shared" ca="1" si="30"/>
        <v>123.21900000000009</v>
      </c>
      <c r="M231" s="128">
        <f t="shared" ca="1" si="30"/>
        <v>119.19900000000008</v>
      </c>
      <c r="N231" s="128">
        <f t="shared" ca="1" si="30"/>
        <v>119.19900000000008</v>
      </c>
      <c r="O231" s="128">
        <f t="shared" ca="1" si="30"/>
        <v>119.19900000000008</v>
      </c>
      <c r="P231" s="128">
        <f t="shared" ca="1" si="30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29"/>
        <v>0</v>
      </c>
      <c r="C232" s="128">
        <v>0.3</v>
      </c>
      <c r="D232" s="128">
        <f t="shared" si="30"/>
        <v>0.3</v>
      </c>
      <c r="E232" s="128">
        <f t="shared" si="30"/>
        <v>0.3</v>
      </c>
      <c r="F232" s="128">
        <f t="shared" si="30"/>
        <v>0.3</v>
      </c>
      <c r="G232" s="128">
        <f t="shared" si="30"/>
        <v>0.3</v>
      </c>
      <c r="H232" s="128">
        <f t="shared" si="30"/>
        <v>0.3</v>
      </c>
      <c r="I232" s="128">
        <f t="shared" si="30"/>
        <v>0.3</v>
      </c>
      <c r="J232" s="128">
        <f t="shared" si="30"/>
        <v>0.3</v>
      </c>
      <c r="K232" s="128">
        <f t="shared" si="30"/>
        <v>0.3</v>
      </c>
      <c r="L232" s="128">
        <f t="shared" si="30"/>
        <v>0.3</v>
      </c>
      <c r="M232" s="128">
        <f t="shared" si="30"/>
        <v>0.3</v>
      </c>
      <c r="N232" s="128">
        <f t="shared" si="30"/>
        <v>0.3</v>
      </c>
      <c r="O232" s="128">
        <f t="shared" si="30"/>
        <v>0.3</v>
      </c>
      <c r="P232" s="128">
        <f t="shared" si="30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29"/>
        <v>0</v>
      </c>
      <c r="C233" s="128">
        <v>0.4</v>
      </c>
      <c r="D233" s="128">
        <f t="shared" si="30"/>
        <v>0.4</v>
      </c>
      <c r="E233" s="128">
        <f t="shared" si="30"/>
        <v>0.4</v>
      </c>
      <c r="F233" s="128">
        <f t="shared" si="30"/>
        <v>0.4</v>
      </c>
      <c r="G233" s="128">
        <f t="shared" si="30"/>
        <v>0.4</v>
      </c>
      <c r="H233" s="128">
        <f t="shared" si="30"/>
        <v>0.4</v>
      </c>
      <c r="I233" s="128">
        <f t="shared" si="30"/>
        <v>0.4</v>
      </c>
      <c r="J233" s="128">
        <f t="shared" si="30"/>
        <v>0.4</v>
      </c>
      <c r="K233" s="128">
        <f t="shared" si="30"/>
        <v>0.4</v>
      </c>
      <c r="L233" s="128">
        <f t="shared" si="30"/>
        <v>0.4</v>
      </c>
      <c r="M233" s="128">
        <f t="shared" si="30"/>
        <v>0.4</v>
      </c>
      <c r="N233" s="128">
        <f t="shared" si="30"/>
        <v>0.4</v>
      </c>
      <c r="O233" s="128">
        <f t="shared" si="30"/>
        <v>0.4</v>
      </c>
      <c r="P233" s="128">
        <f t="shared" si="30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29"/>
        <v>0</v>
      </c>
      <c r="C234" s="132">
        <v>0.64</v>
      </c>
      <c r="D234" s="132">
        <f t="shared" si="30"/>
        <v>0.64</v>
      </c>
      <c r="E234" s="132">
        <f t="shared" si="30"/>
        <v>0.64</v>
      </c>
      <c r="F234" s="132">
        <f t="shared" si="30"/>
        <v>0.64</v>
      </c>
      <c r="G234" s="132">
        <f t="shared" si="30"/>
        <v>0.64</v>
      </c>
      <c r="H234" s="132">
        <f t="shared" si="30"/>
        <v>0.64</v>
      </c>
      <c r="I234" s="132">
        <f t="shared" si="30"/>
        <v>0.64</v>
      </c>
      <c r="J234" s="132">
        <f t="shared" si="30"/>
        <v>0.64</v>
      </c>
      <c r="K234" s="132">
        <f t="shared" si="30"/>
        <v>0.64</v>
      </c>
      <c r="L234" s="132">
        <f t="shared" si="30"/>
        <v>0.64</v>
      </c>
      <c r="M234" s="132">
        <f t="shared" si="30"/>
        <v>0.64</v>
      </c>
      <c r="N234" s="132">
        <f t="shared" si="30"/>
        <v>0.64</v>
      </c>
      <c r="O234" s="132">
        <f t="shared" si="30"/>
        <v>0.64</v>
      </c>
      <c r="P234" s="132">
        <f t="shared" si="30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31">SUM(B229:B234)</f>
        <v>0</v>
      </c>
      <c r="C235" s="136">
        <f t="shared" si="31"/>
        <v>3.54</v>
      </c>
      <c r="D235" s="136">
        <f t="shared" si="31"/>
        <v>3.54</v>
      </c>
      <c r="E235" s="136">
        <f t="shared" si="31"/>
        <v>3.54</v>
      </c>
      <c r="F235" s="136">
        <f t="shared" si="31"/>
        <v>3.54</v>
      </c>
      <c r="G235" s="136">
        <f t="shared" si="31"/>
        <v>3.54</v>
      </c>
      <c r="H235" s="136">
        <f t="shared" si="31"/>
        <v>3.54</v>
      </c>
      <c r="I235" s="136">
        <f t="shared" ca="1" si="31"/>
        <v>121.23900000000009</v>
      </c>
      <c r="J235" s="136">
        <f t="shared" ca="1" si="31"/>
        <v>121.23900000000009</v>
      </c>
      <c r="K235" s="136">
        <f t="shared" ca="1" si="31"/>
        <v>121.23900000000009</v>
      </c>
      <c r="L235" s="136">
        <f t="shared" ca="1" si="31"/>
        <v>125.2590000000001</v>
      </c>
      <c r="M235" s="136">
        <f t="shared" ca="1" si="31"/>
        <v>121.23900000000009</v>
      </c>
      <c r="N235" s="136">
        <f t="shared" ca="1" si="31"/>
        <v>121.23900000000009</v>
      </c>
      <c r="O235" s="136">
        <f t="shared" ca="1" si="31"/>
        <v>121.23900000000009</v>
      </c>
      <c r="P235" s="136">
        <f t="shared" ca="1" si="31"/>
        <v>121.23900000000009</v>
      </c>
      <c r="Q235" s="136">
        <f t="shared" si="31"/>
        <v>0</v>
      </c>
      <c r="R235" s="136">
        <f t="shared" si="31"/>
        <v>0</v>
      </c>
      <c r="S235" s="136">
        <f t="shared" si="31"/>
        <v>0</v>
      </c>
      <c r="T235" s="136">
        <f t="shared" si="31"/>
        <v>0</v>
      </c>
      <c r="U235" s="136">
        <f t="shared" si="31"/>
        <v>0</v>
      </c>
      <c r="V235" s="136">
        <f t="shared" si="31"/>
        <v>0</v>
      </c>
      <c r="W235" s="136">
        <f t="shared" si="31"/>
        <v>0</v>
      </c>
      <c r="X235" s="136">
        <f t="shared" si="31"/>
        <v>0</v>
      </c>
      <c r="Y235" s="136">
        <f t="shared" si="31"/>
        <v>0</v>
      </c>
      <c r="Z235" s="136">
        <f t="shared" si="31"/>
        <v>0</v>
      </c>
      <c r="AA235" s="136">
        <f t="shared" si="31"/>
        <v>0</v>
      </c>
      <c r="AB235" s="136">
        <f t="shared" si="31"/>
        <v>0</v>
      </c>
      <c r="AC235" s="136">
        <f t="shared" si="31"/>
        <v>0</v>
      </c>
      <c r="AD235" s="136">
        <f t="shared" si="31"/>
        <v>0</v>
      </c>
      <c r="AE235" s="136">
        <f t="shared" si="31"/>
        <v>0</v>
      </c>
      <c r="AF235" s="136">
        <f t="shared" si="31"/>
        <v>0</v>
      </c>
      <c r="AG235" s="145">
        <f t="shared" si="31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1875.3400000000001</v>
      </c>
      <c r="C244" s="161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23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2080/04/23)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2080/04/23)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32">B91</f>
        <v>1878.94</v>
      </c>
      <c r="U249" s="170">
        <f t="shared" si="32"/>
        <v>1802.44</v>
      </c>
      <c r="V249" s="170">
        <f t="shared" si="32"/>
        <v>1794.44</v>
      </c>
      <c r="W249" s="170">
        <f t="shared" si="32"/>
        <v>1679.4399999999998</v>
      </c>
      <c r="X249" s="170">
        <f t="shared" si="32"/>
        <v>1754.4399999999998</v>
      </c>
      <c r="Y249" s="170">
        <f t="shared" si="32"/>
        <v>1710.4399999999998</v>
      </c>
      <c r="Z249" s="170">
        <f t="shared" si="32"/>
        <v>1725.4399999999998</v>
      </c>
      <c r="AA249" s="170">
        <f t="shared" si="32"/>
        <v>1694.4399999999998</v>
      </c>
      <c r="AB249" s="170">
        <f t="shared" si="32"/>
        <v>1764.4399999999998</v>
      </c>
      <c r="AC249" s="170">
        <f t="shared" si="32"/>
        <v>1770.4399999999998</v>
      </c>
      <c r="AD249" s="170">
        <f t="shared" si="32"/>
        <v>1782.44</v>
      </c>
      <c r="AE249" s="170">
        <f t="shared" si="32"/>
        <v>1845.3400000000001</v>
      </c>
      <c r="AF249" s="170">
        <f t="shared" si="32"/>
        <v>1875.3400000000001</v>
      </c>
      <c r="AG249" s="170">
        <f t="shared" si="32"/>
        <v>1875.3400000000001</v>
      </c>
      <c r="AH249" s="170">
        <f t="shared" si="32"/>
        <v>1875.3400000000001</v>
      </c>
      <c r="AI249" s="170">
        <f t="shared" si="32"/>
        <v>1886.54</v>
      </c>
      <c r="AJ249" s="170">
        <f t="shared" si="32"/>
        <v>1886.54</v>
      </c>
      <c r="AK249" s="170">
        <f t="shared" si="32"/>
        <v>1876.54</v>
      </c>
      <c r="AL249" s="170">
        <f t="shared" si="32"/>
        <v>1894.54</v>
      </c>
      <c r="AM249" s="170">
        <f t="shared" si="32"/>
        <v>1887.54</v>
      </c>
      <c r="AN249" s="170">
        <f t="shared" si="32"/>
        <v>1921.0400000000002</v>
      </c>
      <c r="AO249" s="170">
        <f t="shared" si="32"/>
        <v>1907.64</v>
      </c>
      <c r="AP249" s="170">
        <f t="shared" si="32"/>
        <v>1906.94</v>
      </c>
      <c r="AQ249" s="170">
        <f t="shared" si="32"/>
        <v>1914.74</v>
      </c>
      <c r="AR249" s="170">
        <f t="shared" si="32"/>
        <v>1969.34</v>
      </c>
      <c r="AS249" s="170">
        <f t="shared" si="32"/>
        <v>1951.44</v>
      </c>
      <c r="AT249" s="170">
        <f t="shared" si="32"/>
        <v>1951.44</v>
      </c>
      <c r="AU249" s="170">
        <f t="shared" si="32"/>
        <v>1951.44</v>
      </c>
      <c r="AV249" s="170">
        <f t="shared" si="32"/>
        <v>1951.44</v>
      </c>
      <c r="AW249" s="170">
        <f t="shared" si="32"/>
        <v>1906.64</v>
      </c>
      <c r="AX249" s="170">
        <f t="shared" si="32"/>
        <v>1895.64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33">C234</f>
        <v>0.64</v>
      </c>
      <c r="C270" s="173">
        <f t="shared" si="33"/>
        <v>0.64</v>
      </c>
      <c r="D270" s="173">
        <f t="shared" si="33"/>
        <v>0.64</v>
      </c>
      <c r="E270" s="173">
        <f t="shared" si="33"/>
        <v>0.64</v>
      </c>
      <c r="F270" s="173">
        <f t="shared" si="33"/>
        <v>0.64</v>
      </c>
      <c r="G270" s="173">
        <f t="shared" si="33"/>
        <v>0.64</v>
      </c>
      <c r="H270" s="173">
        <f t="shared" si="33"/>
        <v>0.64</v>
      </c>
      <c r="I270" s="173">
        <f t="shared" si="33"/>
        <v>0.64</v>
      </c>
      <c r="J270" s="173">
        <f t="shared" si="33"/>
        <v>0.64</v>
      </c>
      <c r="K270" s="173">
        <f t="shared" si="33"/>
        <v>0.64</v>
      </c>
      <c r="L270" s="173">
        <f t="shared" si="33"/>
        <v>0.64</v>
      </c>
      <c r="M270" s="173">
        <f t="shared" si="33"/>
        <v>0.64</v>
      </c>
      <c r="N270" s="173">
        <f t="shared" si="33"/>
        <v>0.64</v>
      </c>
      <c r="O270" s="173">
        <f t="shared" si="33"/>
        <v>0.64</v>
      </c>
      <c r="P270" s="173">
        <f t="shared" si="33"/>
        <v>0</v>
      </c>
      <c r="Q270" s="173">
        <f t="shared" si="33"/>
        <v>0</v>
      </c>
      <c r="R270" s="173">
        <f t="shared" si="33"/>
        <v>0</v>
      </c>
      <c r="S270" s="173">
        <f t="shared" si="33"/>
        <v>0</v>
      </c>
      <c r="T270" s="173">
        <f t="shared" si="33"/>
        <v>0</v>
      </c>
      <c r="U270" s="173">
        <f t="shared" si="33"/>
        <v>0</v>
      </c>
      <c r="V270" s="173">
        <f t="shared" si="33"/>
        <v>0</v>
      </c>
      <c r="W270" s="173">
        <f t="shared" si="33"/>
        <v>0</v>
      </c>
      <c r="X270" s="173">
        <f t="shared" si="33"/>
        <v>0</v>
      </c>
      <c r="Y270" s="173">
        <f t="shared" si="33"/>
        <v>0</v>
      </c>
      <c r="Z270" s="173">
        <f t="shared" si="33"/>
        <v>0</v>
      </c>
      <c r="AA270" s="173">
        <f t="shared" si="33"/>
        <v>0</v>
      </c>
      <c r="AB270" s="173">
        <f t="shared" si="33"/>
        <v>0</v>
      </c>
      <c r="AC270" s="173">
        <f t="shared" si="33"/>
        <v>0</v>
      </c>
      <c r="AD270" s="173">
        <f t="shared" si="33"/>
        <v>0</v>
      </c>
      <c r="AE270" s="173">
        <f t="shared" si="33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34">IF(B238&lt;100,"",B238-520)</f>
        <v/>
      </c>
      <c r="C271" s="174" t="str">
        <f t="shared" si="34"/>
        <v/>
      </c>
      <c r="D271" s="174" t="str">
        <f t="shared" si="34"/>
        <v/>
      </c>
      <c r="E271" s="174" t="str">
        <f t="shared" si="34"/>
        <v/>
      </c>
      <c r="F271" s="174" t="str">
        <f t="shared" si="34"/>
        <v/>
      </c>
      <c r="G271" s="174" t="str">
        <f t="shared" si="34"/>
        <v/>
      </c>
      <c r="H271" s="174" t="str">
        <f t="shared" si="34"/>
        <v/>
      </c>
      <c r="I271" s="174" t="str">
        <f t="shared" si="34"/>
        <v/>
      </c>
      <c r="J271" s="174" t="str">
        <f t="shared" si="34"/>
        <v/>
      </c>
      <c r="K271" s="174" t="str">
        <f t="shared" si="34"/>
        <v/>
      </c>
      <c r="L271" s="174" t="str">
        <f t="shared" si="34"/>
        <v/>
      </c>
      <c r="M271" s="174" t="str">
        <f t="shared" si="34"/>
        <v/>
      </c>
      <c r="N271" s="174" t="str">
        <f t="shared" si="34"/>
        <v/>
      </c>
      <c r="O271" s="174" t="str">
        <f t="shared" si="34"/>
        <v/>
      </c>
      <c r="P271" s="174" t="str">
        <f t="shared" si="34"/>
        <v/>
      </c>
      <c r="Q271" s="174" t="str">
        <f t="shared" si="34"/>
        <v/>
      </c>
      <c r="R271" s="174" t="str">
        <f t="shared" si="34"/>
        <v/>
      </c>
      <c r="S271" s="174" t="str">
        <f t="shared" si="34"/>
        <v/>
      </c>
      <c r="T271" s="174" t="str">
        <f t="shared" si="34"/>
        <v/>
      </c>
      <c r="U271" s="174" t="str">
        <f t="shared" si="34"/>
        <v/>
      </c>
      <c r="V271" s="174" t="str">
        <f t="shared" si="34"/>
        <v/>
      </c>
      <c r="W271" s="174" t="str">
        <f t="shared" si="34"/>
        <v/>
      </c>
      <c r="X271" s="174" t="str">
        <f t="shared" si="34"/>
        <v/>
      </c>
      <c r="Y271" s="174" t="str">
        <f t="shared" si="34"/>
        <v/>
      </c>
      <c r="Z271" s="174" t="str">
        <f t="shared" si="34"/>
        <v/>
      </c>
      <c r="AA271" s="174" t="str">
        <f t="shared" si="34"/>
        <v/>
      </c>
      <c r="AB271" s="174" t="str">
        <f t="shared" si="34"/>
        <v/>
      </c>
      <c r="AC271" s="174" t="str">
        <f t="shared" si="34"/>
        <v/>
      </c>
      <c r="AD271" s="174" t="str">
        <f t="shared" si="34"/>
        <v/>
      </c>
      <c r="AE271" s="174" t="str">
        <f t="shared" si="34"/>
        <v/>
      </c>
      <c r="AF271" s="174" t="str">
        <f t="shared" si="34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35">IF(B239&lt;100,"",B239-620)</f>
        <v/>
      </c>
      <c r="C272" s="174" t="str">
        <f t="shared" si="35"/>
        <v/>
      </c>
      <c r="D272" s="174" t="str">
        <f t="shared" si="35"/>
        <v/>
      </c>
      <c r="E272" s="174" t="str">
        <f t="shared" si="35"/>
        <v/>
      </c>
      <c r="F272" s="174" t="str">
        <f t="shared" si="35"/>
        <v/>
      </c>
      <c r="G272" s="174" t="str">
        <f t="shared" si="35"/>
        <v/>
      </c>
      <c r="H272" s="174" t="str">
        <f t="shared" si="35"/>
        <v/>
      </c>
      <c r="I272" s="174" t="str">
        <f t="shared" si="35"/>
        <v/>
      </c>
      <c r="J272" s="174" t="str">
        <f t="shared" si="35"/>
        <v/>
      </c>
      <c r="K272" s="174" t="str">
        <f t="shared" si="35"/>
        <v/>
      </c>
      <c r="L272" s="174" t="str">
        <f t="shared" si="35"/>
        <v/>
      </c>
      <c r="M272" s="174" t="str">
        <f t="shared" si="35"/>
        <v/>
      </c>
      <c r="N272" s="174" t="str">
        <f t="shared" si="35"/>
        <v/>
      </c>
      <c r="O272" s="174" t="str">
        <f t="shared" si="35"/>
        <v/>
      </c>
      <c r="P272" s="174" t="str">
        <f t="shared" si="35"/>
        <v/>
      </c>
      <c r="Q272" s="174" t="str">
        <f t="shared" si="35"/>
        <v/>
      </c>
      <c r="R272" s="174" t="str">
        <f t="shared" si="35"/>
        <v/>
      </c>
      <c r="S272" s="174" t="str">
        <f t="shared" si="35"/>
        <v/>
      </c>
      <c r="T272" s="174" t="str">
        <f t="shared" si="35"/>
        <v/>
      </c>
      <c r="U272" s="174" t="str">
        <f t="shared" si="35"/>
        <v/>
      </c>
      <c r="V272" s="174" t="str">
        <f t="shared" si="35"/>
        <v/>
      </c>
      <c r="W272" s="174" t="str">
        <f t="shared" si="35"/>
        <v/>
      </c>
      <c r="X272" s="174" t="str">
        <f t="shared" si="35"/>
        <v/>
      </c>
      <c r="Y272" s="174" t="str">
        <f t="shared" si="35"/>
        <v/>
      </c>
      <c r="Z272" s="174" t="str">
        <f t="shared" si="35"/>
        <v/>
      </c>
      <c r="AA272" s="174" t="str">
        <f t="shared" si="35"/>
        <v/>
      </c>
      <c r="AB272" s="174" t="str">
        <f t="shared" si="35"/>
        <v/>
      </c>
      <c r="AC272" s="174" t="str">
        <f t="shared" si="35"/>
        <v/>
      </c>
      <c r="AD272" s="174" t="str">
        <f t="shared" si="35"/>
        <v/>
      </c>
      <c r="AE272" s="174" t="str">
        <f t="shared" si="35"/>
        <v/>
      </c>
      <c r="AF272" s="174" t="str">
        <f t="shared" si="35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36">IF(B240&lt;100,"",B240-330)</f>
        <v/>
      </c>
      <c r="C273" s="174" t="str">
        <f t="shared" si="36"/>
        <v/>
      </c>
      <c r="D273" s="174" t="str">
        <f t="shared" si="36"/>
        <v/>
      </c>
      <c r="E273" s="174" t="str">
        <f t="shared" si="36"/>
        <v/>
      </c>
      <c r="F273" s="174" t="str">
        <f t="shared" si="36"/>
        <v/>
      </c>
      <c r="G273" s="174" t="str">
        <f t="shared" si="36"/>
        <v/>
      </c>
      <c r="H273" s="174" t="str">
        <f t="shared" si="36"/>
        <v/>
      </c>
      <c r="I273" s="174" t="str">
        <f t="shared" si="36"/>
        <v/>
      </c>
      <c r="J273" s="174" t="str">
        <f t="shared" si="36"/>
        <v/>
      </c>
      <c r="K273" s="174" t="str">
        <f t="shared" si="36"/>
        <v/>
      </c>
      <c r="L273" s="174" t="str">
        <f t="shared" si="36"/>
        <v/>
      </c>
      <c r="M273" s="174" t="str">
        <f t="shared" si="36"/>
        <v/>
      </c>
      <c r="N273" s="174" t="str">
        <f t="shared" si="36"/>
        <v/>
      </c>
      <c r="O273" s="174" t="str">
        <f t="shared" si="36"/>
        <v/>
      </c>
      <c r="P273" s="174" t="str">
        <f t="shared" si="36"/>
        <v/>
      </c>
      <c r="Q273" s="174" t="str">
        <f t="shared" si="36"/>
        <v/>
      </c>
      <c r="R273" s="174" t="str">
        <f t="shared" si="36"/>
        <v/>
      </c>
      <c r="S273" s="174" t="str">
        <f t="shared" si="36"/>
        <v/>
      </c>
      <c r="T273" s="174" t="str">
        <f t="shared" si="36"/>
        <v/>
      </c>
      <c r="U273" s="174" t="str">
        <f t="shared" si="36"/>
        <v/>
      </c>
      <c r="V273" s="174" t="str">
        <f t="shared" si="36"/>
        <v/>
      </c>
      <c r="W273" s="174" t="str">
        <f t="shared" si="36"/>
        <v/>
      </c>
      <c r="X273" s="174" t="str">
        <f t="shared" si="36"/>
        <v/>
      </c>
      <c r="Y273" s="174" t="str">
        <f t="shared" si="36"/>
        <v/>
      </c>
      <c r="Z273" s="174" t="str">
        <f t="shared" si="36"/>
        <v/>
      </c>
      <c r="AA273" s="174" t="str">
        <f t="shared" si="36"/>
        <v/>
      </c>
      <c r="AB273" s="174" t="str">
        <f t="shared" si="36"/>
        <v/>
      </c>
      <c r="AC273" s="174" t="str">
        <f t="shared" si="36"/>
        <v/>
      </c>
      <c r="AD273" s="174" t="str">
        <f t="shared" si="36"/>
        <v/>
      </c>
      <c r="AE273" s="174" t="str">
        <f t="shared" si="36"/>
        <v/>
      </c>
      <c r="AF273" s="174" t="str">
        <f t="shared" si="36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37">IF(B241&lt;100,"",B241-1500)</f>
        <v/>
      </c>
      <c r="C274" s="174" t="str">
        <f t="shared" si="37"/>
        <v/>
      </c>
      <c r="D274" s="174" t="str">
        <f t="shared" si="37"/>
        <v/>
      </c>
      <c r="E274" s="174" t="str">
        <f t="shared" si="37"/>
        <v/>
      </c>
      <c r="F274" s="174" t="str">
        <f t="shared" si="37"/>
        <v/>
      </c>
      <c r="G274" s="174" t="str">
        <f t="shared" si="37"/>
        <v/>
      </c>
      <c r="H274" s="174" t="str">
        <f t="shared" si="37"/>
        <v/>
      </c>
      <c r="I274" s="174" t="str">
        <f t="shared" si="37"/>
        <v/>
      </c>
      <c r="J274" s="174" t="str">
        <f t="shared" si="37"/>
        <v/>
      </c>
      <c r="K274" s="174" t="str">
        <f t="shared" si="37"/>
        <v/>
      </c>
      <c r="L274" s="174" t="str">
        <f t="shared" si="37"/>
        <v/>
      </c>
      <c r="M274" s="174" t="str">
        <f t="shared" si="37"/>
        <v/>
      </c>
      <c r="N274" s="174" t="str">
        <f t="shared" si="37"/>
        <v/>
      </c>
      <c r="O274" s="174" t="str">
        <f t="shared" si="37"/>
        <v/>
      </c>
      <c r="P274" s="174" t="str">
        <f t="shared" si="37"/>
        <v/>
      </c>
      <c r="Q274" s="174" t="str">
        <f t="shared" si="37"/>
        <v/>
      </c>
      <c r="R274" s="174" t="str">
        <f t="shared" si="37"/>
        <v/>
      </c>
      <c r="S274" s="174" t="str">
        <f t="shared" si="37"/>
        <v/>
      </c>
      <c r="T274" s="174" t="str">
        <f t="shared" si="37"/>
        <v/>
      </c>
      <c r="U274" s="174" t="str">
        <f t="shared" si="37"/>
        <v/>
      </c>
      <c r="V274" s="174" t="str">
        <f t="shared" si="37"/>
        <v/>
      </c>
      <c r="W274" s="174" t="str">
        <f t="shared" si="37"/>
        <v/>
      </c>
      <c r="X274" s="174" t="str">
        <f t="shared" si="37"/>
        <v/>
      </c>
      <c r="Y274" s="174" t="str">
        <f t="shared" si="37"/>
        <v/>
      </c>
      <c r="Z274" s="174" t="str">
        <f t="shared" si="37"/>
        <v/>
      </c>
      <c r="AA274" s="174" t="str">
        <f t="shared" si="37"/>
        <v/>
      </c>
      <c r="AB274" s="174" t="str">
        <f t="shared" si="37"/>
        <v/>
      </c>
      <c r="AC274" s="174" t="str">
        <f t="shared" si="37"/>
        <v/>
      </c>
      <c r="AD274" s="174" t="str">
        <f t="shared" si="37"/>
        <v/>
      </c>
      <c r="AE274" s="174" t="str">
        <f t="shared" si="37"/>
        <v/>
      </c>
      <c r="AF274" s="174" t="str">
        <f t="shared" si="37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453" priority="64">
      <formula>$AH11=0</formula>
    </cfRule>
  </conditionalFormatting>
  <conditionalFormatting sqref="B8 M8 S8 AB8">
    <cfRule type="expression" dxfId="452" priority="117">
      <formula>C$9&lt;8/24</formula>
    </cfRule>
    <cfRule type="expression" dxfId="451" priority="116">
      <formula>AND(C$9&gt;=8/24,C$9&lt;14/24)</formula>
    </cfRule>
    <cfRule type="expression" dxfId="450" priority="115">
      <formula>AND(C$9&gt;=14/24,C$9&lt;20/24)</formula>
    </cfRule>
  </conditionalFormatting>
  <conditionalFormatting sqref="B54:C54">
    <cfRule type="expression" dxfId="449" priority="38">
      <formula>B$9&gt;=20/24</formula>
    </cfRule>
    <cfRule type="expression" dxfId="448" priority="39">
      <formula>AND(B$9&gt;=14/24,B$9&lt;20/24)</formula>
    </cfRule>
    <cfRule type="expression" dxfId="447" priority="40">
      <formula>AND(B$9&gt;=8/24,B$9&lt;14/24)</formula>
    </cfRule>
    <cfRule type="expression" dxfId="446" priority="41">
      <formula>B$9&lt;8/24</formula>
    </cfRule>
  </conditionalFormatting>
  <conditionalFormatting sqref="B54:C66 M62:Z66">
    <cfRule type="expression" dxfId="445" priority="33">
      <formula>B54&gt;$AG54</formula>
    </cfRule>
  </conditionalFormatting>
  <conditionalFormatting sqref="B55:Z60">
    <cfRule type="expression" dxfId="444" priority="52">
      <formula>AND(B$9&gt;=14/24,B$9&lt;20/24)</formula>
    </cfRule>
    <cfRule type="expression" dxfId="443" priority="51">
      <formula>B$9&gt;=20/24</formula>
    </cfRule>
    <cfRule type="expression" dxfId="442" priority="54">
      <formula>B$9&lt;8/24</formula>
    </cfRule>
    <cfRule type="expression" dxfId="441" priority="53">
      <formula>AND(B$9&gt;=8/24,B$9&lt;14/24)</formula>
    </cfRule>
  </conditionalFormatting>
  <conditionalFormatting sqref="B9:AF45">
    <cfRule type="expression" dxfId="440" priority="23">
      <formula>B$9&gt;=20/24</formula>
    </cfRule>
    <cfRule type="expression" dxfId="439" priority="24">
      <formula>AND(B$9&gt;=14/24,B$9&lt;20/24)</formula>
    </cfRule>
    <cfRule type="expression" dxfId="438" priority="25">
      <formula>AND(B$9&gt;=8/24,B$9&lt;14/24)</formula>
    </cfRule>
    <cfRule type="expression" dxfId="437" priority="26">
      <formula>B$9&lt;8/24</formula>
    </cfRule>
  </conditionalFormatting>
  <conditionalFormatting sqref="B11:AF46">
    <cfRule type="expression" dxfId="436" priority="22">
      <formula>B11&gt;$AG11</formula>
    </cfRule>
  </conditionalFormatting>
  <conditionalFormatting sqref="B46:AF46">
    <cfRule type="expression" dxfId="435" priority="18">
      <formula>B$9&gt;=20/24</formula>
    </cfRule>
    <cfRule type="expression" dxfId="434" priority="19">
      <formula>AND(B$9&gt;=14/24,B$9&lt;20/24)</formula>
    </cfRule>
    <cfRule type="expression" dxfId="433" priority="20">
      <formula>AND(B$9&gt;=8/24,B$9&lt;14/24)</formula>
    </cfRule>
    <cfRule type="expression" dxfId="432" priority="21">
      <formula>B$9&lt;8/24</formula>
    </cfRule>
  </conditionalFormatting>
  <conditionalFormatting sqref="B47:AF47">
    <cfRule type="expression" dxfId="431" priority="32">
      <formula>B47&gt;$AG47</formula>
    </cfRule>
  </conditionalFormatting>
  <conditionalFormatting sqref="B47:AF49">
    <cfRule type="expression" dxfId="430" priority="31">
      <formula>B$9&lt;8/24</formula>
    </cfRule>
    <cfRule type="expression" dxfId="429" priority="28">
      <formula>B$9&gt;=20/24</formula>
    </cfRule>
    <cfRule type="expression" dxfId="428" priority="29">
      <formula>AND(B$9&gt;=14/24,B$9&lt;20/24)</formula>
    </cfRule>
    <cfRule type="expression" dxfId="427" priority="30">
      <formula>AND(B$9&gt;=8/24,B$9&lt;14/24)</formula>
    </cfRule>
  </conditionalFormatting>
  <conditionalFormatting sqref="B48:AF53">
    <cfRule type="expression" dxfId="426" priority="27">
      <formula>B48&gt;$AG48</formula>
    </cfRule>
  </conditionalFormatting>
  <conditionalFormatting sqref="B51:AF53">
    <cfRule type="expression" dxfId="425" priority="50">
      <formula>B$9&lt;8/24</formula>
    </cfRule>
    <cfRule type="expression" dxfId="424" priority="49">
      <formula>AND(B$9&gt;=8/24,B$9&lt;14/24)</formula>
    </cfRule>
    <cfRule type="expression" dxfId="423" priority="47">
      <formula>B$9&gt;=20/24</formula>
    </cfRule>
    <cfRule type="expression" dxfId="422" priority="48">
      <formula>AND(B$9&gt;=14/24,B$9&lt;20/24)</formula>
    </cfRule>
  </conditionalFormatting>
  <conditionalFormatting sqref="B61:AF66">
    <cfRule type="expression" dxfId="421" priority="35">
      <formula>AND(B$9&gt;=14/24,B$9&lt;20/24)</formula>
    </cfRule>
    <cfRule type="expression" dxfId="420" priority="37">
      <formula>B$9&lt;8/24</formula>
    </cfRule>
    <cfRule type="expression" dxfId="419" priority="36">
      <formula>AND(B$9&gt;=8/24,B$9&lt;14/24)</formula>
    </cfRule>
    <cfRule type="expression" dxfId="418" priority="34">
      <formula>B$9&gt;=20/24</formula>
    </cfRule>
  </conditionalFormatting>
  <conditionalFormatting sqref="B69:AF71">
    <cfRule type="expression" dxfId="417" priority="55">
      <formula>B69&gt;$AG69</formula>
    </cfRule>
    <cfRule type="expression" dxfId="416" priority="56">
      <formula>B$9&gt;=20/24</formula>
    </cfRule>
    <cfRule type="expression" dxfId="415" priority="57">
      <formula>AND(B$9&gt;=14/24,B$9&lt;20/24)</formula>
    </cfRule>
    <cfRule type="expression" dxfId="414" priority="58">
      <formula>AND(B$9&gt;=8/24,B$9&lt;14/24)</formula>
    </cfRule>
    <cfRule type="expression" dxfId="413" priority="59">
      <formula>B$9&lt;8/24</formula>
    </cfRule>
  </conditionalFormatting>
  <conditionalFormatting sqref="B73:AF91">
    <cfRule type="expression" dxfId="412" priority="2">
      <formula>AND(B$9&gt;=14/24,B$9&lt;20/24)</formula>
    </cfRule>
    <cfRule type="expression" dxfId="411" priority="3">
      <formula>AND(B$9&gt;=8/24,B$9&lt;14/24)</formula>
    </cfRule>
    <cfRule type="expression" dxfId="410" priority="4">
      <formula>B$9&lt;8/24</formula>
    </cfRule>
    <cfRule type="expression" dxfId="409" priority="1">
      <formula>B$9&gt;=20/24</formula>
    </cfRule>
  </conditionalFormatting>
  <conditionalFormatting sqref="B111:AF120">
    <cfRule type="expression" dxfId="408" priority="17">
      <formula>B$9&lt;8/24</formula>
    </cfRule>
    <cfRule type="expression" dxfId="407" priority="14">
      <formula>B$9&gt;=20/24</formula>
    </cfRule>
    <cfRule type="expression" dxfId="406" priority="15">
      <formula>AND(B$9&gt;=14/24,B$9&lt;20/24)</formula>
    </cfRule>
    <cfRule type="expression" dxfId="405" priority="16">
      <formula>AND(B$9&gt;=8/24,B$9&lt;14/24)</formula>
    </cfRule>
  </conditionalFormatting>
  <conditionalFormatting sqref="B227:AF227 D229:AF230 B229:B235 D231:H231 J231:AF231 D232:AF235 U248:AF248">
    <cfRule type="expression" dxfId="404" priority="111">
      <formula>B$9&lt;8/24</formula>
    </cfRule>
    <cfRule type="expression" dxfId="403" priority="109">
      <formula>AND(B$9&gt;=14/24,B$9&lt;20/24)</formula>
    </cfRule>
    <cfRule type="expression" dxfId="402" priority="108">
      <formula>B$9&gt;=20/24</formula>
    </cfRule>
    <cfRule type="expression" dxfId="401" priority="110">
      <formula>AND(B$9&gt;=8/24,B$9&lt;14/24)</formula>
    </cfRule>
  </conditionalFormatting>
  <conditionalFormatting sqref="B67:AG68 B72:AG72">
    <cfRule type="expression" dxfId="400" priority="42">
      <formula>B67&gt;$AG67</formula>
    </cfRule>
  </conditionalFormatting>
  <conditionalFormatting sqref="B72:AG72 B93:AF109">
    <cfRule type="expression" dxfId="399" priority="43">
      <formula>B$9&gt;=20/24</formula>
    </cfRule>
    <cfRule type="expression" dxfId="398" priority="46">
      <formula>B$9&lt;8/24</formula>
    </cfRule>
    <cfRule type="expression" dxfId="397" priority="45">
      <formula>AND(B$9&gt;=8/24,B$9&lt;14/24)</formula>
    </cfRule>
    <cfRule type="expression" dxfId="396" priority="44">
      <formula>AND(B$9&gt;=14/24,B$9&lt;20/24)</formula>
    </cfRule>
  </conditionalFormatting>
  <conditionalFormatting sqref="D55:AF66">
    <cfRule type="expression" dxfId="395" priority="5">
      <formula>D55&gt;$AG55</formula>
    </cfRule>
  </conditionalFormatting>
  <conditionalFormatting sqref="D54:AG54">
    <cfRule type="expression" dxfId="394" priority="80">
      <formula>D$9&lt;8/24</formula>
    </cfRule>
    <cfRule type="expression" dxfId="393" priority="76">
      <formula>D54&gt;$AG54</formula>
    </cfRule>
    <cfRule type="expression" dxfId="392" priority="77">
      <formula>D$9&gt;=20/24</formula>
    </cfRule>
    <cfRule type="expression" dxfId="391" priority="78">
      <formula>AND(D$9&gt;=14/24,D$9&lt;20/24)</formula>
    </cfRule>
    <cfRule type="expression" dxfId="390" priority="79">
      <formula>AND(D$9&gt;=8/24,D$9&lt;14/24)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89" priority="114">
      <formula>C$9&gt;=20/24</formula>
    </cfRule>
  </conditionalFormatting>
  <conditionalFormatting sqref="S8">
    <cfRule type="expression" dxfId="388" priority="101">
      <formula>U$9&gt;=20/24</formula>
    </cfRule>
    <cfRule type="expression" dxfId="387" priority="102">
      <formula>AND(U$9&gt;=14/24,U$9&lt;20/24)</formula>
    </cfRule>
    <cfRule type="expression" dxfId="386" priority="103">
      <formula>AND(U$9&gt;=8/24,U$9&lt;14/24)</formula>
    </cfRule>
    <cfRule type="expression" dxfId="385" priority="104">
      <formula>U$9&lt;8/24</formula>
    </cfRule>
  </conditionalFormatting>
  <conditionalFormatting sqref="S55:AF60">
    <cfRule type="expression" dxfId="384" priority="12">
      <formula>AND(S$9&gt;=8/24,S$9&lt;14/24)</formula>
    </cfRule>
    <cfRule type="expression" dxfId="383" priority="13">
      <formula>S$9&lt;8/24</formula>
    </cfRule>
    <cfRule type="expression" dxfId="382" priority="11">
      <formula>AND(S$9&gt;=14/24,S$9&lt;20/24)</formula>
    </cfRule>
    <cfRule type="expression" dxfId="381" priority="10">
      <formula>S$9&gt;=20/24</formula>
    </cfRule>
  </conditionalFormatting>
  <conditionalFormatting sqref="T248">
    <cfRule type="expression" dxfId="380" priority="129">
      <formula>AX$9&lt;8/24</formula>
    </cfRule>
    <cfRule type="expression" dxfId="379" priority="126">
      <formula>AX$9&gt;=20/24</formula>
    </cfRule>
    <cfRule type="expression" dxfId="378" priority="127">
      <formula>AND(AX$9&gt;=14/24,AX$9&lt;20/24)</formula>
    </cfRule>
    <cfRule type="expression" dxfId="377" priority="128">
      <formula>AND(AX$9&gt;=8/24,AX$9&lt;14/24)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76" priority="97">
      <formula>AD$9&gt;=20/24</formula>
    </cfRule>
    <cfRule type="expression" dxfId="375" priority="98">
      <formula>AND(AD$9&gt;=14/24,AD$9&lt;20/24)</formula>
    </cfRule>
    <cfRule type="expression" dxfId="374" priority="99">
      <formula>AND(AD$9&gt;=8/24,AD$9&lt;14/24)</formula>
    </cfRule>
    <cfRule type="expression" dxfId="373" priority="100">
      <formula>AD$9&lt;8/24</formula>
    </cfRule>
  </conditionalFormatting>
  <conditionalFormatting sqref="AE61:AF66">
    <cfRule type="expression" dxfId="372" priority="6">
      <formula>AE$9&gt;=20/24</formula>
    </cfRule>
    <cfRule type="expression" dxfId="371" priority="9">
      <formula>AE$9&lt;8/24</formula>
    </cfRule>
    <cfRule type="expression" dxfId="370" priority="8">
      <formula>AND(AE$9&gt;=8/24,AE$9&lt;14/24)</formula>
    </cfRule>
    <cfRule type="expression" dxfId="369" priority="7">
      <formula>AND(AE$9&gt;=14/24,AE$9&lt;20/24)</formula>
    </cfRule>
  </conditionalFormatting>
  <conditionalFormatting sqref="AG50">
    <cfRule type="expression" dxfId="368" priority="84">
      <formula>AG50&gt;$AG50</formula>
    </cfRule>
  </conditionalFormatting>
  <conditionalFormatting sqref="AG89">
    <cfRule type="expression" dxfId="367" priority="85">
      <formula>AG$9&gt;=20/24</formula>
    </cfRule>
    <cfRule type="expression" dxfId="366" priority="86">
      <formula>AND(AG$9&gt;=14/24,AG$9&lt;20/24)</formula>
    </cfRule>
    <cfRule type="expression" dxfId="365" priority="87">
      <formula>AND(AG$9&gt;=8/24,AG$9&lt;14/24)</formula>
    </cfRule>
    <cfRule type="expression" dxfId="364" priority="88">
      <formula>AG$9&lt;8/24</formula>
    </cfRule>
  </conditionalFormatting>
  <conditionalFormatting sqref="AG248">
    <cfRule type="expression" dxfId="363" priority="119">
      <formula>AND(B$9&gt;=14/24,B$9&lt;20/24)</formula>
    </cfRule>
    <cfRule type="expression" dxfId="362" priority="118">
      <formula>B$9&gt;=20/24</formula>
    </cfRule>
    <cfRule type="expression" dxfId="361" priority="120">
      <formula>AND(B$9&gt;=8/24,B$9&lt;14/24)</formula>
    </cfRule>
    <cfRule type="expression" dxfId="360" priority="121">
      <formula>B$9&lt;8/24</formula>
    </cfRule>
  </conditionalFormatting>
  <conditionalFormatting sqref="AH248:AX248">
    <cfRule type="expression" dxfId="359" priority="122">
      <formula>AG$9&gt;=20/24</formula>
    </cfRule>
    <cfRule type="expression" dxfId="358" priority="123">
      <formula>AND(AG$9&gt;=14/24,AG$9&lt;20/24)</formula>
    </cfRule>
    <cfRule type="expression" dxfId="357" priority="124">
      <formula>AND(AG$9&gt;=8/24,AG$9&lt;14/24)</formula>
    </cfRule>
    <cfRule type="expression" dxfId="356" priority="125">
      <formula>AG$9&lt;8/24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55" priority="131">
      <formula>AJ$9&gt;=20/24</formula>
    </cfRule>
    <cfRule type="expression" dxfId="354" priority="132">
      <formula>AND(AJ$9&gt;=14/24,AJ$9&lt;20/24)</formula>
    </cfRule>
    <cfRule type="expression" dxfId="353" priority="133">
      <formula>AND(AJ$9&gt;=8/24,AJ$9&lt;14/24)</formula>
    </cfRule>
    <cfRule type="expression" dxfId="352" priority="134">
      <formula>AJ$9&lt;8/24</formula>
    </cfRule>
  </conditionalFormatting>
  <conditionalFormatting sqref="AL80:AN80 AL86:AN86">
    <cfRule type="expression" dxfId="351" priority="72">
      <formula>AL$9&gt;=20/24</formula>
    </cfRule>
    <cfRule type="expression" dxfId="350" priority="73">
      <formula>AND(AL$9&gt;=14/24,AL$9&lt;20/24)</formula>
    </cfRule>
    <cfRule type="expression" dxfId="349" priority="74">
      <formula>AND(AL$9&gt;=8/24,AL$9&lt;14/24)</formula>
    </cfRule>
    <cfRule type="expression" dxfId="348" priority="75">
      <formula>AL$9&lt;8/24</formula>
    </cfRule>
  </conditionalFormatting>
  <conditionalFormatting sqref="AN81:AN84">
    <cfRule type="expression" dxfId="347" priority="68">
      <formula>AN$9&gt;=20/24</formula>
    </cfRule>
    <cfRule type="expression" dxfId="346" priority="69">
      <formula>AND(AN$9&gt;=14/24,AN$9&lt;20/24)</formula>
    </cfRule>
    <cfRule type="expression" dxfId="345" priority="70">
      <formula>AND(AN$9&gt;=8/24,AN$9&lt;14/24)</formula>
    </cfRule>
    <cfRule type="expression" dxfId="344" priority="71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136D-2438-40A1-B70A-1096D92352A5}">
  <dimension ref="A1:CJ281"/>
  <sheetViews>
    <sheetView zoomScaleNormal="100" workbookViewId="0">
      <pane xSplit="1" ySplit="10" topLeftCell="B47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G62" sqref="G62:Z6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2080/04/24</v>
      </c>
      <c r="C4" s="203"/>
      <c r="D4" s="203"/>
      <c r="E4" s="204" t="str">
        <f ca="1">"2079/"&amp;"12/"&amp;INT(MID(CELL("filename",G6),FIND("]",CELL("filename",G6))+1,200))</f>
        <v>2079/12/24</v>
      </c>
      <c r="F4" s="204"/>
      <c r="G4" s="204"/>
      <c r="H4" s="204" t="str">
        <f ca="1">TEXT(E4,"dddd")</f>
        <v>Sunday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7.3</v>
      </c>
      <c r="AA5" s="30">
        <f t="shared" si="0"/>
        <v>0</v>
      </c>
      <c r="AB5" s="30">
        <f t="shared" si="0"/>
        <v>17</v>
      </c>
      <c r="AC5" s="30">
        <f t="shared" si="0"/>
        <v>6.6</v>
      </c>
      <c r="AD5" s="30">
        <f t="shared" si="0"/>
        <v>5.0999999999999996</v>
      </c>
      <c r="AE5" s="30">
        <f t="shared" si="0"/>
        <v>0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1921MW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Load=1773</v>
      </c>
      <c r="B7" s="35">
        <f t="shared" ref="B7:AF7" si="1">B91</f>
        <v>1895.64</v>
      </c>
      <c r="C7" s="35">
        <f t="shared" si="1"/>
        <v>1888.14</v>
      </c>
      <c r="D7" s="35">
        <f t="shared" si="1"/>
        <v>1888.14</v>
      </c>
      <c r="E7" s="35">
        <f t="shared" si="1"/>
        <v>1773.14</v>
      </c>
      <c r="F7" s="35">
        <f t="shared" si="1"/>
        <v>1795.44</v>
      </c>
      <c r="G7" s="35">
        <f t="shared" si="1"/>
        <v>1785.44</v>
      </c>
      <c r="H7" s="35">
        <f t="shared" si="1"/>
        <v>1795.34</v>
      </c>
      <c r="I7" s="35">
        <f t="shared" si="1"/>
        <v>1800.34</v>
      </c>
      <c r="J7" s="35">
        <f t="shared" si="1"/>
        <v>1821.54</v>
      </c>
      <c r="K7" s="35">
        <f t="shared" si="1"/>
        <v>1842.14</v>
      </c>
      <c r="L7" s="35">
        <f t="shared" si="1"/>
        <v>1860.64</v>
      </c>
      <c r="M7" s="35">
        <f t="shared" si="1"/>
        <v>1920.64</v>
      </c>
      <c r="N7" s="35">
        <f>N91</f>
        <v>1910.64</v>
      </c>
      <c r="O7" s="35">
        <f t="shared" si="1"/>
        <v>1913.64</v>
      </c>
      <c r="P7" s="35">
        <f t="shared" si="1"/>
        <v>1956.64</v>
      </c>
      <c r="Q7" s="35">
        <f t="shared" si="1"/>
        <v>1965.44</v>
      </c>
      <c r="R7" s="35">
        <f t="shared" si="1"/>
        <v>1951.44</v>
      </c>
      <c r="S7" s="35">
        <f t="shared" si="1"/>
        <v>1970.44</v>
      </c>
      <c r="T7" s="35">
        <f t="shared" si="1"/>
        <v>1968.44</v>
      </c>
      <c r="U7" s="35">
        <f t="shared" si="1"/>
        <v>1948.24</v>
      </c>
      <c r="V7" s="35">
        <f t="shared" si="1"/>
        <v>1940.04</v>
      </c>
      <c r="W7" s="35">
        <f t="shared" si="1"/>
        <v>1933.49</v>
      </c>
      <c r="X7" s="35">
        <f t="shared" si="1"/>
        <v>1953.39</v>
      </c>
      <c r="Y7" s="35">
        <f t="shared" si="1"/>
        <v>1953.39</v>
      </c>
      <c r="Z7" s="35">
        <f t="shared" si="1"/>
        <v>2038.54</v>
      </c>
      <c r="AA7" s="35">
        <f t="shared" si="1"/>
        <v>2064.84</v>
      </c>
      <c r="AB7" s="35">
        <f t="shared" si="1"/>
        <v>2144.6400000000003</v>
      </c>
      <c r="AC7" s="35">
        <f t="shared" si="1"/>
        <v>2043.54</v>
      </c>
      <c r="AD7" s="35">
        <f t="shared" si="1"/>
        <v>1994.84</v>
      </c>
      <c r="AE7" s="35">
        <f t="shared" si="1"/>
        <v>1993.34</v>
      </c>
      <c r="AF7" s="35">
        <f t="shared" si="1"/>
        <v>1916.8400000000001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86.7</v>
      </c>
      <c r="C11" s="45">
        <v>86.7</v>
      </c>
      <c r="D11" s="45">
        <v>86.7</v>
      </c>
      <c r="E11" s="45">
        <v>86.7</v>
      </c>
      <c r="F11" s="45">
        <v>90</v>
      </c>
      <c r="G11" s="45">
        <v>80</v>
      </c>
      <c r="H11" s="45">
        <v>80</v>
      </c>
      <c r="I11" s="45">
        <v>80</v>
      </c>
      <c r="J11" s="45">
        <v>80</v>
      </c>
      <c r="K11" s="45">
        <v>80</v>
      </c>
      <c r="L11" s="45">
        <v>86</v>
      </c>
      <c r="M11" s="45">
        <v>86</v>
      </c>
      <c r="N11" s="45">
        <v>86</v>
      </c>
      <c r="O11" s="45">
        <v>86</v>
      </c>
      <c r="P11" s="45">
        <v>60</v>
      </c>
      <c r="Q11" s="45">
        <v>90</v>
      </c>
      <c r="R11" s="45">
        <v>90</v>
      </c>
      <c r="S11" s="45">
        <v>90</v>
      </c>
      <c r="T11" s="45">
        <v>90</v>
      </c>
      <c r="U11" s="45">
        <v>90</v>
      </c>
      <c r="V11" s="45">
        <v>90</v>
      </c>
      <c r="W11" s="45">
        <v>90</v>
      </c>
      <c r="X11" s="45">
        <v>90</v>
      </c>
      <c r="Y11" s="45">
        <v>90</v>
      </c>
      <c r="Z11" s="45">
        <v>90</v>
      </c>
      <c r="AA11" s="45">
        <v>90</v>
      </c>
      <c r="AB11" s="45">
        <v>90</v>
      </c>
      <c r="AC11" s="45">
        <v>90</v>
      </c>
      <c r="AD11" s="45">
        <v>90</v>
      </c>
      <c r="AE11" s="45">
        <v>90</v>
      </c>
      <c r="AF11" s="45">
        <v>90</v>
      </c>
      <c r="AG11" s="46">
        <v>86</v>
      </c>
      <c r="AH11" s="47">
        <f t="shared" ref="AH11:AH76" si="2">MAX(B11:AF11)</f>
        <v>90</v>
      </c>
      <c r="AI11" s="48">
        <f t="shared" ref="AI11:AI76" si="3">MIN(B11:AF11)</f>
        <v>60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9</v>
      </c>
      <c r="C12" s="45">
        <v>9</v>
      </c>
      <c r="D12" s="45">
        <v>9</v>
      </c>
      <c r="E12" s="45">
        <v>9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20</v>
      </c>
      <c r="Q12" s="45">
        <v>20</v>
      </c>
      <c r="R12" s="45">
        <v>8</v>
      </c>
      <c r="S12" s="45">
        <v>8</v>
      </c>
      <c r="T12" s="45">
        <v>8</v>
      </c>
      <c r="U12" s="45">
        <v>8</v>
      </c>
      <c r="V12" s="45">
        <v>8</v>
      </c>
      <c r="W12" s="45">
        <v>8</v>
      </c>
      <c r="X12" s="45">
        <v>8</v>
      </c>
      <c r="Y12" s="45">
        <v>8</v>
      </c>
      <c r="Z12" s="45">
        <v>26</v>
      </c>
      <c r="AA12" s="45">
        <v>26</v>
      </c>
      <c r="AB12" s="45">
        <v>26</v>
      </c>
      <c r="AC12" s="45">
        <v>26</v>
      </c>
      <c r="AD12" s="45">
        <v>9</v>
      </c>
      <c r="AE12" s="45">
        <v>9</v>
      </c>
      <c r="AF12" s="45">
        <v>0</v>
      </c>
      <c r="AG12" s="49">
        <v>54</v>
      </c>
      <c r="AH12" s="47">
        <f t="shared" si="2"/>
        <v>26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55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>
        <v>48</v>
      </c>
      <c r="K13" s="45">
        <v>48</v>
      </c>
      <c r="L13" s="45">
        <v>55</v>
      </c>
      <c r="M13" s="45">
        <v>55</v>
      </c>
      <c r="N13" s="45">
        <v>55</v>
      </c>
      <c r="O13" s="45">
        <v>55</v>
      </c>
      <c r="P13" s="45">
        <v>55</v>
      </c>
      <c r="Q13" s="45">
        <v>55</v>
      </c>
      <c r="R13" s="45">
        <v>55</v>
      </c>
      <c r="S13" s="45">
        <v>55</v>
      </c>
      <c r="T13" s="45">
        <v>55</v>
      </c>
      <c r="U13" s="45">
        <v>55</v>
      </c>
      <c r="V13" s="45">
        <v>55</v>
      </c>
      <c r="W13" s="45">
        <v>55</v>
      </c>
      <c r="X13" s="45">
        <v>55</v>
      </c>
      <c r="Y13" s="45">
        <v>55</v>
      </c>
      <c r="Z13" s="45">
        <v>55</v>
      </c>
      <c r="AA13" s="45">
        <v>55</v>
      </c>
      <c r="AB13" s="45">
        <v>54.9</v>
      </c>
      <c r="AC13" s="45">
        <v>54.9</v>
      </c>
      <c r="AD13" s="45">
        <v>54.9</v>
      </c>
      <c r="AE13" s="45">
        <v>54.9</v>
      </c>
      <c r="AF13" s="45">
        <v>54.9</v>
      </c>
      <c r="AG13" s="46">
        <v>52.4</v>
      </c>
      <c r="AH13" s="47">
        <f t="shared" si="2"/>
        <v>55</v>
      </c>
      <c r="AI13" s="48">
        <f t="shared" si="3"/>
        <v>48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50.4</v>
      </c>
      <c r="C14" s="58">
        <v>50.4</v>
      </c>
      <c r="D14" s="58">
        <v>50.4</v>
      </c>
      <c r="E14" s="58">
        <v>50.4</v>
      </c>
      <c r="F14" s="58">
        <v>50.4</v>
      </c>
      <c r="G14" s="58">
        <v>50.4</v>
      </c>
      <c r="H14" s="58">
        <v>50.4</v>
      </c>
      <c r="I14" s="58">
        <v>50.4</v>
      </c>
      <c r="J14" s="58">
        <v>50.4</v>
      </c>
      <c r="K14" s="58">
        <v>50.4</v>
      </c>
      <c r="L14" s="58">
        <v>50.4</v>
      </c>
      <c r="M14" s="58">
        <v>50.4</v>
      </c>
      <c r="N14" s="58">
        <v>50.4</v>
      </c>
      <c r="O14" s="58">
        <v>50.4</v>
      </c>
      <c r="P14" s="58">
        <v>50.4</v>
      </c>
      <c r="Q14" s="58">
        <v>50.4</v>
      </c>
      <c r="R14" s="58">
        <v>50.4</v>
      </c>
      <c r="S14" s="58">
        <v>50.4</v>
      </c>
      <c r="T14" s="58">
        <v>50.4</v>
      </c>
      <c r="U14" s="58">
        <v>50.4</v>
      </c>
      <c r="V14" s="58">
        <v>50.4</v>
      </c>
      <c r="W14" s="58">
        <v>50.4</v>
      </c>
      <c r="X14" s="58">
        <v>50.4</v>
      </c>
      <c r="Y14" s="58">
        <v>50.4</v>
      </c>
      <c r="Z14" s="58">
        <v>50.4</v>
      </c>
      <c r="AA14" s="45">
        <v>50.4</v>
      </c>
      <c r="AB14" s="45">
        <v>50.2</v>
      </c>
      <c r="AC14" s="45">
        <v>50.2</v>
      </c>
      <c r="AD14" s="45">
        <v>50.2</v>
      </c>
      <c r="AE14" s="45">
        <v>50.2</v>
      </c>
      <c r="AF14" s="45">
        <v>50.2</v>
      </c>
      <c r="AG14" s="49">
        <v>50</v>
      </c>
      <c r="AH14" s="47">
        <f t="shared" si="2"/>
        <v>50.4</v>
      </c>
      <c r="AI14" s="48">
        <f t="shared" si="3"/>
        <v>50.2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</v>
      </c>
      <c r="C15" s="45">
        <v>46</v>
      </c>
      <c r="D15" s="45">
        <v>46</v>
      </c>
      <c r="E15" s="45">
        <v>46</v>
      </c>
      <c r="F15" s="45">
        <v>37</v>
      </c>
      <c r="G15" s="45">
        <v>37</v>
      </c>
      <c r="H15" s="45">
        <v>37</v>
      </c>
      <c r="I15" s="45">
        <v>37</v>
      </c>
      <c r="J15" s="45">
        <v>37</v>
      </c>
      <c r="K15" s="45">
        <v>37</v>
      </c>
      <c r="L15" s="45">
        <v>37</v>
      </c>
      <c r="M15" s="45">
        <v>37</v>
      </c>
      <c r="N15" s="45">
        <v>37</v>
      </c>
      <c r="O15" s="45">
        <v>37</v>
      </c>
      <c r="P15" s="45">
        <v>37</v>
      </c>
      <c r="Q15" s="45">
        <v>37</v>
      </c>
      <c r="R15" s="45">
        <v>37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</v>
      </c>
      <c r="AI15" s="48">
        <f t="shared" si="3"/>
        <v>37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25</v>
      </c>
      <c r="G16" s="45">
        <v>25</v>
      </c>
      <c r="H16" s="45">
        <v>35</v>
      </c>
      <c r="I16" s="45">
        <v>40</v>
      </c>
      <c r="J16" s="45">
        <v>40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25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28.5</v>
      </c>
      <c r="C17" s="45">
        <v>28.5</v>
      </c>
      <c r="D17" s="45">
        <v>28.5</v>
      </c>
      <c r="E17" s="45">
        <v>28.5</v>
      </c>
      <c r="F17" s="45">
        <v>28.5</v>
      </c>
      <c r="G17" s="45">
        <v>28.5</v>
      </c>
      <c r="H17" s="45">
        <v>28.5</v>
      </c>
      <c r="I17" s="45">
        <v>28.5</v>
      </c>
      <c r="J17" s="45">
        <v>28.5</v>
      </c>
      <c r="K17" s="45">
        <v>28.5</v>
      </c>
      <c r="L17" s="45">
        <v>29</v>
      </c>
      <c r="M17" s="45">
        <v>29</v>
      </c>
      <c r="N17" s="45">
        <v>29</v>
      </c>
      <c r="O17" s="45">
        <v>29</v>
      </c>
      <c r="P17" s="45">
        <v>29</v>
      </c>
      <c r="Q17" s="45">
        <v>29</v>
      </c>
      <c r="R17" s="45">
        <v>29</v>
      </c>
      <c r="S17" s="45">
        <v>29</v>
      </c>
      <c r="T17" s="45">
        <v>29</v>
      </c>
      <c r="U17" s="45">
        <v>29</v>
      </c>
      <c r="V17" s="45">
        <v>29</v>
      </c>
      <c r="W17" s="45">
        <v>29</v>
      </c>
      <c r="X17" s="45">
        <v>29</v>
      </c>
      <c r="Y17" s="45">
        <v>29</v>
      </c>
      <c r="Z17" s="45">
        <v>29</v>
      </c>
      <c r="AA17" s="45">
        <v>29</v>
      </c>
      <c r="AB17" s="45">
        <v>29</v>
      </c>
      <c r="AC17" s="45">
        <v>29</v>
      </c>
      <c r="AD17" s="45">
        <v>29</v>
      </c>
      <c r="AE17" s="45">
        <v>29</v>
      </c>
      <c r="AF17" s="45">
        <v>29</v>
      </c>
      <c r="AG17" s="49">
        <v>42</v>
      </c>
      <c r="AH17" s="47">
        <f t="shared" si="2"/>
        <v>29</v>
      </c>
      <c r="AI17" s="48">
        <f t="shared" si="3"/>
        <v>28.5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39</v>
      </c>
      <c r="C18" s="45">
        <v>39</v>
      </c>
      <c r="D18" s="45">
        <v>39</v>
      </c>
      <c r="E18" s="45">
        <v>39</v>
      </c>
      <c r="F18" s="45">
        <v>39</v>
      </c>
      <c r="G18" s="45">
        <v>39</v>
      </c>
      <c r="H18" s="45">
        <v>39</v>
      </c>
      <c r="I18" s="45">
        <v>39</v>
      </c>
      <c r="J18" s="45">
        <v>39</v>
      </c>
      <c r="K18" s="45">
        <v>39</v>
      </c>
      <c r="L18" s="45">
        <v>39</v>
      </c>
      <c r="M18" s="45">
        <v>39</v>
      </c>
      <c r="N18" s="45">
        <v>39</v>
      </c>
      <c r="O18" s="45">
        <v>39</v>
      </c>
      <c r="P18" s="45">
        <v>39</v>
      </c>
      <c r="Q18" s="45">
        <v>39</v>
      </c>
      <c r="R18" s="45">
        <v>39</v>
      </c>
      <c r="S18" s="45">
        <v>39</v>
      </c>
      <c r="T18" s="45">
        <v>39</v>
      </c>
      <c r="U18" s="45">
        <v>39</v>
      </c>
      <c r="V18" s="45">
        <v>39</v>
      </c>
      <c r="W18" s="45">
        <v>39</v>
      </c>
      <c r="X18" s="45">
        <v>39</v>
      </c>
      <c r="Y18" s="45">
        <v>39</v>
      </c>
      <c r="Z18" s="45">
        <v>39</v>
      </c>
      <c r="AA18" s="45">
        <v>39</v>
      </c>
      <c r="AB18" s="45">
        <v>39</v>
      </c>
      <c r="AC18" s="45">
        <v>39</v>
      </c>
      <c r="AD18" s="45">
        <v>39</v>
      </c>
      <c r="AE18" s="45">
        <v>39</v>
      </c>
      <c r="AF18" s="45">
        <v>39</v>
      </c>
      <c r="AG18" s="49">
        <v>38.46</v>
      </c>
      <c r="AH18" s="47">
        <f t="shared" si="2"/>
        <v>39</v>
      </c>
      <c r="AI18" s="48">
        <f t="shared" si="3"/>
        <v>39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30</v>
      </c>
      <c r="G19" s="45">
        <v>30</v>
      </c>
      <c r="H19" s="45">
        <v>30</v>
      </c>
      <c r="I19" s="45">
        <v>30</v>
      </c>
      <c r="J19" s="45">
        <v>30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5</v>
      </c>
      <c r="C20" s="45">
        <v>5</v>
      </c>
      <c r="D20" s="45">
        <v>5</v>
      </c>
      <c r="E20" s="45">
        <v>5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5</v>
      </c>
      <c r="M20" s="45">
        <v>5</v>
      </c>
      <c r="N20" s="45">
        <v>0</v>
      </c>
      <c r="O20" s="45">
        <v>0</v>
      </c>
      <c r="P20" s="45">
        <v>10</v>
      </c>
      <c r="Q20" s="45">
        <v>10</v>
      </c>
      <c r="R20" s="45">
        <v>5</v>
      </c>
      <c r="S20" s="45">
        <v>5</v>
      </c>
      <c r="T20" s="45">
        <v>5</v>
      </c>
      <c r="U20" s="45">
        <v>5</v>
      </c>
      <c r="V20" s="45">
        <v>5</v>
      </c>
      <c r="W20" s="45">
        <v>5</v>
      </c>
      <c r="X20" s="45">
        <v>5</v>
      </c>
      <c r="Y20" s="45">
        <v>5</v>
      </c>
      <c r="Z20" s="45">
        <v>15</v>
      </c>
      <c r="AA20" s="45">
        <v>26.2</v>
      </c>
      <c r="AB20" s="45">
        <v>14.8</v>
      </c>
      <c r="AC20" s="45">
        <v>14.8</v>
      </c>
      <c r="AD20" s="45">
        <v>10.5</v>
      </c>
      <c r="AE20" s="45">
        <v>10.5</v>
      </c>
      <c r="AF20" s="45">
        <v>0</v>
      </c>
      <c r="AG20" s="51">
        <v>30</v>
      </c>
      <c r="AH20" s="47">
        <f t="shared" si="2"/>
        <v>26.2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</v>
      </c>
      <c r="C21" s="45">
        <v>20</v>
      </c>
      <c r="D21" s="45">
        <v>20</v>
      </c>
      <c r="E21" s="45">
        <v>20</v>
      </c>
      <c r="F21" s="45">
        <v>20</v>
      </c>
      <c r="G21" s="45">
        <v>20</v>
      </c>
      <c r="H21" s="45">
        <v>20</v>
      </c>
      <c r="I21" s="45">
        <v>20</v>
      </c>
      <c r="J21" s="45">
        <v>20</v>
      </c>
      <c r="K21" s="45">
        <v>20</v>
      </c>
      <c r="L21" s="45">
        <v>20</v>
      </c>
      <c r="M21" s="45">
        <v>20</v>
      </c>
      <c r="N21" s="45">
        <v>20</v>
      </c>
      <c r="O21" s="45">
        <v>20</v>
      </c>
      <c r="P21" s="45">
        <v>20</v>
      </c>
      <c r="Q21" s="45">
        <v>20</v>
      </c>
      <c r="R21" s="45">
        <v>20</v>
      </c>
      <c r="S21" s="45">
        <v>20</v>
      </c>
      <c r="T21" s="45">
        <v>20</v>
      </c>
      <c r="U21" s="45">
        <v>20</v>
      </c>
      <c r="V21" s="45">
        <v>20</v>
      </c>
      <c r="W21" s="45">
        <v>20</v>
      </c>
      <c r="X21" s="45">
        <v>20</v>
      </c>
      <c r="Y21" s="45">
        <v>20</v>
      </c>
      <c r="Z21" s="45">
        <v>20</v>
      </c>
      <c r="AA21" s="45">
        <v>20</v>
      </c>
      <c r="AB21" s="45">
        <v>20</v>
      </c>
      <c r="AC21" s="45">
        <v>20</v>
      </c>
      <c r="AD21" s="45">
        <v>20</v>
      </c>
      <c r="AE21" s="45">
        <v>20</v>
      </c>
      <c r="AF21" s="45">
        <v>20</v>
      </c>
      <c r="AG21" s="49">
        <v>24.2</v>
      </c>
      <c r="AH21" s="47">
        <f t="shared" si="2"/>
        <v>20</v>
      </c>
      <c r="AI21" s="48">
        <f t="shared" si="3"/>
        <v>20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20</v>
      </c>
      <c r="X22" s="45">
        <v>20</v>
      </c>
      <c r="Y22" s="45">
        <v>20</v>
      </c>
      <c r="Z22" s="45">
        <v>20</v>
      </c>
      <c r="AA22" s="45">
        <v>20</v>
      </c>
      <c r="AB22" s="45">
        <v>20.9</v>
      </c>
      <c r="AC22" s="45">
        <v>20.9</v>
      </c>
      <c r="AD22" s="45">
        <v>20.9</v>
      </c>
      <c r="AE22" s="45">
        <v>20.9</v>
      </c>
      <c r="AF22" s="45">
        <v>20.9</v>
      </c>
      <c r="AG22" s="49">
        <v>28</v>
      </c>
      <c r="AH22" s="47">
        <f t="shared" si="2"/>
        <v>20.9</v>
      </c>
      <c r="AI22" s="48">
        <f t="shared" si="3"/>
        <v>20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4.5</v>
      </c>
      <c r="C23" s="45">
        <v>4.5</v>
      </c>
      <c r="D23" s="45">
        <v>4.5</v>
      </c>
      <c r="E23" s="45">
        <v>4.5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12</v>
      </c>
      <c r="Q23" s="45">
        <v>12</v>
      </c>
      <c r="R23" s="45">
        <v>3</v>
      </c>
      <c r="S23" s="45">
        <v>3</v>
      </c>
      <c r="T23" s="45">
        <v>3</v>
      </c>
      <c r="U23" s="45">
        <v>3</v>
      </c>
      <c r="V23" s="45">
        <v>3</v>
      </c>
      <c r="W23" s="45">
        <v>3</v>
      </c>
      <c r="X23" s="45">
        <v>3</v>
      </c>
      <c r="Y23" s="45">
        <v>3</v>
      </c>
      <c r="Z23" s="45">
        <v>21</v>
      </c>
      <c r="AA23" s="45">
        <v>21</v>
      </c>
      <c r="AB23" s="45">
        <v>21</v>
      </c>
      <c r="AC23" s="45">
        <v>9</v>
      </c>
      <c r="AD23" s="45">
        <v>9</v>
      </c>
      <c r="AE23" s="45">
        <v>9</v>
      </c>
      <c r="AF23" s="45">
        <v>0</v>
      </c>
      <c r="AG23" s="51">
        <v>30</v>
      </c>
      <c r="AH23" s="47">
        <f t="shared" si="2"/>
        <v>21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</v>
      </c>
      <c r="C24" s="45">
        <v>24</v>
      </c>
      <c r="D24" s="45">
        <v>24</v>
      </c>
      <c r="E24" s="45">
        <v>24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25</v>
      </c>
      <c r="L24" s="45">
        <v>25</v>
      </c>
      <c r="M24" s="45">
        <v>25</v>
      </c>
      <c r="N24" s="45">
        <v>25</v>
      </c>
      <c r="O24" s="45">
        <v>25</v>
      </c>
      <c r="P24" s="45">
        <v>25</v>
      </c>
      <c r="Q24" s="45">
        <v>25</v>
      </c>
      <c r="R24" s="45">
        <v>25</v>
      </c>
      <c r="S24" s="45">
        <v>25</v>
      </c>
      <c r="T24" s="45">
        <v>25</v>
      </c>
      <c r="U24" s="45">
        <v>25</v>
      </c>
      <c r="V24" s="45">
        <v>25</v>
      </c>
      <c r="W24" s="45">
        <v>25</v>
      </c>
      <c r="X24" s="45">
        <v>25</v>
      </c>
      <c r="Y24" s="45">
        <v>25</v>
      </c>
      <c r="Z24" s="45">
        <v>25</v>
      </c>
      <c r="AA24" s="45">
        <v>25</v>
      </c>
      <c r="AB24" s="45">
        <v>25</v>
      </c>
      <c r="AC24" s="45">
        <v>24.3</v>
      </c>
      <c r="AD24" s="45">
        <v>24.3</v>
      </c>
      <c r="AE24" s="45">
        <v>24.3</v>
      </c>
      <c r="AF24" s="45">
        <v>24.3</v>
      </c>
      <c r="AG24" s="49">
        <v>25</v>
      </c>
      <c r="AH24" s="47">
        <f t="shared" si="2"/>
        <v>25</v>
      </c>
      <c r="AI24" s="48">
        <f t="shared" si="3"/>
        <v>22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20</v>
      </c>
      <c r="C26" s="45">
        <v>20</v>
      </c>
      <c r="D26" s="45">
        <v>20</v>
      </c>
      <c r="E26" s="45">
        <v>20</v>
      </c>
      <c r="F26" s="45">
        <v>20</v>
      </c>
      <c r="G26" s="45">
        <v>20</v>
      </c>
      <c r="H26" s="45">
        <v>20</v>
      </c>
      <c r="I26" s="45">
        <v>20</v>
      </c>
      <c r="J26" s="45">
        <v>20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4.5</v>
      </c>
      <c r="C27" s="45">
        <v>4.5</v>
      </c>
      <c r="D27" s="45">
        <v>4.5</v>
      </c>
      <c r="E27" s="45">
        <v>4.5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10</v>
      </c>
      <c r="Q27" s="45">
        <v>10</v>
      </c>
      <c r="R27" s="45">
        <v>10</v>
      </c>
      <c r="S27" s="45">
        <v>10</v>
      </c>
      <c r="T27" s="45">
        <v>10</v>
      </c>
      <c r="U27" s="45">
        <v>10</v>
      </c>
      <c r="V27" s="45">
        <v>10</v>
      </c>
      <c r="W27" s="45">
        <v>10</v>
      </c>
      <c r="X27" s="45">
        <v>10</v>
      </c>
      <c r="Y27" s="45">
        <v>10</v>
      </c>
      <c r="Z27" s="45">
        <v>18</v>
      </c>
      <c r="AA27" s="45">
        <v>18</v>
      </c>
      <c r="AB27" s="45">
        <v>18</v>
      </c>
      <c r="AC27" s="45">
        <v>12.5</v>
      </c>
      <c r="AD27" s="45">
        <v>4.5</v>
      </c>
      <c r="AE27" s="45">
        <v>4.5</v>
      </c>
      <c r="AF27" s="45">
        <v>0</v>
      </c>
      <c r="AG27" s="49">
        <v>25</v>
      </c>
      <c r="AH27" s="47">
        <f t="shared" si="2"/>
        <v>18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24.9</v>
      </c>
      <c r="C28" s="45">
        <v>24.9</v>
      </c>
      <c r="D28" s="45">
        <v>24.9</v>
      </c>
      <c r="E28" s="45">
        <v>24.9</v>
      </c>
      <c r="F28" s="45">
        <v>24.9</v>
      </c>
      <c r="G28" s="45">
        <v>24.9</v>
      </c>
      <c r="H28" s="45">
        <v>24.9</v>
      </c>
      <c r="I28" s="45">
        <v>24.9</v>
      </c>
      <c r="J28" s="45">
        <v>24.9</v>
      </c>
      <c r="K28" s="45">
        <v>24.9</v>
      </c>
      <c r="L28" s="45">
        <v>24.9</v>
      </c>
      <c r="M28" s="45">
        <v>24.9</v>
      </c>
      <c r="N28" s="45">
        <v>24.9</v>
      </c>
      <c r="O28" s="45">
        <v>24.9</v>
      </c>
      <c r="P28" s="45">
        <v>24.9</v>
      </c>
      <c r="Q28" s="45">
        <v>24.9</v>
      </c>
      <c r="R28" s="45">
        <v>24.9</v>
      </c>
      <c r="S28" s="45">
        <v>24.9</v>
      </c>
      <c r="T28" s="45">
        <v>24.9</v>
      </c>
      <c r="U28" s="45">
        <v>24.9</v>
      </c>
      <c r="V28" s="45">
        <v>24.9</v>
      </c>
      <c r="W28" s="45">
        <v>24.9</v>
      </c>
      <c r="X28" s="45">
        <v>24.9</v>
      </c>
      <c r="Y28" s="45">
        <v>24.9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24.9</v>
      </c>
      <c r="AF28" s="45">
        <v>24.9</v>
      </c>
      <c r="AG28" s="49">
        <v>23.5</v>
      </c>
      <c r="AH28" s="47">
        <f t="shared" si="2"/>
        <v>24.9</v>
      </c>
      <c r="AI28" s="48">
        <f t="shared" si="3"/>
        <v>24.9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15</v>
      </c>
      <c r="C32" s="45">
        <v>15</v>
      </c>
      <c r="D32" s="45">
        <v>15</v>
      </c>
      <c r="E32" s="45">
        <v>15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45">
        <v>10</v>
      </c>
      <c r="L32" s="45">
        <v>10</v>
      </c>
      <c r="M32" s="45">
        <v>10</v>
      </c>
      <c r="N32" s="45">
        <v>10</v>
      </c>
      <c r="O32" s="45">
        <v>10</v>
      </c>
      <c r="P32" s="45">
        <v>10</v>
      </c>
      <c r="Q32" s="45">
        <v>10</v>
      </c>
      <c r="R32" s="45">
        <v>10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10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0</v>
      </c>
      <c r="O33" s="45">
        <v>0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10</v>
      </c>
      <c r="AD33" s="45">
        <v>5</v>
      </c>
      <c r="AE33" s="45">
        <v>5</v>
      </c>
      <c r="AF33" s="45">
        <v>0</v>
      </c>
      <c r="AG33" s="49">
        <v>20</v>
      </c>
      <c r="AH33" s="47">
        <f t="shared" si="2"/>
        <v>10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4</v>
      </c>
      <c r="Q34" s="45">
        <v>4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5</v>
      </c>
      <c r="AB34" s="45">
        <v>5</v>
      </c>
      <c r="AC34" s="45">
        <v>4</v>
      </c>
      <c r="AD34" s="45">
        <v>0</v>
      </c>
      <c r="AE34" s="45">
        <v>0</v>
      </c>
      <c r="AF34" s="45">
        <v>0</v>
      </c>
      <c r="AG34" s="49">
        <v>18</v>
      </c>
      <c r="AH34" s="47">
        <f t="shared" si="2"/>
        <v>5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2</v>
      </c>
      <c r="C39" s="45">
        <v>2</v>
      </c>
      <c r="D39" s="45">
        <v>2</v>
      </c>
      <c r="E39" s="45">
        <v>2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8</v>
      </c>
      <c r="Q39" s="45">
        <v>8</v>
      </c>
      <c r="R39" s="45">
        <v>2</v>
      </c>
      <c r="S39" s="45">
        <v>2</v>
      </c>
      <c r="T39" s="45">
        <v>2</v>
      </c>
      <c r="U39" s="45">
        <v>2</v>
      </c>
      <c r="V39" s="45">
        <v>2</v>
      </c>
      <c r="W39" s="45">
        <v>2</v>
      </c>
      <c r="X39" s="45">
        <v>2</v>
      </c>
      <c r="Y39" s="45">
        <v>2</v>
      </c>
      <c r="Z39" s="45">
        <v>6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0</v>
      </c>
      <c r="AG39" s="49">
        <v>12</v>
      </c>
      <c r="AH39" s="47">
        <f t="shared" si="2"/>
        <v>8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8</v>
      </c>
      <c r="C40" s="45">
        <v>8</v>
      </c>
      <c r="D40" s="45">
        <v>8</v>
      </c>
      <c r="E40" s="45">
        <v>8</v>
      </c>
      <c r="F40" s="45">
        <v>8</v>
      </c>
      <c r="G40" s="45">
        <v>8</v>
      </c>
      <c r="H40" s="45">
        <v>8</v>
      </c>
      <c r="I40" s="45">
        <v>8</v>
      </c>
      <c r="J40" s="45">
        <v>8</v>
      </c>
      <c r="K40" s="45">
        <v>8</v>
      </c>
      <c r="L40" s="45">
        <v>8</v>
      </c>
      <c r="M40" s="45">
        <v>8</v>
      </c>
      <c r="N40" s="45">
        <v>8</v>
      </c>
      <c r="O40" s="45">
        <v>8</v>
      </c>
      <c r="P40" s="45">
        <v>8</v>
      </c>
      <c r="Q40" s="45">
        <v>8</v>
      </c>
      <c r="R40" s="45">
        <v>8</v>
      </c>
      <c r="S40" s="45">
        <v>8</v>
      </c>
      <c r="T40" s="45">
        <v>8</v>
      </c>
      <c r="U40" s="45">
        <v>8</v>
      </c>
      <c r="V40" s="45">
        <v>8</v>
      </c>
      <c r="W40" s="45">
        <v>8</v>
      </c>
      <c r="X40" s="45">
        <v>8</v>
      </c>
      <c r="Y40" s="45">
        <v>8</v>
      </c>
      <c r="Z40" s="45">
        <v>8</v>
      </c>
      <c r="AA40" s="45">
        <v>8</v>
      </c>
      <c r="AB40" s="45">
        <v>8</v>
      </c>
      <c r="AC40" s="45">
        <v>8</v>
      </c>
      <c r="AD40" s="45">
        <v>8</v>
      </c>
      <c r="AE40" s="45">
        <v>8</v>
      </c>
      <c r="AF40" s="45">
        <v>8</v>
      </c>
      <c r="AG40" s="49">
        <v>12</v>
      </c>
      <c r="AH40" s="47">
        <f t="shared" si="2"/>
        <v>8</v>
      </c>
      <c r="AI40" s="48">
        <f t="shared" si="3"/>
        <v>8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3</v>
      </c>
      <c r="P41" s="45">
        <v>3</v>
      </c>
      <c r="Q41" s="45">
        <v>3</v>
      </c>
      <c r="R41" s="45">
        <v>3</v>
      </c>
      <c r="S41" s="45">
        <v>3</v>
      </c>
      <c r="T41" s="45">
        <v>3</v>
      </c>
      <c r="U41" s="45">
        <v>3</v>
      </c>
      <c r="V41" s="45">
        <v>3</v>
      </c>
      <c r="W41" s="45">
        <v>3</v>
      </c>
      <c r="X41" s="45">
        <v>3</v>
      </c>
      <c r="Y41" s="45">
        <v>3</v>
      </c>
      <c r="Z41" s="45">
        <v>3</v>
      </c>
      <c r="AA41" s="45">
        <v>3</v>
      </c>
      <c r="AB41" s="45">
        <v>3</v>
      </c>
      <c r="AC41" s="45">
        <v>3</v>
      </c>
      <c r="AD41" s="45">
        <v>3</v>
      </c>
      <c r="AE41" s="45">
        <v>3</v>
      </c>
      <c r="AF41" s="45">
        <v>0</v>
      </c>
      <c r="AG41" s="49">
        <v>12</v>
      </c>
      <c r="AH41" s="47">
        <f t="shared" si="2"/>
        <v>3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0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52">
        <v>22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6</v>
      </c>
      <c r="C43" s="45">
        <v>6</v>
      </c>
      <c r="D43" s="45">
        <v>6</v>
      </c>
      <c r="E43" s="45">
        <v>6</v>
      </c>
      <c r="F43" s="45">
        <v>6</v>
      </c>
      <c r="G43" s="45">
        <v>6</v>
      </c>
      <c r="H43" s="45">
        <v>6</v>
      </c>
      <c r="I43" s="45">
        <v>6</v>
      </c>
      <c r="J43" s="45">
        <v>6</v>
      </c>
      <c r="K43" s="45">
        <v>6</v>
      </c>
      <c r="L43" s="45">
        <v>6</v>
      </c>
      <c r="M43" s="45">
        <v>6</v>
      </c>
      <c r="N43" s="45">
        <v>6</v>
      </c>
      <c r="O43" s="45">
        <v>6</v>
      </c>
      <c r="P43" s="45">
        <v>6</v>
      </c>
      <c r="Q43" s="45">
        <v>6</v>
      </c>
      <c r="R43" s="45">
        <v>6</v>
      </c>
      <c r="S43" s="45">
        <v>6</v>
      </c>
      <c r="T43" s="45">
        <v>6</v>
      </c>
      <c r="U43" s="45">
        <v>6</v>
      </c>
      <c r="V43" s="45">
        <v>6</v>
      </c>
      <c r="W43" s="45">
        <v>6</v>
      </c>
      <c r="X43" s="45">
        <v>6</v>
      </c>
      <c r="Y43" s="45">
        <v>6</v>
      </c>
      <c r="Z43" s="45">
        <v>6</v>
      </c>
      <c r="AA43" s="45">
        <v>6</v>
      </c>
      <c r="AB43" s="45">
        <v>6</v>
      </c>
      <c r="AC43" s="45">
        <v>6</v>
      </c>
      <c r="AD43" s="45">
        <v>6</v>
      </c>
      <c r="AE43" s="45">
        <v>6</v>
      </c>
      <c r="AF43" s="45">
        <v>6</v>
      </c>
      <c r="AG43" s="51">
        <v>11.88</v>
      </c>
      <c r="AH43" s="47">
        <f t="shared" si="2"/>
        <v>6</v>
      </c>
      <c r="AI43" s="48">
        <f t="shared" si="3"/>
        <v>6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8.5</v>
      </c>
      <c r="C46" s="45">
        <v>8.5</v>
      </c>
      <c r="D46" s="45">
        <v>8.5</v>
      </c>
      <c r="E46" s="45">
        <v>8.5</v>
      </c>
      <c r="F46" s="45">
        <v>8.5</v>
      </c>
      <c r="G46" s="45">
        <v>8.5</v>
      </c>
      <c r="H46" s="45">
        <v>8.5</v>
      </c>
      <c r="I46" s="45">
        <v>8.5</v>
      </c>
      <c r="J46" s="45">
        <v>8.5</v>
      </c>
      <c r="K46" s="45">
        <v>8.5</v>
      </c>
      <c r="L46" s="45">
        <v>8.5</v>
      </c>
      <c r="M46" s="45">
        <v>8.5</v>
      </c>
      <c r="N46" s="45">
        <v>8.5</v>
      </c>
      <c r="O46" s="45">
        <v>8.5</v>
      </c>
      <c r="P46" s="45">
        <v>8.5</v>
      </c>
      <c r="Q46" s="45">
        <v>8.5</v>
      </c>
      <c r="R46" s="45">
        <v>8.5</v>
      </c>
      <c r="S46" s="45">
        <v>8.5</v>
      </c>
      <c r="T46" s="45">
        <v>8.5</v>
      </c>
      <c r="U46" s="45">
        <v>8.5</v>
      </c>
      <c r="V46" s="45">
        <v>8.5</v>
      </c>
      <c r="W46" s="45">
        <v>8.5</v>
      </c>
      <c r="X46" s="45">
        <v>8.5</v>
      </c>
      <c r="Y46" s="45">
        <v>8.5</v>
      </c>
      <c r="Z46" s="45">
        <v>8.5</v>
      </c>
      <c r="AA46" s="45">
        <v>8.5</v>
      </c>
      <c r="AB46" s="45">
        <v>8.5</v>
      </c>
      <c r="AC46" s="45">
        <v>8.5</v>
      </c>
      <c r="AD46" s="45">
        <v>8.5</v>
      </c>
      <c r="AE46" s="45">
        <v>8.5</v>
      </c>
      <c r="AF46" s="45">
        <v>8.5</v>
      </c>
      <c r="AG46" s="54">
        <v>10</v>
      </c>
      <c r="AH46" s="47">
        <f t="shared" si="2"/>
        <v>8.5</v>
      </c>
      <c r="AI46" s="48">
        <f t="shared" si="3"/>
        <v>8.5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358</v>
      </c>
      <c r="C48" s="56">
        <v>358</v>
      </c>
      <c r="D48" s="56">
        <v>358</v>
      </c>
      <c r="E48" s="56">
        <v>358</v>
      </c>
      <c r="F48" s="56">
        <v>358</v>
      </c>
      <c r="G48" s="56">
        <v>358</v>
      </c>
      <c r="H48" s="56">
        <v>358</v>
      </c>
      <c r="I48" s="56">
        <v>358</v>
      </c>
      <c r="J48" s="56">
        <v>358</v>
      </c>
      <c r="K48" s="56">
        <v>358</v>
      </c>
      <c r="L48" s="56">
        <v>358</v>
      </c>
      <c r="M48" s="56">
        <v>358</v>
      </c>
      <c r="N48" s="56">
        <v>358</v>
      </c>
      <c r="O48" s="56">
        <v>358</v>
      </c>
      <c r="P48" s="56">
        <v>358</v>
      </c>
      <c r="Q48" s="56">
        <v>358</v>
      </c>
      <c r="R48" s="56">
        <v>358</v>
      </c>
      <c r="S48" s="56">
        <v>358</v>
      </c>
      <c r="T48" s="56">
        <v>358</v>
      </c>
      <c r="U48" s="56">
        <v>358</v>
      </c>
      <c r="V48" s="56">
        <v>358</v>
      </c>
      <c r="W48" s="56">
        <v>358</v>
      </c>
      <c r="X48" s="56">
        <v>358</v>
      </c>
      <c r="Y48" s="56">
        <v>358</v>
      </c>
      <c r="Z48" s="56">
        <v>358</v>
      </c>
      <c r="AA48" s="56">
        <v>358</v>
      </c>
      <c r="AB48" s="56">
        <v>358</v>
      </c>
      <c r="AC48" s="56">
        <v>358</v>
      </c>
      <c r="AD48" s="56">
        <v>358</v>
      </c>
      <c r="AE48" s="56">
        <v>358</v>
      </c>
      <c r="AF48" s="56">
        <v>358</v>
      </c>
      <c r="AG48" s="54">
        <v>85</v>
      </c>
      <c r="AH48" s="47">
        <f t="shared" si="2"/>
        <v>358</v>
      </c>
      <c r="AI48" s="48">
        <f t="shared" si="3"/>
        <v>358</v>
      </c>
      <c r="AK48" s="50"/>
    </row>
    <row r="49" spans="1:41" ht="15.75" thickBot="1" x14ac:dyDescent="0.3">
      <c r="A49" s="57" t="s">
        <v>57</v>
      </c>
      <c r="B49" s="56">
        <v>114</v>
      </c>
      <c r="C49" s="56">
        <v>114</v>
      </c>
      <c r="D49" s="56">
        <v>114</v>
      </c>
      <c r="E49" s="56">
        <v>114</v>
      </c>
      <c r="F49" s="56">
        <v>114</v>
      </c>
      <c r="G49" s="56">
        <v>114</v>
      </c>
      <c r="H49" s="56">
        <v>114</v>
      </c>
      <c r="I49" s="56">
        <v>114</v>
      </c>
      <c r="J49" s="56">
        <v>114</v>
      </c>
      <c r="K49" s="56">
        <v>114</v>
      </c>
      <c r="L49" s="56">
        <v>114</v>
      </c>
      <c r="M49" s="56">
        <v>114</v>
      </c>
      <c r="N49" s="56">
        <v>114</v>
      </c>
      <c r="O49" s="56">
        <v>114</v>
      </c>
      <c r="P49" s="56">
        <v>114</v>
      </c>
      <c r="Q49" s="56">
        <v>114</v>
      </c>
      <c r="R49" s="56">
        <v>114</v>
      </c>
      <c r="S49" s="56">
        <v>114</v>
      </c>
      <c r="T49" s="56">
        <v>114</v>
      </c>
      <c r="U49" s="56">
        <v>114</v>
      </c>
      <c r="V49" s="56">
        <v>114</v>
      </c>
      <c r="W49" s="56">
        <v>114</v>
      </c>
      <c r="X49" s="56">
        <v>114</v>
      </c>
      <c r="Y49" s="56">
        <v>114</v>
      </c>
      <c r="Z49" s="56">
        <v>103</v>
      </c>
      <c r="AA49" s="56">
        <v>103</v>
      </c>
      <c r="AB49" s="56">
        <v>103</v>
      </c>
      <c r="AC49" s="56">
        <v>105</v>
      </c>
      <c r="AD49" s="56">
        <v>107.7</v>
      </c>
      <c r="AE49" s="56">
        <v>108</v>
      </c>
      <c r="AF49" s="56">
        <v>108</v>
      </c>
      <c r="AG49" s="54">
        <v>240</v>
      </c>
      <c r="AH49" s="47">
        <f t="shared" si="2"/>
        <v>114</v>
      </c>
      <c r="AI49" s="48">
        <f t="shared" si="3"/>
        <v>103</v>
      </c>
      <c r="AK49" s="50"/>
    </row>
    <row r="50" spans="1:41" ht="15.75" thickBot="1" x14ac:dyDescent="0.3">
      <c r="A50" s="59" t="s">
        <v>58</v>
      </c>
      <c r="B50" s="60">
        <v>1018.2</v>
      </c>
      <c r="C50" s="60">
        <f t="shared" ref="C50:AF50" si="4">SUM(C11:C48)</f>
        <v>1010.7</v>
      </c>
      <c r="D50" s="60">
        <f t="shared" ref="D50:E50" si="5">SUM(D11:D48)</f>
        <v>1010.7</v>
      </c>
      <c r="E50" s="60">
        <f t="shared" si="5"/>
        <v>1010.7</v>
      </c>
      <c r="F50" s="60">
        <f t="shared" ref="F50:G50" si="6">SUM(F11:F48)</f>
        <v>948</v>
      </c>
      <c r="G50" s="60">
        <f t="shared" si="6"/>
        <v>938</v>
      </c>
      <c r="H50" s="60">
        <f t="shared" ref="H50:I50" si="7">SUM(H11:H48)</f>
        <v>953</v>
      </c>
      <c r="I50" s="60">
        <f t="shared" si="7"/>
        <v>958</v>
      </c>
      <c r="J50" s="60">
        <f t="shared" ref="J50:K50" si="8">SUM(J11:J48)</f>
        <v>951</v>
      </c>
      <c r="K50" s="60">
        <f t="shared" si="8"/>
        <v>969</v>
      </c>
      <c r="L50" s="60">
        <f>SUM(L11:L48)</f>
        <v>987.5</v>
      </c>
      <c r="M50" s="60">
        <f>SUM(M11:M48)</f>
        <v>987.5</v>
      </c>
      <c r="N50" s="60">
        <f t="shared" si="4"/>
        <v>977.5</v>
      </c>
      <c r="O50" s="60">
        <f t="shared" si="4"/>
        <v>980.5</v>
      </c>
      <c r="P50" s="60">
        <f t="shared" si="4"/>
        <v>1023.5</v>
      </c>
      <c r="Q50" s="60">
        <f t="shared" si="4"/>
        <v>1053.5</v>
      </c>
      <c r="R50" s="60">
        <f t="shared" si="4"/>
        <v>1017.5</v>
      </c>
      <c r="S50" s="60">
        <f t="shared" si="4"/>
        <v>1038.5</v>
      </c>
      <c r="T50" s="60">
        <f t="shared" ref="T50:U50" si="9">SUM(T11:T48)</f>
        <v>1038.5</v>
      </c>
      <c r="U50" s="60">
        <f t="shared" si="9"/>
        <v>1038.5</v>
      </c>
      <c r="V50" s="60">
        <f t="shared" ref="V50" si="10">SUM(V11:V48)</f>
        <v>1038.5</v>
      </c>
      <c r="W50" s="60">
        <f t="shared" si="4"/>
        <v>1038.5</v>
      </c>
      <c r="X50" s="60">
        <f t="shared" si="4"/>
        <v>1038.5</v>
      </c>
      <c r="Y50" s="60">
        <f t="shared" si="4"/>
        <v>1038.5</v>
      </c>
      <c r="Z50" s="60">
        <f t="shared" si="4"/>
        <v>1096.5</v>
      </c>
      <c r="AA50" s="60">
        <f t="shared" si="4"/>
        <v>1112.6999999999998</v>
      </c>
      <c r="AB50" s="60">
        <f t="shared" si="4"/>
        <v>1101.9000000000001</v>
      </c>
      <c r="AC50" s="60">
        <f t="shared" si="4"/>
        <v>1087.7</v>
      </c>
      <c r="AD50" s="60">
        <f t="shared" si="4"/>
        <v>1049.4000000000001</v>
      </c>
      <c r="AE50" s="60">
        <f t="shared" si="4"/>
        <v>1049.4000000000001</v>
      </c>
      <c r="AF50" s="60">
        <f t="shared" si="4"/>
        <v>1002.4000000000001</v>
      </c>
      <c r="AG50" s="61">
        <f>SUM(AG13:AG48)</f>
        <v>922.14</v>
      </c>
      <c r="AH50" s="47">
        <f t="shared" si="2"/>
        <v>1112.6999999999998</v>
      </c>
      <c r="AI50" s="48">
        <f t="shared" si="3"/>
        <v>938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</v>
      </c>
      <c r="C53" s="66">
        <v>22</v>
      </c>
      <c r="D53" s="66">
        <v>22</v>
      </c>
      <c r="E53" s="66">
        <v>22</v>
      </c>
      <c r="F53" s="66">
        <v>22</v>
      </c>
      <c r="G53" s="66">
        <v>22</v>
      </c>
      <c r="H53" s="66">
        <v>22</v>
      </c>
      <c r="I53" s="66">
        <v>22</v>
      </c>
      <c r="J53" s="66">
        <v>22</v>
      </c>
      <c r="K53" s="66">
        <v>22</v>
      </c>
      <c r="L53" s="66">
        <v>22</v>
      </c>
      <c r="M53" s="66">
        <v>22</v>
      </c>
      <c r="N53" s="66">
        <v>22</v>
      </c>
      <c r="O53" s="66">
        <v>22</v>
      </c>
      <c r="P53" s="66">
        <v>22</v>
      </c>
      <c r="Q53" s="66">
        <v>0</v>
      </c>
      <c r="R53" s="66">
        <v>22</v>
      </c>
      <c r="S53" s="66">
        <v>22</v>
      </c>
      <c r="T53" s="66">
        <v>22</v>
      </c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66">
        <v>22</v>
      </c>
      <c r="AB53" s="66">
        <v>22</v>
      </c>
      <c r="AC53" s="66">
        <v>22</v>
      </c>
      <c r="AD53" s="66">
        <v>22</v>
      </c>
      <c r="AE53" s="66">
        <v>22</v>
      </c>
      <c r="AF53" s="66">
        <v>22</v>
      </c>
      <c r="AG53" s="67">
        <v>22.1</v>
      </c>
      <c r="AH53" s="47">
        <f t="shared" si="2"/>
        <v>22</v>
      </c>
      <c r="AI53" s="48">
        <f t="shared" si="3"/>
        <v>0</v>
      </c>
      <c r="AK53" s="50"/>
    </row>
    <row r="54" spans="1:41" ht="15.75" thickBot="1" x14ac:dyDescent="0.3">
      <c r="A54" s="68" t="s">
        <v>62</v>
      </c>
      <c r="B54" s="60">
        <v>533</v>
      </c>
      <c r="C54" s="60">
        <f t="shared" ref="C54:AG54" si="11">SUM(C51:C53)</f>
        <v>533</v>
      </c>
      <c r="D54" s="60">
        <f t="shared" ref="D54:E54" si="12">SUM(D51:D53)</f>
        <v>533</v>
      </c>
      <c r="E54" s="60">
        <f t="shared" si="12"/>
        <v>533</v>
      </c>
      <c r="F54" s="60">
        <f t="shared" ref="F54:G54" si="13">SUM(F51:F53)</f>
        <v>533</v>
      </c>
      <c r="G54" s="60">
        <f t="shared" si="13"/>
        <v>533</v>
      </c>
      <c r="H54" s="60">
        <f t="shared" ref="H54:I54" si="14">SUM(H51:H53)</f>
        <v>533</v>
      </c>
      <c r="I54" s="60">
        <f t="shared" si="14"/>
        <v>533</v>
      </c>
      <c r="J54" s="60">
        <f t="shared" ref="J54:K54" si="15">SUM(J51:J53)</f>
        <v>533</v>
      </c>
      <c r="K54" s="60">
        <f t="shared" si="15"/>
        <v>533</v>
      </c>
      <c r="L54" s="60">
        <f t="shared" ref="L54" si="16">SUM(L51:L53)</f>
        <v>533</v>
      </c>
      <c r="M54" s="60">
        <f t="shared" si="11"/>
        <v>533</v>
      </c>
      <c r="N54" s="60">
        <f t="shared" si="11"/>
        <v>533</v>
      </c>
      <c r="O54" s="60">
        <f t="shared" si="11"/>
        <v>533</v>
      </c>
      <c r="P54" s="60">
        <f t="shared" si="11"/>
        <v>533</v>
      </c>
      <c r="Q54" s="60">
        <f t="shared" si="11"/>
        <v>511</v>
      </c>
      <c r="R54" s="60">
        <f t="shared" si="11"/>
        <v>533</v>
      </c>
      <c r="S54" s="60">
        <f t="shared" si="11"/>
        <v>533</v>
      </c>
      <c r="T54" s="60">
        <f t="shared" ref="T54:U54" si="17">SUM(T51:T53)</f>
        <v>533</v>
      </c>
      <c r="U54" s="60">
        <f t="shared" si="17"/>
        <v>533</v>
      </c>
      <c r="V54" s="60">
        <f t="shared" ref="V54" si="18">SUM(V51:V53)</f>
        <v>533</v>
      </c>
      <c r="W54" s="60">
        <f t="shared" si="11"/>
        <v>533</v>
      </c>
      <c r="X54" s="60">
        <f t="shared" si="11"/>
        <v>533</v>
      </c>
      <c r="Y54" s="60">
        <f t="shared" si="11"/>
        <v>533</v>
      </c>
      <c r="Z54" s="60">
        <f t="shared" si="11"/>
        <v>533</v>
      </c>
      <c r="AA54" s="60">
        <f t="shared" si="11"/>
        <v>533</v>
      </c>
      <c r="AB54" s="60">
        <f t="shared" si="11"/>
        <v>533</v>
      </c>
      <c r="AC54" s="60">
        <f t="shared" si="11"/>
        <v>533</v>
      </c>
      <c r="AD54" s="60">
        <f t="shared" si="11"/>
        <v>533</v>
      </c>
      <c r="AE54" s="60">
        <f t="shared" si="11"/>
        <v>533</v>
      </c>
      <c r="AF54" s="60">
        <f t="shared" si="11"/>
        <v>533</v>
      </c>
      <c r="AG54" s="61">
        <f t="shared" si="11"/>
        <v>538.1</v>
      </c>
      <c r="AH54" s="47">
        <f t="shared" si="2"/>
        <v>533</v>
      </c>
      <c r="AI54" s="48">
        <f t="shared" si="3"/>
        <v>511</v>
      </c>
      <c r="AK54" s="50"/>
    </row>
    <row r="55" spans="1:41" x14ac:dyDescent="0.25">
      <c r="A55" s="44" t="s">
        <v>63</v>
      </c>
      <c r="B55" s="45">
        <v>115</v>
      </c>
      <c r="C55" s="45">
        <v>115</v>
      </c>
      <c r="D55" s="45">
        <v>115</v>
      </c>
      <c r="E55" s="45">
        <v>0</v>
      </c>
      <c r="F55" s="45">
        <v>85</v>
      </c>
      <c r="G55" s="45">
        <v>85</v>
      </c>
      <c r="H55" s="45">
        <v>90.3</v>
      </c>
      <c r="I55" s="45">
        <v>90.3</v>
      </c>
      <c r="J55" s="45">
        <v>100</v>
      </c>
      <c r="K55" s="45">
        <v>129.9</v>
      </c>
      <c r="L55" s="45">
        <v>129.9</v>
      </c>
      <c r="M55" s="45">
        <v>129.9</v>
      </c>
      <c r="N55" s="45">
        <v>129.9</v>
      </c>
      <c r="O55" s="45">
        <v>129.9</v>
      </c>
      <c r="P55" s="45">
        <v>129.9</v>
      </c>
      <c r="Q55" s="45">
        <v>130.69999999999999</v>
      </c>
      <c r="R55" s="45">
        <v>130.69999999999999</v>
      </c>
      <c r="S55" s="45">
        <v>131</v>
      </c>
      <c r="T55" s="45">
        <v>129</v>
      </c>
      <c r="U55" s="45">
        <v>121.5</v>
      </c>
      <c r="V55" s="45">
        <v>121.4</v>
      </c>
      <c r="W55" s="45">
        <v>122.9</v>
      </c>
      <c r="X55" s="45">
        <v>131.80000000000001</v>
      </c>
      <c r="Y55" s="45">
        <v>131.80000000000001</v>
      </c>
      <c r="Z55" s="45">
        <v>132.19999999999999</v>
      </c>
      <c r="AA55" s="45">
        <v>132.4</v>
      </c>
      <c r="AB55" s="45">
        <v>131.9</v>
      </c>
      <c r="AC55" s="45">
        <v>131.9</v>
      </c>
      <c r="AD55" s="45">
        <v>131.9</v>
      </c>
      <c r="AE55" s="45">
        <v>131.9</v>
      </c>
      <c r="AF55" s="45">
        <v>121</v>
      </c>
      <c r="AG55" s="51">
        <v>144</v>
      </c>
      <c r="AH55" s="47">
        <f t="shared" si="2"/>
        <v>132.4</v>
      </c>
      <c r="AI55" s="48">
        <f t="shared" si="3"/>
        <v>0</v>
      </c>
      <c r="AK55" s="50"/>
    </row>
    <row r="56" spans="1:41" x14ac:dyDescent="0.25">
      <c r="A56" s="53" t="s">
        <v>64</v>
      </c>
      <c r="B56" s="64">
        <v>50</v>
      </c>
      <c r="C56" s="64">
        <v>50</v>
      </c>
      <c r="D56" s="64">
        <v>50</v>
      </c>
      <c r="E56" s="64">
        <v>50</v>
      </c>
      <c r="F56" s="64">
        <v>50</v>
      </c>
      <c r="G56" s="64">
        <v>50</v>
      </c>
      <c r="H56" s="64">
        <v>50.2</v>
      </c>
      <c r="I56" s="64">
        <v>50.2</v>
      </c>
      <c r="J56" s="64">
        <v>50.2</v>
      </c>
      <c r="K56" s="64">
        <v>70.2</v>
      </c>
      <c r="L56" s="64">
        <v>70.2</v>
      </c>
      <c r="M56" s="64">
        <v>70.2</v>
      </c>
      <c r="N56" s="64">
        <v>70.2</v>
      </c>
      <c r="O56" s="64">
        <v>70.2</v>
      </c>
      <c r="P56" s="64">
        <v>70.2</v>
      </c>
      <c r="Q56" s="64">
        <v>70.2</v>
      </c>
      <c r="R56" s="64">
        <v>70.2</v>
      </c>
      <c r="S56" s="45">
        <v>68.900000000000006</v>
      </c>
      <c r="T56" s="45">
        <v>68.900000000000006</v>
      </c>
      <c r="U56" s="45">
        <v>68.900000000000006</v>
      </c>
      <c r="V56" s="45">
        <v>56.5</v>
      </c>
      <c r="W56" s="45">
        <v>64.650000000000006</v>
      </c>
      <c r="X56" s="45">
        <v>64.650000000000006</v>
      </c>
      <c r="Y56" s="45">
        <v>64.650000000000006</v>
      </c>
      <c r="Z56" s="45">
        <v>70.8</v>
      </c>
      <c r="AA56" s="45">
        <v>72</v>
      </c>
      <c r="AB56" s="45">
        <v>71.599999999999994</v>
      </c>
      <c r="AC56" s="45">
        <v>71.599999999999994</v>
      </c>
      <c r="AD56" s="45">
        <v>71.599999999999994</v>
      </c>
      <c r="AE56" s="45">
        <v>71.599999999999994</v>
      </c>
      <c r="AF56" s="45">
        <v>58</v>
      </c>
      <c r="AG56" s="54">
        <v>70</v>
      </c>
      <c r="AH56" s="47">
        <f t="shared" si="2"/>
        <v>72</v>
      </c>
      <c r="AI56" s="48">
        <f t="shared" si="3"/>
        <v>50</v>
      </c>
      <c r="AK56" s="50"/>
    </row>
    <row r="57" spans="1:41" x14ac:dyDescent="0.25">
      <c r="A57" s="53" t="s">
        <v>65</v>
      </c>
      <c r="B57" s="64">
        <v>53</v>
      </c>
      <c r="C57" s="64">
        <v>53</v>
      </c>
      <c r="D57" s="64">
        <v>53</v>
      </c>
      <c r="E57" s="64">
        <v>53</v>
      </c>
      <c r="F57" s="64">
        <v>53</v>
      </c>
      <c r="G57" s="64">
        <v>53</v>
      </c>
      <c r="H57" s="64">
        <v>50.9</v>
      </c>
      <c r="I57" s="64">
        <v>50.9</v>
      </c>
      <c r="J57" s="64">
        <v>50.9</v>
      </c>
      <c r="K57" s="64">
        <v>63.6</v>
      </c>
      <c r="L57" s="64">
        <v>63.6</v>
      </c>
      <c r="M57" s="64">
        <v>63.6</v>
      </c>
      <c r="N57" s="64">
        <v>63.6</v>
      </c>
      <c r="O57" s="64">
        <v>63.6</v>
      </c>
      <c r="P57" s="64">
        <v>63.6</v>
      </c>
      <c r="Q57" s="64">
        <v>63.6</v>
      </c>
      <c r="R57" s="64">
        <v>63.6</v>
      </c>
      <c r="S57" s="45">
        <v>62.6</v>
      </c>
      <c r="T57" s="45">
        <v>62.6</v>
      </c>
      <c r="U57" s="45">
        <v>53</v>
      </c>
      <c r="V57" s="45">
        <v>56.6</v>
      </c>
      <c r="W57" s="45">
        <v>33</v>
      </c>
      <c r="X57" s="45">
        <v>44</v>
      </c>
      <c r="Y57" s="45">
        <v>44</v>
      </c>
      <c r="Z57" s="45">
        <v>63.7</v>
      </c>
      <c r="AA57" s="45">
        <v>64</v>
      </c>
      <c r="AB57" s="45">
        <v>59.7</v>
      </c>
      <c r="AC57" s="45">
        <v>59.7</v>
      </c>
      <c r="AD57" s="45">
        <v>59.7</v>
      </c>
      <c r="AE57" s="45">
        <v>59.7</v>
      </c>
      <c r="AF57" s="45">
        <v>65</v>
      </c>
      <c r="AG57" s="54">
        <v>69</v>
      </c>
      <c r="AH57" s="47">
        <f t="shared" si="2"/>
        <v>65</v>
      </c>
      <c r="AI57" s="48">
        <f t="shared" si="3"/>
        <v>33</v>
      </c>
      <c r="AK57" s="50"/>
    </row>
    <row r="58" spans="1:41" x14ac:dyDescent="0.25">
      <c r="A58" s="53" t="s">
        <v>66</v>
      </c>
      <c r="B58" s="64">
        <v>50</v>
      </c>
      <c r="C58" s="64">
        <v>50</v>
      </c>
      <c r="D58" s="64">
        <v>50</v>
      </c>
      <c r="E58" s="64">
        <v>50</v>
      </c>
      <c r="F58" s="64">
        <v>50</v>
      </c>
      <c r="G58" s="64">
        <v>50</v>
      </c>
      <c r="H58" s="64">
        <v>41.5</v>
      </c>
      <c r="I58" s="64">
        <v>41.5</v>
      </c>
      <c r="J58" s="64">
        <v>60</v>
      </c>
      <c r="K58" s="64">
        <v>0</v>
      </c>
      <c r="L58" s="64">
        <v>0</v>
      </c>
      <c r="M58" s="64">
        <v>60</v>
      </c>
      <c r="N58" s="64">
        <v>60</v>
      </c>
      <c r="O58" s="64">
        <v>60</v>
      </c>
      <c r="P58" s="64">
        <v>60</v>
      </c>
      <c r="Q58" s="64">
        <v>60</v>
      </c>
      <c r="R58" s="64">
        <v>60</v>
      </c>
      <c r="S58" s="64">
        <v>60</v>
      </c>
      <c r="T58" s="64">
        <v>60</v>
      </c>
      <c r="U58" s="64">
        <v>51.9</v>
      </c>
      <c r="V58" s="64">
        <v>52.6</v>
      </c>
      <c r="W58" s="45">
        <v>60</v>
      </c>
      <c r="X58" s="45">
        <v>60</v>
      </c>
      <c r="Y58" s="45">
        <v>60</v>
      </c>
      <c r="Z58" s="45">
        <v>60.9</v>
      </c>
      <c r="AA58" s="45">
        <v>60.9</v>
      </c>
      <c r="AB58" s="45">
        <v>60.1</v>
      </c>
      <c r="AC58" s="45">
        <v>60.1</v>
      </c>
      <c r="AD58" s="45">
        <v>60.1</v>
      </c>
      <c r="AE58" s="45">
        <v>60.1</v>
      </c>
      <c r="AF58" s="45">
        <v>51.4</v>
      </c>
      <c r="AG58" s="54">
        <v>60</v>
      </c>
      <c r="AH58" s="47">
        <f t="shared" si="2"/>
        <v>60.9</v>
      </c>
      <c r="AI58" s="48">
        <f t="shared" si="3"/>
        <v>0</v>
      </c>
      <c r="AK58" s="50"/>
    </row>
    <row r="59" spans="1:41" x14ac:dyDescent="0.25">
      <c r="A59" s="53" t="s">
        <v>67</v>
      </c>
      <c r="B59" s="64">
        <v>25</v>
      </c>
      <c r="C59" s="64">
        <v>25</v>
      </c>
      <c r="D59" s="64">
        <v>25</v>
      </c>
      <c r="E59" s="64">
        <v>25</v>
      </c>
      <c r="F59" s="64">
        <v>25</v>
      </c>
      <c r="G59" s="64">
        <v>25</v>
      </c>
      <c r="H59" s="64">
        <v>25</v>
      </c>
      <c r="I59" s="64">
        <v>25</v>
      </c>
      <c r="J59" s="64">
        <v>25</v>
      </c>
      <c r="K59" s="64">
        <v>25</v>
      </c>
      <c r="L59" s="64">
        <v>25</v>
      </c>
      <c r="M59" s="64">
        <v>25</v>
      </c>
      <c r="N59" s="64">
        <v>25</v>
      </c>
      <c r="O59" s="64">
        <v>25</v>
      </c>
      <c r="P59" s="64">
        <v>25</v>
      </c>
      <c r="Q59" s="64">
        <v>25</v>
      </c>
      <c r="R59" s="64">
        <v>25</v>
      </c>
      <c r="S59" s="64">
        <v>25</v>
      </c>
      <c r="T59" s="64">
        <v>25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64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25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0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16</v>
      </c>
      <c r="C61" s="64">
        <v>16</v>
      </c>
      <c r="D61" s="64">
        <v>16</v>
      </c>
      <c r="E61" s="64">
        <v>16</v>
      </c>
      <c r="F61" s="64">
        <v>16</v>
      </c>
      <c r="G61" s="64">
        <v>16</v>
      </c>
      <c r="H61" s="64">
        <v>16</v>
      </c>
      <c r="I61" s="64">
        <v>16</v>
      </c>
      <c r="J61" s="64">
        <v>16</v>
      </c>
      <c r="K61" s="64">
        <v>16</v>
      </c>
      <c r="L61" s="64">
        <v>16</v>
      </c>
      <c r="M61" s="64">
        <v>16</v>
      </c>
      <c r="N61" s="64">
        <v>16</v>
      </c>
      <c r="O61" s="64">
        <v>16</v>
      </c>
      <c r="P61" s="64">
        <v>16</v>
      </c>
      <c r="Q61" s="64">
        <v>16</v>
      </c>
      <c r="R61" s="64">
        <v>16</v>
      </c>
      <c r="S61" s="64">
        <v>16</v>
      </c>
      <c r="T61" s="64">
        <v>16</v>
      </c>
      <c r="U61" s="64">
        <v>16</v>
      </c>
      <c r="V61" s="64">
        <v>16</v>
      </c>
      <c r="W61" s="64">
        <v>16</v>
      </c>
      <c r="X61" s="64">
        <v>16</v>
      </c>
      <c r="Y61" s="64">
        <v>16</v>
      </c>
      <c r="Z61" s="64">
        <v>16</v>
      </c>
      <c r="AA61" s="64">
        <v>16</v>
      </c>
      <c r="AB61" s="64">
        <v>16</v>
      </c>
      <c r="AC61" s="64">
        <v>16</v>
      </c>
      <c r="AD61" s="64">
        <v>16</v>
      </c>
      <c r="AE61" s="64">
        <v>16</v>
      </c>
      <c r="AF61" s="64">
        <v>16</v>
      </c>
      <c r="AG61" s="54">
        <v>24</v>
      </c>
      <c r="AH61" s="47">
        <f t="shared" si="2"/>
        <v>16</v>
      </c>
      <c r="AI61" s="48">
        <f t="shared" si="3"/>
        <v>16</v>
      </c>
      <c r="AK61" s="50"/>
    </row>
    <row r="62" spans="1:41" x14ac:dyDescent="0.25">
      <c r="A62" s="53" t="s">
        <v>70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54">
        <v>15</v>
      </c>
      <c r="AH62" s="47">
        <f t="shared" si="2"/>
        <v>0</v>
      </c>
      <c r="AI62" s="48">
        <f t="shared" si="3"/>
        <v>0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10</v>
      </c>
      <c r="C63" s="64">
        <v>10</v>
      </c>
      <c r="D63" s="64">
        <v>10</v>
      </c>
      <c r="E63" s="64">
        <v>10</v>
      </c>
      <c r="F63" s="64">
        <v>10</v>
      </c>
      <c r="G63" s="64">
        <v>10</v>
      </c>
      <c r="H63" s="64">
        <v>10</v>
      </c>
      <c r="I63" s="64">
        <v>10</v>
      </c>
      <c r="J63" s="64">
        <v>10</v>
      </c>
      <c r="K63" s="64">
        <v>10</v>
      </c>
      <c r="L63" s="64">
        <v>10</v>
      </c>
      <c r="M63" s="64">
        <v>10</v>
      </c>
      <c r="N63" s="64">
        <v>10</v>
      </c>
      <c r="O63" s="64">
        <v>10</v>
      </c>
      <c r="P63" s="64">
        <v>10</v>
      </c>
      <c r="Q63" s="64">
        <v>10</v>
      </c>
      <c r="R63" s="64">
        <v>10</v>
      </c>
      <c r="S63" s="64">
        <v>10</v>
      </c>
      <c r="T63" s="64">
        <v>10</v>
      </c>
      <c r="U63" s="64">
        <v>10</v>
      </c>
      <c r="V63" s="64">
        <v>10</v>
      </c>
      <c r="W63" s="64">
        <v>10</v>
      </c>
      <c r="X63" s="64">
        <v>10</v>
      </c>
      <c r="Y63" s="64">
        <v>10</v>
      </c>
      <c r="Z63" s="64">
        <v>10</v>
      </c>
      <c r="AA63" s="64">
        <v>10</v>
      </c>
      <c r="AB63" s="64">
        <v>10</v>
      </c>
      <c r="AC63" s="64">
        <v>10</v>
      </c>
      <c r="AD63" s="64">
        <v>10</v>
      </c>
      <c r="AE63" s="64">
        <v>10</v>
      </c>
      <c r="AF63" s="64">
        <v>10</v>
      </c>
      <c r="AG63" s="54">
        <v>14.1</v>
      </c>
      <c r="AH63" s="47">
        <f t="shared" si="2"/>
        <v>10</v>
      </c>
      <c r="AI63" s="48">
        <f t="shared" si="3"/>
        <v>10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6.8</v>
      </c>
      <c r="C64" s="64">
        <v>6.8</v>
      </c>
      <c r="D64" s="64">
        <v>6.8</v>
      </c>
      <c r="E64" s="64">
        <v>6.8</v>
      </c>
      <c r="F64" s="64">
        <v>6.8</v>
      </c>
      <c r="G64" s="64">
        <v>6.8</v>
      </c>
      <c r="H64" s="64">
        <v>6.8</v>
      </c>
      <c r="I64" s="64">
        <v>6.8</v>
      </c>
      <c r="J64" s="64">
        <v>6.8</v>
      </c>
      <c r="K64" s="64">
        <v>6.8</v>
      </c>
      <c r="L64" s="64">
        <v>6.8</v>
      </c>
      <c r="M64" s="64">
        <v>6.8</v>
      </c>
      <c r="N64" s="64">
        <v>6.8</v>
      </c>
      <c r="O64" s="64">
        <v>6.8</v>
      </c>
      <c r="P64" s="64">
        <v>6.8</v>
      </c>
      <c r="Q64" s="64">
        <v>6.8</v>
      </c>
      <c r="R64" s="64">
        <v>6.8</v>
      </c>
      <c r="S64" s="64">
        <v>6.8</v>
      </c>
      <c r="T64" s="64">
        <v>6.8</v>
      </c>
      <c r="U64" s="64">
        <v>6.8</v>
      </c>
      <c r="V64" s="64">
        <v>6.8</v>
      </c>
      <c r="W64" s="64">
        <v>6.8</v>
      </c>
      <c r="X64" s="64">
        <v>6.8</v>
      </c>
      <c r="Y64" s="64">
        <v>6.8</v>
      </c>
      <c r="Z64" s="64">
        <v>6.8</v>
      </c>
      <c r="AA64" s="64">
        <v>7.9</v>
      </c>
      <c r="AB64" s="64">
        <v>7.9</v>
      </c>
      <c r="AC64" s="64">
        <v>7.9</v>
      </c>
      <c r="AD64" s="64">
        <v>7.9</v>
      </c>
      <c r="AE64" s="64">
        <v>7.9</v>
      </c>
      <c r="AF64" s="64">
        <v>11.4</v>
      </c>
      <c r="AG64" s="54">
        <v>14</v>
      </c>
      <c r="AH64" s="47">
        <f t="shared" si="2"/>
        <v>11.4</v>
      </c>
      <c r="AI64" s="48">
        <f t="shared" si="3"/>
        <v>6.8</v>
      </c>
      <c r="AK64" s="50"/>
    </row>
    <row r="65" spans="1:40" x14ac:dyDescent="0.25">
      <c r="A65" s="53" t="s">
        <v>73</v>
      </c>
      <c r="B65" s="64">
        <v>8.9</v>
      </c>
      <c r="C65" s="64">
        <v>8.9</v>
      </c>
      <c r="D65" s="64">
        <v>8.9</v>
      </c>
      <c r="E65" s="64">
        <v>8.9</v>
      </c>
      <c r="F65" s="64">
        <v>8.9</v>
      </c>
      <c r="G65" s="64">
        <v>8.9</v>
      </c>
      <c r="H65" s="64">
        <v>8.9</v>
      </c>
      <c r="I65" s="64">
        <v>8.9</v>
      </c>
      <c r="J65" s="64">
        <v>8.9</v>
      </c>
      <c r="K65" s="64">
        <v>8.9</v>
      </c>
      <c r="L65" s="64">
        <v>8.9</v>
      </c>
      <c r="M65" s="64">
        <v>8.9</v>
      </c>
      <c r="N65" s="64">
        <v>8.9</v>
      </c>
      <c r="O65" s="64">
        <v>8.9</v>
      </c>
      <c r="P65" s="64">
        <v>8.9</v>
      </c>
      <c r="Q65" s="64">
        <v>8.9</v>
      </c>
      <c r="R65" s="64">
        <v>8.9</v>
      </c>
      <c r="S65" s="64">
        <v>8.9</v>
      </c>
      <c r="T65" s="64">
        <v>8.9</v>
      </c>
      <c r="U65" s="64">
        <v>8.9</v>
      </c>
      <c r="V65" s="64">
        <v>8.9</v>
      </c>
      <c r="W65" s="64">
        <v>8.9</v>
      </c>
      <c r="X65" s="64">
        <v>8.9</v>
      </c>
      <c r="Y65" s="64">
        <v>8.9</v>
      </c>
      <c r="Z65" s="64">
        <v>8.9</v>
      </c>
      <c r="AA65" s="64">
        <v>8.9</v>
      </c>
      <c r="AB65" s="64">
        <v>8.9</v>
      </c>
      <c r="AC65" s="64">
        <v>8.9</v>
      </c>
      <c r="AD65" s="64">
        <v>8.9</v>
      </c>
      <c r="AE65" s="64">
        <v>8.9</v>
      </c>
      <c r="AF65" s="64">
        <v>8.9</v>
      </c>
      <c r="AG65" s="54">
        <v>10.050000000000001</v>
      </c>
      <c r="AH65" s="47">
        <f t="shared" si="2"/>
        <v>8.9</v>
      </c>
      <c r="AI65" s="48">
        <f t="shared" si="3"/>
        <v>8.9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9">SUM(B55:B67)</f>
        <v>344.44</v>
      </c>
      <c r="C68" s="60">
        <f t="shared" si="19"/>
        <v>344.44</v>
      </c>
      <c r="D68" s="60">
        <f t="shared" si="19"/>
        <v>344.44</v>
      </c>
      <c r="E68" s="60">
        <f t="shared" ref="E68:F68" si="20">SUM(E55:E67)</f>
        <v>229.44</v>
      </c>
      <c r="F68" s="60">
        <f t="shared" si="20"/>
        <v>314.44</v>
      </c>
      <c r="G68" s="60">
        <f t="shared" ref="G68:H68" si="21">SUM(G55:G67)</f>
        <v>314.44</v>
      </c>
      <c r="H68" s="60">
        <f t="shared" si="21"/>
        <v>309.33999999999997</v>
      </c>
      <c r="I68" s="60">
        <f t="shared" ref="I68:J68" si="22">SUM(I55:I67)</f>
        <v>309.33999999999997</v>
      </c>
      <c r="J68" s="60">
        <f t="shared" si="22"/>
        <v>337.54</v>
      </c>
      <c r="K68" s="60">
        <f t="shared" ref="K68:L68" si="23">SUM(K55:K67)</f>
        <v>340.14000000000004</v>
      </c>
      <c r="L68" s="60">
        <f t="shared" si="23"/>
        <v>340.14000000000004</v>
      </c>
      <c r="M68" s="60">
        <f t="shared" si="19"/>
        <v>400.14000000000004</v>
      </c>
      <c r="N68" s="60">
        <f t="shared" si="19"/>
        <v>400.14000000000004</v>
      </c>
      <c r="O68" s="60">
        <f t="shared" si="19"/>
        <v>400.14000000000004</v>
      </c>
      <c r="P68" s="60">
        <f t="shared" si="19"/>
        <v>400.14000000000004</v>
      </c>
      <c r="Q68" s="60">
        <f t="shared" si="19"/>
        <v>400.94</v>
      </c>
      <c r="R68" s="60">
        <f t="shared" si="19"/>
        <v>400.94</v>
      </c>
      <c r="S68" s="60">
        <f t="shared" si="19"/>
        <v>398.94</v>
      </c>
      <c r="T68" s="60">
        <f t="shared" ref="T68:U68" si="24">SUM(T55:T67)</f>
        <v>396.94</v>
      </c>
      <c r="U68" s="60">
        <f t="shared" si="24"/>
        <v>376.74</v>
      </c>
      <c r="V68" s="60">
        <f t="shared" ref="V68" si="25">SUM(V55:V67)</f>
        <v>368.54</v>
      </c>
      <c r="W68" s="60">
        <f t="shared" si="19"/>
        <v>361.99</v>
      </c>
      <c r="X68" s="60">
        <f t="shared" si="19"/>
        <v>381.89000000000004</v>
      </c>
      <c r="Y68" s="60">
        <f t="shared" si="19"/>
        <v>381.89000000000004</v>
      </c>
      <c r="Z68" s="60">
        <f t="shared" si="19"/>
        <v>409.03999999999996</v>
      </c>
      <c r="AA68" s="60">
        <f t="shared" si="19"/>
        <v>411.83999999999992</v>
      </c>
      <c r="AB68" s="60">
        <f t="shared" si="19"/>
        <v>405.84</v>
      </c>
      <c r="AC68" s="60">
        <f t="shared" si="19"/>
        <v>405.84</v>
      </c>
      <c r="AD68" s="60">
        <f t="shared" si="19"/>
        <v>405.84</v>
      </c>
      <c r="AE68" s="60">
        <f t="shared" si="19"/>
        <v>405.84</v>
      </c>
      <c r="AF68" s="60">
        <f t="shared" si="19"/>
        <v>381.43999999999994</v>
      </c>
      <c r="AG68" s="61">
        <f t="shared" si="19"/>
        <v>489.91</v>
      </c>
      <c r="AH68" s="47">
        <f t="shared" si="2"/>
        <v>411.83999999999992</v>
      </c>
      <c r="AI68" s="48">
        <f t="shared" si="3"/>
        <v>229.44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>
        <v>0</v>
      </c>
      <c r="AB69" s="45">
        <v>60</v>
      </c>
      <c r="AC69" s="45">
        <v>0</v>
      </c>
      <c r="AD69" s="45">
        <v>0</v>
      </c>
      <c r="AE69" s="45"/>
      <c r="AF69" s="45"/>
      <c r="AG69" s="51">
        <v>60</v>
      </c>
      <c r="AH69" s="47">
        <f t="shared" si="2"/>
        <v>60</v>
      </c>
      <c r="AI69" s="48">
        <f t="shared" si="3"/>
        <v>0</v>
      </c>
      <c r="AK69" s="50"/>
    </row>
    <row r="70" spans="1:40" x14ac:dyDescent="0.25">
      <c r="A70" s="53" t="s">
        <v>78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>
        <v>0</v>
      </c>
      <c r="AB70" s="64">
        <v>32.200000000000003</v>
      </c>
      <c r="AC70" s="64">
        <v>0</v>
      </c>
      <c r="AD70" s="64">
        <v>0</v>
      </c>
      <c r="AE70" s="64"/>
      <c r="AF70" s="64"/>
      <c r="AG70" s="54">
        <v>32</v>
      </c>
      <c r="AH70" s="47">
        <f t="shared" si="2"/>
        <v>32.200000000000003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>
        <v>0</v>
      </c>
      <c r="AB71" s="66">
        <v>11.7</v>
      </c>
      <c r="AC71" s="66">
        <v>0</v>
      </c>
      <c r="AD71" s="66">
        <v>0</v>
      </c>
      <c r="AE71" s="66"/>
      <c r="AF71" s="66"/>
      <c r="AG71" s="67">
        <v>14</v>
      </c>
      <c r="AH71" s="47">
        <f t="shared" si="2"/>
        <v>11.7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v>0</v>
      </c>
      <c r="M72" s="60">
        <f t="shared" ref="M72:AF72" si="26">M69+M70+M71</f>
        <v>0</v>
      </c>
      <c r="N72" s="60">
        <f t="shared" si="26"/>
        <v>0</v>
      </c>
      <c r="O72" s="60">
        <f t="shared" si="26"/>
        <v>0</v>
      </c>
      <c r="P72" s="60">
        <f t="shared" si="26"/>
        <v>0</v>
      </c>
      <c r="Q72" s="60">
        <f t="shared" si="26"/>
        <v>0</v>
      </c>
      <c r="R72" s="60">
        <f t="shared" si="26"/>
        <v>0</v>
      </c>
      <c r="S72" s="60">
        <f t="shared" si="26"/>
        <v>0</v>
      </c>
      <c r="T72" s="60">
        <f t="shared" ref="T72:U72" si="27">T69+T70+T71</f>
        <v>0</v>
      </c>
      <c r="U72" s="60">
        <f t="shared" si="27"/>
        <v>0</v>
      </c>
      <c r="V72" s="60">
        <f t="shared" ref="V72" si="28">V69+V70+V71</f>
        <v>0</v>
      </c>
      <c r="W72" s="60">
        <f t="shared" si="26"/>
        <v>0</v>
      </c>
      <c r="X72" s="60">
        <f t="shared" si="26"/>
        <v>0</v>
      </c>
      <c r="Y72" s="60">
        <f t="shared" si="26"/>
        <v>0</v>
      </c>
      <c r="Z72" s="60">
        <f t="shared" si="26"/>
        <v>0</v>
      </c>
      <c r="AA72" s="60">
        <f t="shared" si="26"/>
        <v>0</v>
      </c>
      <c r="AB72" s="60">
        <f t="shared" si="26"/>
        <v>103.9</v>
      </c>
      <c r="AC72" s="60">
        <f t="shared" si="26"/>
        <v>0</v>
      </c>
      <c r="AD72" s="60">
        <f t="shared" si="26"/>
        <v>0</v>
      </c>
      <c r="AE72" s="60">
        <f t="shared" si="26"/>
        <v>0</v>
      </c>
      <c r="AF72" s="60">
        <f t="shared" si="26"/>
        <v>0</v>
      </c>
      <c r="AG72" s="61">
        <f>SUM(AG69:AG71)</f>
        <v>106</v>
      </c>
      <c r="AH72" s="47">
        <f t="shared" si="2"/>
        <v>103.9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-35</v>
      </c>
      <c r="C73" s="45">
        <v>-35</v>
      </c>
      <c r="D73" s="45">
        <v>0</v>
      </c>
      <c r="E73" s="45">
        <v>0</v>
      </c>
      <c r="F73" s="45">
        <v>-30</v>
      </c>
      <c r="G73" s="45">
        <v>-29.5</v>
      </c>
      <c r="H73" s="45">
        <v>-32.6</v>
      </c>
      <c r="I73" s="45">
        <v>-24.5</v>
      </c>
      <c r="J73" s="45">
        <v>-20.9</v>
      </c>
      <c r="K73" s="45">
        <v>-20.5</v>
      </c>
      <c r="L73" s="45">
        <v>-20.5</v>
      </c>
      <c r="M73" s="45">
        <v>-36</v>
      </c>
      <c r="N73" s="45">
        <v>-27</v>
      </c>
      <c r="O73" s="45">
        <v>-36</v>
      </c>
      <c r="P73" s="45">
        <v>-7.5</v>
      </c>
      <c r="Q73" s="45">
        <v>-13.2</v>
      </c>
      <c r="R73" s="45">
        <v>-12</v>
      </c>
      <c r="S73" s="45">
        <v>-11.9</v>
      </c>
      <c r="T73" s="45">
        <v>-19.5</v>
      </c>
      <c r="U73" s="45">
        <v>-8.5</v>
      </c>
      <c r="V73" s="45">
        <v>-14.2</v>
      </c>
      <c r="W73" s="45">
        <v>-5.2</v>
      </c>
      <c r="X73" s="45">
        <v>-15</v>
      </c>
      <c r="Y73" s="45">
        <v>-22</v>
      </c>
      <c r="Z73" s="45">
        <v>-16</v>
      </c>
      <c r="AA73" s="45">
        <v>7.3</v>
      </c>
      <c r="AB73" s="45">
        <v>-4.7</v>
      </c>
      <c r="AC73" s="45">
        <v>17</v>
      </c>
      <c r="AD73" s="45">
        <v>6.6</v>
      </c>
      <c r="AE73" s="45">
        <v>5.0999999999999996</v>
      </c>
      <c r="AF73" s="45">
        <v>-3.3</v>
      </c>
      <c r="AG73" s="51"/>
      <c r="AH73" s="47">
        <f t="shared" si="2"/>
        <v>17</v>
      </c>
      <c r="AI73" s="48">
        <f t="shared" si="3"/>
        <v>-36</v>
      </c>
      <c r="AK73" s="50"/>
    </row>
    <row r="74" spans="1:40" x14ac:dyDescent="0.25">
      <c r="A74" s="53" t="s">
        <v>82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-365</v>
      </c>
      <c r="C75" s="64">
        <v>-430</v>
      </c>
      <c r="D75" s="64">
        <v>-460</v>
      </c>
      <c r="E75" s="64">
        <v>-475</v>
      </c>
      <c r="F75" s="64">
        <v>-512</v>
      </c>
      <c r="G75" s="64">
        <v>-508.8</v>
      </c>
      <c r="H75" s="64">
        <v>-512</v>
      </c>
      <c r="I75" s="64">
        <v>-522</v>
      </c>
      <c r="J75" s="64">
        <v>-478</v>
      </c>
      <c r="K75" s="64">
        <v>-472</v>
      </c>
      <c r="L75" s="64">
        <v>-472</v>
      </c>
      <c r="M75" s="64">
        <v>-412</v>
      </c>
      <c r="N75" s="64">
        <v>-445</v>
      </c>
      <c r="O75" s="64">
        <v>-400</v>
      </c>
      <c r="P75" s="64">
        <v>-384</v>
      </c>
      <c r="Q75" s="64">
        <v>-445</v>
      </c>
      <c r="R75" s="64">
        <v>-423</v>
      </c>
      <c r="S75" s="64">
        <v>-431</v>
      </c>
      <c r="T75" s="64">
        <v>-472</v>
      </c>
      <c r="U75" s="64">
        <v>-450</v>
      </c>
      <c r="V75" s="64">
        <v>-478.6</v>
      </c>
      <c r="W75" s="64">
        <v>-457</v>
      </c>
      <c r="X75" s="64">
        <v>-460</v>
      </c>
      <c r="Y75" s="64">
        <v>-467</v>
      </c>
      <c r="Z75" s="64">
        <v>-405</v>
      </c>
      <c r="AA75" s="64">
        <v>-398.1</v>
      </c>
      <c r="AB75" s="64">
        <v>-397</v>
      </c>
      <c r="AC75" s="64">
        <v>-387</v>
      </c>
      <c r="AD75" s="64">
        <v>-398</v>
      </c>
      <c r="AE75" s="64">
        <v>-404</v>
      </c>
      <c r="AF75" s="64">
        <v>-406</v>
      </c>
      <c r="AG75" s="74"/>
      <c r="AH75" s="47">
        <f t="shared" si="2"/>
        <v>-365</v>
      </c>
      <c r="AI75" s="48">
        <f t="shared" si="3"/>
        <v>-522</v>
      </c>
      <c r="AK75" s="50"/>
    </row>
    <row r="76" spans="1:40" x14ac:dyDescent="0.25">
      <c r="A76" s="53" t="s">
        <v>84</v>
      </c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64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45"/>
      <c r="D77" s="64"/>
      <c r="E77" s="64"/>
      <c r="F77" s="64"/>
      <c r="G77" s="64"/>
      <c r="H77" s="64"/>
      <c r="I77" s="64"/>
      <c r="J77" s="64"/>
      <c r="K77" s="64"/>
      <c r="L77" s="64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4"/>
      <c r="AH77" s="47">
        <f t="shared" ref="AH77:AH120" si="29">MAX(B77:AF77)</f>
        <v>0</v>
      </c>
      <c r="AI77" s="48">
        <f t="shared" ref="AI77:AI120" si="30">MIN(B77:AF77)</f>
        <v>0</v>
      </c>
      <c r="AK77" s="50"/>
    </row>
    <row r="78" spans="1:40" x14ac:dyDescent="0.25">
      <c r="A78" s="53" t="s">
        <v>86</v>
      </c>
      <c r="B78" s="45"/>
      <c r="C78" s="76"/>
      <c r="D78" s="64"/>
      <c r="E78" s="64"/>
      <c r="F78" s="64"/>
      <c r="G78" s="64"/>
      <c r="H78" s="64"/>
      <c r="I78" s="64"/>
      <c r="J78" s="64"/>
      <c r="K78" s="64"/>
      <c r="L78" s="64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4"/>
      <c r="AH78" s="47">
        <f t="shared" si="29"/>
        <v>0</v>
      </c>
      <c r="AI78" s="48">
        <f t="shared" si="30"/>
        <v>0</v>
      </c>
      <c r="AK78" s="50"/>
    </row>
    <row r="79" spans="1:40" ht="15.75" thickBot="1" x14ac:dyDescent="0.3">
      <c r="A79" s="53" t="s">
        <v>87</v>
      </c>
      <c r="B79" s="45"/>
      <c r="C79" s="76"/>
      <c r="D79" s="64"/>
      <c r="E79" s="64"/>
      <c r="F79" s="64"/>
      <c r="G79" s="64"/>
      <c r="H79" s="64"/>
      <c r="I79" s="64"/>
      <c r="J79" s="64"/>
      <c r="K79" s="64"/>
      <c r="L79" s="64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4"/>
      <c r="AH79" s="47">
        <f t="shared" si="29"/>
        <v>0</v>
      </c>
      <c r="AI79" s="48">
        <f t="shared" si="30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/>
      <c r="C80" s="76"/>
      <c r="D80" s="64"/>
      <c r="E80" s="64"/>
      <c r="F80" s="64"/>
      <c r="G80" s="64"/>
      <c r="H80" s="64"/>
      <c r="I80" s="64"/>
      <c r="J80" s="64"/>
      <c r="K80" s="64"/>
      <c r="L80" s="64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4"/>
      <c r="AH80" s="47">
        <f t="shared" si="29"/>
        <v>0</v>
      </c>
      <c r="AI80" s="48">
        <f t="shared" si="30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/>
      <c r="C81" s="76"/>
      <c r="D81" s="64"/>
      <c r="E81" s="64"/>
      <c r="F81" s="64"/>
      <c r="G81" s="64"/>
      <c r="H81" s="64"/>
      <c r="I81" s="64"/>
      <c r="J81" s="64"/>
      <c r="K81" s="64"/>
      <c r="L81" s="64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4"/>
      <c r="AH81" s="47">
        <f t="shared" si="29"/>
        <v>0</v>
      </c>
      <c r="AI81" s="48">
        <f t="shared" si="30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/>
      <c r="C82" s="76"/>
      <c r="D82" s="64"/>
      <c r="E82" s="64"/>
      <c r="F82" s="64"/>
      <c r="G82" s="64"/>
      <c r="H82" s="64"/>
      <c r="I82" s="64"/>
      <c r="J82" s="64"/>
      <c r="K82" s="64"/>
      <c r="L82" s="64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84"/>
      <c r="AH82" s="47">
        <f t="shared" si="29"/>
        <v>0</v>
      </c>
      <c r="AI82" s="48">
        <f t="shared" si="30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/>
      <c r="C83" s="76"/>
      <c r="D83" s="64"/>
      <c r="E83" s="64"/>
      <c r="F83" s="64"/>
      <c r="G83" s="64"/>
      <c r="H83" s="64"/>
      <c r="I83" s="64"/>
      <c r="J83" s="64"/>
      <c r="K83" s="64"/>
      <c r="L83" s="64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4"/>
      <c r="AH83" s="47">
        <f t="shared" si="29"/>
        <v>0</v>
      </c>
      <c r="AI83" s="48">
        <f t="shared" si="30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31">SUMIF(B73:B83,"&gt;0")</f>
        <v>0</v>
      </c>
      <c r="C84" s="60">
        <f t="shared" si="31"/>
        <v>0</v>
      </c>
      <c r="D84" s="60">
        <f t="shared" si="31"/>
        <v>0</v>
      </c>
      <c r="E84" s="60">
        <f t="shared" ref="E84:F84" si="32">SUMIF(E73:E83,"&gt;0")</f>
        <v>0</v>
      </c>
      <c r="F84" s="60">
        <f t="shared" si="32"/>
        <v>0</v>
      </c>
      <c r="G84" s="60">
        <f t="shared" ref="G84:H84" si="33">SUMIF(G73:G83,"&gt;0")</f>
        <v>0</v>
      </c>
      <c r="H84" s="60">
        <f t="shared" si="33"/>
        <v>0</v>
      </c>
      <c r="I84" s="60">
        <f t="shared" ref="I84:J84" si="34">SUMIF(I73:I83,"&gt;0")</f>
        <v>0</v>
      </c>
      <c r="J84" s="60">
        <f t="shared" si="34"/>
        <v>0</v>
      </c>
      <c r="K84" s="60">
        <f t="shared" ref="K84:L84" si="35">SUMIF(K73:K83,"&gt;0")</f>
        <v>0</v>
      </c>
      <c r="L84" s="60">
        <f t="shared" si="35"/>
        <v>0</v>
      </c>
      <c r="M84" s="60">
        <f t="shared" si="31"/>
        <v>0</v>
      </c>
      <c r="N84" s="60">
        <f t="shared" si="31"/>
        <v>0</v>
      </c>
      <c r="O84" s="60">
        <f t="shared" si="31"/>
        <v>0</v>
      </c>
      <c r="P84" s="60">
        <f t="shared" si="31"/>
        <v>0</v>
      </c>
      <c r="Q84" s="60">
        <f t="shared" si="31"/>
        <v>0</v>
      </c>
      <c r="R84" s="60">
        <f t="shared" si="31"/>
        <v>0</v>
      </c>
      <c r="S84" s="60">
        <f t="shared" si="31"/>
        <v>0</v>
      </c>
      <c r="T84" s="60">
        <f t="shared" ref="T84:U84" si="36">SUMIF(T73:T83,"&gt;0")</f>
        <v>0</v>
      </c>
      <c r="U84" s="60">
        <f t="shared" si="36"/>
        <v>0</v>
      </c>
      <c r="V84" s="60">
        <f t="shared" ref="V84" si="37">SUMIF(V73:V83,"&gt;0")</f>
        <v>0</v>
      </c>
      <c r="W84" s="60">
        <f t="shared" si="31"/>
        <v>0</v>
      </c>
      <c r="X84" s="60">
        <f t="shared" si="31"/>
        <v>0</v>
      </c>
      <c r="Y84" s="60">
        <f t="shared" si="31"/>
        <v>0</v>
      </c>
      <c r="Z84" s="60">
        <f t="shared" si="31"/>
        <v>0</v>
      </c>
      <c r="AA84" s="60">
        <f t="shared" si="31"/>
        <v>7.3</v>
      </c>
      <c r="AB84" s="60">
        <f t="shared" si="31"/>
        <v>0</v>
      </c>
      <c r="AC84" s="60">
        <f t="shared" si="31"/>
        <v>17</v>
      </c>
      <c r="AD84" s="60">
        <f t="shared" si="31"/>
        <v>6.6</v>
      </c>
      <c r="AE84" s="60">
        <f t="shared" si="31"/>
        <v>5.0999999999999996</v>
      </c>
      <c r="AF84" s="60">
        <f t="shared" si="31"/>
        <v>0</v>
      </c>
      <c r="AG84" s="87">
        <f>SUM(AG73:AG83)</f>
        <v>0</v>
      </c>
      <c r="AH84" s="47">
        <f t="shared" si="29"/>
        <v>17</v>
      </c>
      <c r="AI84" s="48">
        <f t="shared" si="30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29"/>
        <v>0</v>
      </c>
      <c r="AI85" s="48">
        <f t="shared" si="30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29"/>
        <v>0</v>
      </c>
      <c r="AI86" s="48">
        <f t="shared" si="30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29"/>
        <v>0</v>
      </c>
      <c r="AI87" s="48">
        <f t="shared" si="30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>
        <v>0</v>
      </c>
      <c r="Z88" s="60">
        <v>0</v>
      </c>
      <c r="AA88" s="60">
        <v>0</v>
      </c>
      <c r="AB88" s="60"/>
      <c r="AC88" s="60"/>
      <c r="AD88" s="60"/>
      <c r="AE88" s="60"/>
      <c r="AF88" s="60"/>
      <c r="AG88" s="87">
        <f>SUM(AG85:AG87)</f>
        <v>55.4</v>
      </c>
      <c r="AH88" s="47">
        <f t="shared" si="29"/>
        <v>0</v>
      </c>
      <c r="AI88" s="48">
        <f t="shared" si="30"/>
        <v>0</v>
      </c>
    </row>
    <row r="89" spans="1:40" ht="15.75" thickBot="1" x14ac:dyDescent="0.3">
      <c r="A89" s="73" t="s">
        <v>100</v>
      </c>
      <c r="B89" s="94">
        <f t="shared" ref="B89:AG89" si="38">B50+B54+B72+B68+B84+B88</f>
        <v>1895.64</v>
      </c>
      <c r="C89" s="94">
        <f t="shared" si="38"/>
        <v>1888.14</v>
      </c>
      <c r="D89" s="94">
        <f t="shared" si="38"/>
        <v>1888.14</v>
      </c>
      <c r="E89" s="94">
        <f t="shared" ref="E89:F89" si="39">E50+E54+E72+E68+E84+E88</f>
        <v>1773.14</v>
      </c>
      <c r="F89" s="94">
        <f t="shared" si="39"/>
        <v>1795.44</v>
      </c>
      <c r="G89" s="94">
        <f t="shared" ref="G89:H89" si="40">G50+G54+G72+G68+G84+G88</f>
        <v>1785.44</v>
      </c>
      <c r="H89" s="94">
        <f t="shared" si="40"/>
        <v>1795.34</v>
      </c>
      <c r="I89" s="94">
        <f t="shared" ref="I89:J89" si="41">I50+I54+I72+I68+I84+I88</f>
        <v>1800.34</v>
      </c>
      <c r="J89" s="94">
        <f t="shared" si="41"/>
        <v>1821.54</v>
      </c>
      <c r="K89" s="94">
        <f t="shared" ref="K89:L89" si="42">K50+K54+K72+K68+K84+K88</f>
        <v>1842.14</v>
      </c>
      <c r="L89" s="94">
        <f t="shared" si="42"/>
        <v>1860.64</v>
      </c>
      <c r="M89" s="94">
        <f t="shared" si="38"/>
        <v>1920.64</v>
      </c>
      <c r="N89" s="94">
        <f t="shared" si="38"/>
        <v>1910.64</v>
      </c>
      <c r="O89" s="94">
        <f t="shared" si="38"/>
        <v>1913.64</v>
      </c>
      <c r="P89" s="94">
        <f t="shared" si="38"/>
        <v>1956.64</v>
      </c>
      <c r="Q89" s="94">
        <f t="shared" si="38"/>
        <v>1965.44</v>
      </c>
      <c r="R89" s="94">
        <f t="shared" si="38"/>
        <v>1951.44</v>
      </c>
      <c r="S89" s="94">
        <f t="shared" si="38"/>
        <v>1970.44</v>
      </c>
      <c r="T89" s="94">
        <f t="shared" ref="T89:U89" si="43">T50+T54+T72+T68+T84+T88</f>
        <v>1968.44</v>
      </c>
      <c r="U89" s="94">
        <f t="shared" si="43"/>
        <v>1948.24</v>
      </c>
      <c r="V89" s="94">
        <f t="shared" ref="V89" si="44">V50+V54+V72+V68+V84+V88</f>
        <v>1940.04</v>
      </c>
      <c r="W89" s="94">
        <f t="shared" si="38"/>
        <v>1933.49</v>
      </c>
      <c r="X89" s="94">
        <f t="shared" si="38"/>
        <v>1953.39</v>
      </c>
      <c r="Y89" s="94">
        <f t="shared" si="38"/>
        <v>1953.39</v>
      </c>
      <c r="Z89" s="94">
        <f t="shared" si="38"/>
        <v>2038.54</v>
      </c>
      <c r="AA89" s="94">
        <f t="shared" si="38"/>
        <v>2064.84</v>
      </c>
      <c r="AB89" s="94">
        <f t="shared" si="38"/>
        <v>2144.6400000000003</v>
      </c>
      <c r="AC89" s="94">
        <f t="shared" si="38"/>
        <v>2043.54</v>
      </c>
      <c r="AD89" s="94">
        <f t="shared" si="38"/>
        <v>1994.84</v>
      </c>
      <c r="AE89" s="94">
        <f t="shared" si="38"/>
        <v>1993.34</v>
      </c>
      <c r="AF89" s="94">
        <f t="shared" si="38"/>
        <v>1916.8400000000001</v>
      </c>
      <c r="AG89" s="61">
        <f t="shared" si="38"/>
        <v>2111.5500000000002</v>
      </c>
      <c r="AH89" s="47">
        <f t="shared" si="29"/>
        <v>2144.6400000000003</v>
      </c>
      <c r="AI89" s="48">
        <f t="shared" si="30"/>
        <v>1773.14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29"/>
        <v>0</v>
      </c>
      <c r="AI90" s="48">
        <f t="shared" si="30"/>
        <v>0</v>
      </c>
    </row>
    <row r="91" spans="1:40" ht="15.75" thickBot="1" x14ac:dyDescent="0.3">
      <c r="A91" s="73" t="s">
        <v>102</v>
      </c>
      <c r="B91" s="94">
        <f t="shared" ref="B91:AF91" si="45">B89+B90</f>
        <v>1895.64</v>
      </c>
      <c r="C91" s="94">
        <f t="shared" si="45"/>
        <v>1888.14</v>
      </c>
      <c r="D91" s="94">
        <f t="shared" si="45"/>
        <v>1888.14</v>
      </c>
      <c r="E91" s="94">
        <f t="shared" ref="E91:F91" si="46">E89+E90</f>
        <v>1773.14</v>
      </c>
      <c r="F91" s="94">
        <f t="shared" si="46"/>
        <v>1795.44</v>
      </c>
      <c r="G91" s="94">
        <f t="shared" ref="G91:H91" si="47">G89+G90</f>
        <v>1785.44</v>
      </c>
      <c r="H91" s="94">
        <f t="shared" si="47"/>
        <v>1795.34</v>
      </c>
      <c r="I91" s="94">
        <f t="shared" ref="I91:J91" si="48">I89+I90</f>
        <v>1800.34</v>
      </c>
      <c r="J91" s="94">
        <f t="shared" si="48"/>
        <v>1821.54</v>
      </c>
      <c r="K91" s="94">
        <f t="shared" ref="K91:L91" si="49">K89+K90</f>
        <v>1842.14</v>
      </c>
      <c r="L91" s="94">
        <f t="shared" si="49"/>
        <v>1860.64</v>
      </c>
      <c r="M91" s="94">
        <f t="shared" si="45"/>
        <v>1920.64</v>
      </c>
      <c r="N91" s="94">
        <f t="shared" si="45"/>
        <v>1910.64</v>
      </c>
      <c r="O91" s="94">
        <f t="shared" si="45"/>
        <v>1913.64</v>
      </c>
      <c r="P91" s="94">
        <f t="shared" si="45"/>
        <v>1956.64</v>
      </c>
      <c r="Q91" s="94">
        <f t="shared" si="45"/>
        <v>1965.44</v>
      </c>
      <c r="R91" s="94">
        <f t="shared" si="45"/>
        <v>1951.44</v>
      </c>
      <c r="S91" s="94">
        <f t="shared" si="45"/>
        <v>1970.44</v>
      </c>
      <c r="T91" s="94">
        <f t="shared" ref="T91:U91" si="50">T89+T90</f>
        <v>1968.44</v>
      </c>
      <c r="U91" s="94">
        <f t="shared" si="50"/>
        <v>1948.24</v>
      </c>
      <c r="V91" s="94">
        <f t="shared" ref="V91" si="51">V89+V90</f>
        <v>1940.04</v>
      </c>
      <c r="W91" s="94">
        <f t="shared" si="45"/>
        <v>1933.49</v>
      </c>
      <c r="X91" s="94">
        <f t="shared" si="45"/>
        <v>1953.39</v>
      </c>
      <c r="Y91" s="94">
        <f t="shared" si="45"/>
        <v>1953.39</v>
      </c>
      <c r="Z91" s="94">
        <f t="shared" si="45"/>
        <v>2038.54</v>
      </c>
      <c r="AA91" s="94">
        <f t="shared" ref="AA91" si="52">AA89+AA90</f>
        <v>2064.84</v>
      </c>
      <c r="AB91" s="94">
        <f t="shared" si="45"/>
        <v>2144.6400000000003</v>
      </c>
      <c r="AC91" s="94">
        <f t="shared" si="45"/>
        <v>2043.54</v>
      </c>
      <c r="AD91" s="94">
        <f t="shared" si="45"/>
        <v>1994.84</v>
      </c>
      <c r="AE91" s="94">
        <f t="shared" si="45"/>
        <v>1993.34</v>
      </c>
      <c r="AF91" s="94">
        <f t="shared" si="45"/>
        <v>1916.8400000000001</v>
      </c>
      <c r="AG91" s="87">
        <f>AG88+AG84+AG72+AG68+AG50+AG90</f>
        <v>1573.45</v>
      </c>
      <c r="AH91" s="47">
        <f t="shared" si="29"/>
        <v>2144.6400000000003</v>
      </c>
      <c r="AI91" s="48">
        <f t="shared" si="30"/>
        <v>1773.14</v>
      </c>
    </row>
    <row r="92" spans="1:40" ht="15.75" thickBot="1" x14ac:dyDescent="0.3">
      <c r="A92" s="73" t="s">
        <v>103</v>
      </c>
      <c r="B92" s="94">
        <f t="shared" ref="B92:AF92" si="53">B91-B99</f>
        <v>1895.64</v>
      </c>
      <c r="C92" s="94">
        <f t="shared" si="53"/>
        <v>1888.14</v>
      </c>
      <c r="D92" s="94">
        <f t="shared" si="53"/>
        <v>1888.14</v>
      </c>
      <c r="E92" s="94">
        <f t="shared" ref="E92:F92" si="54">E91-E99</f>
        <v>1773.14</v>
      </c>
      <c r="F92" s="94">
        <f t="shared" si="54"/>
        <v>1795.44</v>
      </c>
      <c r="G92" s="94">
        <f t="shared" ref="G92:H92" si="55">G91-G99</f>
        <v>1785.44</v>
      </c>
      <c r="H92" s="94">
        <f t="shared" si="55"/>
        <v>1795.34</v>
      </c>
      <c r="I92" s="94">
        <f t="shared" ref="I92:J92" si="56">I91-I99</f>
        <v>1800.34</v>
      </c>
      <c r="J92" s="94">
        <f t="shared" si="56"/>
        <v>1821.54</v>
      </c>
      <c r="K92" s="94">
        <f t="shared" ref="K92:L92" si="57">K91-K99</f>
        <v>1842.14</v>
      </c>
      <c r="L92" s="94">
        <f t="shared" si="57"/>
        <v>1860.64</v>
      </c>
      <c r="M92" s="94">
        <f t="shared" si="53"/>
        <v>1920.64</v>
      </c>
      <c r="N92" s="94">
        <f t="shared" si="53"/>
        <v>1910.64</v>
      </c>
      <c r="O92" s="94">
        <f t="shared" si="53"/>
        <v>1913.64</v>
      </c>
      <c r="P92" s="94">
        <f t="shared" si="53"/>
        <v>1956.64</v>
      </c>
      <c r="Q92" s="94">
        <f t="shared" si="53"/>
        <v>1965.44</v>
      </c>
      <c r="R92" s="94">
        <f t="shared" si="53"/>
        <v>1951.44</v>
      </c>
      <c r="S92" s="94">
        <f t="shared" si="53"/>
        <v>1970.44</v>
      </c>
      <c r="T92" s="94">
        <f t="shared" ref="T92:U92" si="58">T91-T99</f>
        <v>1968.44</v>
      </c>
      <c r="U92" s="94">
        <f t="shared" si="58"/>
        <v>1948.24</v>
      </c>
      <c r="V92" s="94">
        <f t="shared" ref="V92" si="59">V91-V99</f>
        <v>1940.04</v>
      </c>
      <c r="W92" s="94">
        <f t="shared" si="53"/>
        <v>1933.49</v>
      </c>
      <c r="X92" s="94">
        <f t="shared" si="53"/>
        <v>1953.39</v>
      </c>
      <c r="Y92" s="94">
        <f t="shared" si="53"/>
        <v>1953.39</v>
      </c>
      <c r="Z92" s="94">
        <f t="shared" si="53"/>
        <v>2038.54</v>
      </c>
      <c r="AA92" s="94">
        <f t="shared" ref="AA92" si="60">AA91-AA99</f>
        <v>2064.84</v>
      </c>
      <c r="AB92" s="94">
        <f t="shared" si="53"/>
        <v>2144.6400000000003</v>
      </c>
      <c r="AC92" s="94">
        <f t="shared" si="53"/>
        <v>2043.54</v>
      </c>
      <c r="AD92" s="94">
        <f t="shared" si="53"/>
        <v>1994.84</v>
      </c>
      <c r="AE92" s="94">
        <f t="shared" si="53"/>
        <v>1993.34</v>
      </c>
      <c r="AF92" s="94">
        <f t="shared" si="53"/>
        <v>1916.8400000000001</v>
      </c>
      <c r="AG92" s="87"/>
      <c r="AH92" s="47">
        <f t="shared" si="29"/>
        <v>2144.6400000000003</v>
      </c>
      <c r="AI92" s="48">
        <f t="shared" si="30"/>
        <v>1773.14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29"/>
        <v>0</v>
      </c>
      <c r="AI93" s="48">
        <f t="shared" si="30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29"/>
        <v>0</v>
      </c>
      <c r="AI94" s="48">
        <f t="shared" si="30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29"/>
        <v>0</v>
      </c>
      <c r="AI95" s="48">
        <f t="shared" si="30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29"/>
        <v>0</v>
      </c>
      <c r="AI96" s="48">
        <f t="shared" si="30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29"/>
        <v>0</v>
      </c>
      <c r="AI97" s="48">
        <f t="shared" si="30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29"/>
        <v>0</v>
      </c>
      <c r="AI98" s="48">
        <f t="shared" si="30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v>0</v>
      </c>
      <c r="AB99" s="60"/>
      <c r="AC99" s="60"/>
      <c r="AD99" s="60"/>
      <c r="AE99" s="60"/>
      <c r="AF99" s="60"/>
      <c r="AG99" s="87"/>
      <c r="AH99" s="47">
        <f t="shared" si="29"/>
        <v>0</v>
      </c>
      <c r="AI99" s="48">
        <f t="shared" si="30"/>
        <v>0</v>
      </c>
      <c r="AK99" s="50"/>
    </row>
    <row r="100" spans="1:37" ht="15.75" thickBot="1" x14ac:dyDescent="0.3">
      <c r="A100" s="73" t="s">
        <v>108</v>
      </c>
      <c r="B100" s="60">
        <f t="shared" ref="B100:AF100" si="61">B84-B99</f>
        <v>0</v>
      </c>
      <c r="C100" s="60">
        <f t="shared" si="61"/>
        <v>0</v>
      </c>
      <c r="D100" s="60">
        <f t="shared" si="61"/>
        <v>0</v>
      </c>
      <c r="E100" s="60">
        <f t="shared" ref="E100:F100" si="62">E84-E99</f>
        <v>0</v>
      </c>
      <c r="F100" s="60">
        <f t="shared" si="62"/>
        <v>0</v>
      </c>
      <c r="G100" s="60">
        <f t="shared" ref="G100:H100" si="63">G84-G99</f>
        <v>0</v>
      </c>
      <c r="H100" s="60">
        <f t="shared" si="63"/>
        <v>0</v>
      </c>
      <c r="I100" s="60">
        <f t="shared" ref="I100:J100" si="64">I84-I99</f>
        <v>0</v>
      </c>
      <c r="J100" s="60">
        <f t="shared" si="64"/>
        <v>0</v>
      </c>
      <c r="K100" s="60">
        <f t="shared" ref="K100:L100" si="65">K84-K99</f>
        <v>0</v>
      </c>
      <c r="L100" s="60">
        <f t="shared" si="65"/>
        <v>0</v>
      </c>
      <c r="M100" s="60">
        <f t="shared" si="61"/>
        <v>0</v>
      </c>
      <c r="N100" s="60">
        <f t="shared" si="61"/>
        <v>0</v>
      </c>
      <c r="O100" s="60">
        <f t="shared" si="61"/>
        <v>0</v>
      </c>
      <c r="P100" s="60">
        <f t="shared" si="61"/>
        <v>0</v>
      </c>
      <c r="Q100" s="60">
        <f t="shared" si="61"/>
        <v>0</v>
      </c>
      <c r="R100" s="60">
        <f t="shared" si="61"/>
        <v>0</v>
      </c>
      <c r="S100" s="60">
        <f t="shared" si="61"/>
        <v>0</v>
      </c>
      <c r="T100" s="60">
        <f t="shared" ref="T100:U100" si="66">T84-T99</f>
        <v>0</v>
      </c>
      <c r="U100" s="60">
        <f t="shared" si="66"/>
        <v>0</v>
      </c>
      <c r="V100" s="60">
        <f t="shared" ref="V100" si="67">V84-V99</f>
        <v>0</v>
      </c>
      <c r="W100" s="60">
        <f t="shared" si="61"/>
        <v>0</v>
      </c>
      <c r="X100" s="60">
        <f t="shared" si="61"/>
        <v>0</v>
      </c>
      <c r="Y100" s="60">
        <f t="shared" si="61"/>
        <v>0</v>
      </c>
      <c r="Z100" s="60">
        <f t="shared" si="61"/>
        <v>0</v>
      </c>
      <c r="AA100" s="60">
        <v>7.3</v>
      </c>
      <c r="AB100" s="60">
        <f t="shared" si="61"/>
        <v>0</v>
      </c>
      <c r="AC100" s="60">
        <f t="shared" si="61"/>
        <v>17</v>
      </c>
      <c r="AD100" s="60">
        <f t="shared" si="61"/>
        <v>6.6</v>
      </c>
      <c r="AE100" s="60">
        <f t="shared" si="61"/>
        <v>5.0999999999999996</v>
      </c>
      <c r="AF100" s="60">
        <f t="shared" si="61"/>
        <v>0</v>
      </c>
      <c r="AG100" s="87"/>
      <c r="AH100" s="47">
        <f t="shared" si="29"/>
        <v>17</v>
      </c>
      <c r="AI100" s="48">
        <f t="shared" si="30"/>
        <v>0</v>
      </c>
    </row>
    <row r="101" spans="1:37" x14ac:dyDescent="0.25">
      <c r="A101" s="99" t="s">
        <v>109</v>
      </c>
      <c r="B101" s="100">
        <v>50</v>
      </c>
      <c r="C101" s="100">
        <v>50</v>
      </c>
      <c r="D101" s="100">
        <v>50.02</v>
      </c>
      <c r="E101" s="100">
        <v>49.932000000000002</v>
      </c>
      <c r="F101" s="100">
        <v>50.009</v>
      </c>
      <c r="G101" s="100">
        <v>50.009</v>
      </c>
      <c r="H101" s="100">
        <v>50.024000000000001</v>
      </c>
      <c r="I101" s="100">
        <v>50.015000000000001</v>
      </c>
      <c r="J101" s="100">
        <v>49.801000000000002</v>
      </c>
      <c r="K101" s="100">
        <v>50.026000000000003</v>
      </c>
      <c r="L101" s="100">
        <v>50.026000000000003</v>
      </c>
      <c r="M101" s="100">
        <v>50.009</v>
      </c>
      <c r="N101" s="100">
        <v>49.841999999999999</v>
      </c>
      <c r="O101" s="100">
        <v>50.122</v>
      </c>
      <c r="P101" s="100">
        <v>50.110999999999997</v>
      </c>
      <c r="Q101" s="100">
        <v>49.932000000000002</v>
      </c>
      <c r="R101" s="100">
        <v>50.04</v>
      </c>
      <c r="S101" s="100">
        <v>50</v>
      </c>
      <c r="T101" s="100">
        <v>50.03</v>
      </c>
      <c r="U101" s="100">
        <v>49.822000000000003</v>
      </c>
      <c r="V101" s="100">
        <v>49.920999999999999</v>
      </c>
      <c r="W101" s="100">
        <v>50</v>
      </c>
      <c r="X101" s="100">
        <v>49.9</v>
      </c>
      <c r="Y101" s="100">
        <v>50.01</v>
      </c>
      <c r="Z101" s="100">
        <v>49.744999999999997</v>
      </c>
      <c r="AA101" s="100">
        <v>49.548999999999999</v>
      </c>
      <c r="AB101" s="100">
        <v>49.871000000000002</v>
      </c>
      <c r="AC101" s="100">
        <v>49.908999999999999</v>
      </c>
      <c r="AD101" s="100">
        <v>49.988</v>
      </c>
      <c r="AE101" s="100">
        <v>49.981000000000002</v>
      </c>
      <c r="AF101" s="100">
        <v>49.786000000000001</v>
      </c>
      <c r="AG101" s="101"/>
      <c r="AH101" s="47">
        <f t="shared" si="29"/>
        <v>50.122</v>
      </c>
      <c r="AI101" s="48">
        <f t="shared" si="30"/>
        <v>49.548999999999999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29"/>
        <v>0</v>
      </c>
      <c r="AI102" s="48">
        <f t="shared" si="30"/>
        <v>0</v>
      </c>
    </row>
    <row r="103" spans="1:37" x14ac:dyDescent="0.25">
      <c r="A103" s="102" t="s">
        <v>111</v>
      </c>
      <c r="B103" s="64">
        <v>130</v>
      </c>
      <c r="C103" s="64">
        <v>130</v>
      </c>
      <c r="D103" s="64">
        <v>130</v>
      </c>
      <c r="E103" s="64">
        <v>130</v>
      </c>
      <c r="F103" s="64">
        <v>130</v>
      </c>
      <c r="G103" s="64">
        <v>130.4</v>
      </c>
      <c r="H103" s="64">
        <v>130.4</v>
      </c>
      <c r="I103" s="64">
        <v>130.4</v>
      </c>
      <c r="J103" s="64">
        <v>130.4</v>
      </c>
      <c r="K103" s="64">
        <v>130.4</v>
      </c>
      <c r="L103" s="64">
        <v>130.4</v>
      </c>
      <c r="M103" s="64">
        <v>127</v>
      </c>
      <c r="N103" s="64">
        <v>127</v>
      </c>
      <c r="O103" s="64">
        <v>128</v>
      </c>
      <c r="P103" s="64">
        <v>124.9</v>
      </c>
      <c r="Q103" s="64">
        <v>126.8</v>
      </c>
      <c r="R103" s="64">
        <v>127.5</v>
      </c>
      <c r="S103" s="64">
        <v>126</v>
      </c>
      <c r="T103" s="64">
        <v>127.6</v>
      </c>
      <c r="U103" s="64">
        <v>127.6</v>
      </c>
      <c r="V103" s="64">
        <v>127.6</v>
      </c>
      <c r="W103" s="64">
        <v>127.6</v>
      </c>
      <c r="X103" s="64">
        <v>127.6</v>
      </c>
      <c r="Y103" s="64">
        <v>127.6</v>
      </c>
      <c r="Z103" s="64">
        <v>125.4</v>
      </c>
      <c r="AA103" s="64">
        <v>125.4</v>
      </c>
      <c r="AB103" s="64">
        <v>129.4</v>
      </c>
      <c r="AC103" s="64">
        <v>127.2</v>
      </c>
      <c r="AD103" s="64">
        <v>127</v>
      </c>
      <c r="AE103" s="64">
        <v>128.19999999999999</v>
      </c>
      <c r="AF103" s="64">
        <v>128.6</v>
      </c>
      <c r="AG103" s="103"/>
      <c r="AH103" s="47">
        <f t="shared" si="29"/>
        <v>130.4</v>
      </c>
      <c r="AI103" s="48">
        <f t="shared" si="30"/>
        <v>124.9</v>
      </c>
    </row>
    <row r="104" spans="1:37" x14ac:dyDescent="0.25">
      <c r="A104" s="102" t="s">
        <v>112</v>
      </c>
      <c r="B104" s="64">
        <v>130</v>
      </c>
      <c r="C104" s="64">
        <v>130</v>
      </c>
      <c r="D104" s="64">
        <v>130</v>
      </c>
      <c r="E104" s="64">
        <v>130</v>
      </c>
      <c r="F104" s="64">
        <v>130</v>
      </c>
      <c r="G104" s="64">
        <v>130.19999999999999</v>
      </c>
      <c r="H104" s="64">
        <v>130.19999999999999</v>
      </c>
      <c r="I104" s="64">
        <v>130.19999999999999</v>
      </c>
      <c r="J104" s="64">
        <v>130.19999999999999</v>
      </c>
      <c r="K104" s="64">
        <v>130.19999999999999</v>
      </c>
      <c r="L104" s="64">
        <v>130.19999999999999</v>
      </c>
      <c r="M104" s="64">
        <v>128.80000000000001</v>
      </c>
      <c r="N104" s="64">
        <v>130.19999999999999</v>
      </c>
      <c r="O104" s="64">
        <v>131</v>
      </c>
      <c r="P104" s="64">
        <v>130.5</v>
      </c>
      <c r="Q104" s="64">
        <v>129.4</v>
      </c>
      <c r="R104" s="64">
        <v>130.6</v>
      </c>
      <c r="S104" s="64">
        <v>129</v>
      </c>
      <c r="T104" s="64">
        <v>132.1</v>
      </c>
      <c r="U104" s="64">
        <v>132.1</v>
      </c>
      <c r="V104" s="64">
        <v>132.1</v>
      </c>
      <c r="W104" s="64">
        <v>132.1</v>
      </c>
      <c r="X104" s="64">
        <v>132.1</v>
      </c>
      <c r="Y104" s="64">
        <v>132.1</v>
      </c>
      <c r="Z104" s="64">
        <v>127.7</v>
      </c>
      <c r="AA104" s="64">
        <v>127.7</v>
      </c>
      <c r="AB104" s="64">
        <v>128.1</v>
      </c>
      <c r="AC104" s="64">
        <v>127.7</v>
      </c>
      <c r="AD104" s="64">
        <v>129</v>
      </c>
      <c r="AE104" s="64">
        <v>130.6</v>
      </c>
      <c r="AF104" s="64">
        <v>129.5</v>
      </c>
      <c r="AG104" s="103"/>
      <c r="AH104" s="47">
        <f t="shared" si="29"/>
        <v>132.1</v>
      </c>
      <c r="AI104" s="48">
        <f t="shared" si="30"/>
        <v>127.7</v>
      </c>
    </row>
    <row r="105" spans="1:37" x14ac:dyDescent="0.25">
      <c r="A105" s="104" t="s">
        <v>113</v>
      </c>
      <c r="B105" s="64">
        <v>131.6</v>
      </c>
      <c r="C105" s="64">
        <v>131.6</v>
      </c>
      <c r="D105" s="64">
        <v>131.6</v>
      </c>
      <c r="E105" s="64">
        <v>131.6</v>
      </c>
      <c r="F105" s="64">
        <v>131.6</v>
      </c>
      <c r="G105" s="64">
        <v>133.30000000000001</v>
      </c>
      <c r="H105" s="64">
        <v>133.30000000000001</v>
      </c>
      <c r="I105" s="64">
        <v>133.30000000000001</v>
      </c>
      <c r="J105" s="64">
        <v>133.30000000000001</v>
      </c>
      <c r="K105" s="64">
        <v>133.30000000000001</v>
      </c>
      <c r="L105" s="64">
        <v>133.30000000000001</v>
      </c>
      <c r="M105" s="64">
        <v>131.1</v>
      </c>
      <c r="N105" s="64">
        <v>133.30000000000001</v>
      </c>
      <c r="O105" s="64">
        <v>132</v>
      </c>
      <c r="P105" s="64">
        <v>132.1</v>
      </c>
      <c r="Q105" s="64">
        <v>131.19999999999999</v>
      </c>
      <c r="R105" s="64">
        <v>132.69999999999999</v>
      </c>
      <c r="S105" s="64">
        <v>130.9</v>
      </c>
      <c r="T105" s="64">
        <v>134.1</v>
      </c>
      <c r="U105" s="64">
        <v>134.1</v>
      </c>
      <c r="V105" s="64">
        <v>134.1</v>
      </c>
      <c r="W105" s="64">
        <v>134.1</v>
      </c>
      <c r="X105" s="64">
        <v>134.1</v>
      </c>
      <c r="Y105" s="64">
        <v>134.1</v>
      </c>
      <c r="Z105" s="64">
        <v>128</v>
      </c>
      <c r="AA105" s="64">
        <v>128</v>
      </c>
      <c r="AB105" s="64">
        <v>129.30000000000001</v>
      </c>
      <c r="AC105" s="64">
        <v>129.1</v>
      </c>
      <c r="AD105" s="64">
        <v>130.69999999999999</v>
      </c>
      <c r="AE105" s="64">
        <v>132.30000000000001</v>
      </c>
      <c r="AF105" s="64">
        <v>131.30000000000001</v>
      </c>
      <c r="AG105" s="103"/>
      <c r="AH105" s="47">
        <f t="shared" si="29"/>
        <v>134.1</v>
      </c>
      <c r="AI105" s="48">
        <f t="shared" si="30"/>
        <v>128</v>
      </c>
    </row>
    <row r="106" spans="1:37" x14ac:dyDescent="0.25">
      <c r="A106" s="104" t="s">
        <v>114</v>
      </c>
      <c r="B106" s="105">
        <v>130</v>
      </c>
      <c r="C106" s="105">
        <v>130</v>
      </c>
      <c r="D106" s="105">
        <v>130</v>
      </c>
      <c r="E106" s="105">
        <v>130</v>
      </c>
      <c r="F106" s="105">
        <v>130</v>
      </c>
      <c r="G106" s="105">
        <v>131.5</v>
      </c>
      <c r="H106" s="105">
        <v>131.5</v>
      </c>
      <c r="I106" s="105">
        <v>131.5</v>
      </c>
      <c r="J106" s="105">
        <v>131.5</v>
      </c>
      <c r="K106" s="105">
        <v>131.5</v>
      </c>
      <c r="L106" s="105">
        <v>131.5</v>
      </c>
      <c r="M106" s="105">
        <v>133.6</v>
      </c>
      <c r="N106" s="105">
        <v>132.80000000000001</v>
      </c>
      <c r="O106" s="105">
        <v>132.6</v>
      </c>
      <c r="P106" s="105">
        <v>129.9</v>
      </c>
      <c r="Q106" s="105">
        <v>131.69999999999999</v>
      </c>
      <c r="R106" s="105">
        <v>133.80000000000001</v>
      </c>
      <c r="S106" s="105">
        <v>133.80000000000001</v>
      </c>
      <c r="T106" s="105">
        <v>132.80000000000001</v>
      </c>
      <c r="U106" s="105">
        <v>132.80000000000001</v>
      </c>
      <c r="V106" s="105">
        <v>132.80000000000001</v>
      </c>
      <c r="W106" s="105">
        <v>132.80000000000001</v>
      </c>
      <c r="X106" s="105">
        <v>132.80000000000001</v>
      </c>
      <c r="Y106" s="105">
        <v>132.80000000000001</v>
      </c>
      <c r="Z106" s="105">
        <v>132</v>
      </c>
      <c r="AA106" s="105">
        <v>132</v>
      </c>
      <c r="AB106" s="105">
        <v>133</v>
      </c>
      <c r="AC106" s="105">
        <v>134.19999999999999</v>
      </c>
      <c r="AD106" s="105">
        <v>130.30000000000001</v>
      </c>
      <c r="AE106" s="105">
        <v>131.6</v>
      </c>
      <c r="AF106" s="105">
        <v>130.4</v>
      </c>
      <c r="AG106" s="106"/>
      <c r="AH106" s="47">
        <f t="shared" si="29"/>
        <v>134.19999999999999</v>
      </c>
      <c r="AI106" s="48">
        <f t="shared" si="30"/>
        <v>129.9</v>
      </c>
    </row>
    <row r="107" spans="1:37" x14ac:dyDescent="0.25">
      <c r="A107" s="102" t="s">
        <v>115</v>
      </c>
      <c r="B107" s="64">
        <v>131</v>
      </c>
      <c r="C107" s="64">
        <v>131</v>
      </c>
      <c r="D107" s="64">
        <v>131</v>
      </c>
      <c r="E107" s="64">
        <v>131</v>
      </c>
      <c r="F107" s="64">
        <v>131</v>
      </c>
      <c r="G107" s="64">
        <v>131</v>
      </c>
      <c r="H107" s="64">
        <v>131</v>
      </c>
      <c r="I107" s="64">
        <v>131</v>
      </c>
      <c r="J107" s="64">
        <v>131</v>
      </c>
      <c r="K107" s="64">
        <v>131</v>
      </c>
      <c r="L107" s="64">
        <v>131</v>
      </c>
      <c r="M107" s="64">
        <v>129.9</v>
      </c>
      <c r="N107" s="64">
        <v>128.1</v>
      </c>
      <c r="O107" s="64">
        <v>128.19999999999999</v>
      </c>
      <c r="P107" s="64">
        <v>131.1</v>
      </c>
      <c r="Q107" s="64">
        <v>131.69999999999999</v>
      </c>
      <c r="R107" s="64">
        <v>131.4</v>
      </c>
      <c r="S107" s="64">
        <v>129</v>
      </c>
      <c r="T107" s="64">
        <v>130.9</v>
      </c>
      <c r="U107" s="64">
        <v>130.9</v>
      </c>
      <c r="V107" s="64">
        <v>130.9</v>
      </c>
      <c r="W107" s="64">
        <v>130.9</v>
      </c>
      <c r="X107" s="64">
        <v>130.9</v>
      </c>
      <c r="Y107" s="64">
        <v>130.9</v>
      </c>
      <c r="Z107" s="64">
        <v>126</v>
      </c>
      <c r="AA107" s="64">
        <v>126</v>
      </c>
      <c r="AB107" s="64">
        <v>129</v>
      </c>
      <c r="AC107" s="64">
        <v>131.69999999999999</v>
      </c>
      <c r="AD107" s="64">
        <v>131.5</v>
      </c>
      <c r="AE107" s="64">
        <v>134.19999999999999</v>
      </c>
      <c r="AF107" s="64">
        <v>133.69999999999999</v>
      </c>
      <c r="AG107" s="103"/>
      <c r="AH107" s="47">
        <f t="shared" si="29"/>
        <v>134.19999999999999</v>
      </c>
      <c r="AI107" s="48">
        <f t="shared" si="30"/>
        <v>126</v>
      </c>
    </row>
    <row r="108" spans="1:37" ht="15.75" thickBot="1" x14ac:dyDescent="0.3">
      <c r="A108" s="102" t="s">
        <v>116</v>
      </c>
      <c r="B108" s="91">
        <v>65.400000000000006</v>
      </c>
      <c r="C108" s="91">
        <v>65.400000000000006</v>
      </c>
      <c r="D108" s="91">
        <v>65.400000000000006</v>
      </c>
      <c r="E108" s="91">
        <v>65.400000000000006</v>
      </c>
      <c r="F108" s="91">
        <v>65.400000000000006</v>
      </c>
      <c r="G108" s="91">
        <v>65.400000000000006</v>
      </c>
      <c r="H108" s="91">
        <v>65.400000000000006</v>
      </c>
      <c r="I108" s="91">
        <v>65.400000000000006</v>
      </c>
      <c r="J108" s="91">
        <v>65.400000000000006</v>
      </c>
      <c r="K108" s="91">
        <v>65.400000000000006</v>
      </c>
      <c r="L108" s="91">
        <v>65.400000000000006</v>
      </c>
      <c r="M108" s="91">
        <v>63.6</v>
      </c>
      <c r="N108" s="91">
        <v>63.8</v>
      </c>
      <c r="O108" s="91">
        <v>62.6</v>
      </c>
      <c r="P108" s="91">
        <v>62.3</v>
      </c>
      <c r="Q108" s="91">
        <v>63.6</v>
      </c>
      <c r="R108" s="91">
        <v>63.7</v>
      </c>
      <c r="S108" s="91">
        <v>63.2</v>
      </c>
      <c r="T108" s="91">
        <v>64</v>
      </c>
      <c r="U108" s="91">
        <v>64</v>
      </c>
      <c r="V108" s="91">
        <v>64</v>
      </c>
      <c r="W108" s="91">
        <v>64</v>
      </c>
      <c r="X108" s="91">
        <v>64</v>
      </c>
      <c r="Y108" s="91">
        <v>64</v>
      </c>
      <c r="Z108" s="91">
        <v>63.1</v>
      </c>
      <c r="AA108" s="91">
        <v>63.1</v>
      </c>
      <c r="AB108" s="91">
        <v>65</v>
      </c>
      <c r="AC108" s="91">
        <v>63.9</v>
      </c>
      <c r="AD108" s="91">
        <v>63.8</v>
      </c>
      <c r="AE108" s="91">
        <v>64.3</v>
      </c>
      <c r="AF108" s="91">
        <v>64.5</v>
      </c>
      <c r="AG108" s="107"/>
      <c r="AH108" s="47">
        <f t="shared" si="29"/>
        <v>65.400000000000006</v>
      </c>
      <c r="AI108" s="48">
        <f t="shared" si="30"/>
        <v>62.3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29"/>
        <v>0</v>
      </c>
      <c r="AI109" s="48">
        <f t="shared" si="30"/>
        <v>0</v>
      </c>
    </row>
    <row r="110" spans="1:37" ht="15.75" thickBot="1" x14ac:dyDescent="0.3">
      <c r="A110" s="109" t="s">
        <v>118</v>
      </c>
      <c r="B110" s="110">
        <f t="shared" ref="B110:O110" si="68">SUM(B20,B26,B29:B30,B58,B60:B61,B63,B65,B111:B115,B138,B144,B150,B159,B161,B173,B180,B183:B184,B191,B193,B195,B199:B201,B203:B205,B210,B216:B217,B219:B221,B229,B234)</f>
        <v>17.900000000000006</v>
      </c>
      <c r="C110" s="110">
        <f t="shared" ref="C110:D110" si="69">SUM(C20,C26,C29:C30,C58,C60:C61,C63,C65,C111:C115,C138,C144,C150,C159,C161,C173,C180,C183:C184,C191,C193,C195,C199:C201,C203:C205,C210,C216:C217,C219:C221,C229,C234)</f>
        <v>18.840000000000007</v>
      </c>
      <c r="D110" s="110">
        <f t="shared" si="69"/>
        <v>18.840000000000007</v>
      </c>
      <c r="E110" s="110">
        <f t="shared" ref="E110:F110" si="70">SUM(E20,E26,E29:E30,E58,E60:E61,E63,E65,E111:E115,E138,E144,E150,E159,E161,E173,E180,E183:E184,E191,E193,E195,E199:E201,E203:E205,E210,E216:E217,E219:E221,E229,E234)</f>
        <v>25.140000000000018</v>
      </c>
      <c r="F110" s="110">
        <f t="shared" si="70"/>
        <v>36.340000000000011</v>
      </c>
      <c r="G110" s="110">
        <f t="shared" ref="G110:H110" si="71">SUM(G20,G26,G29:G30,G58,G60:G61,G63,G65,G111:G115,G138,G144,G150,G159,G161,G173,G180,G183:G184,G191,G193,G195,G199:G201,G203:G205,G210,G216:G217,G219:G221,G229,G234)</f>
        <v>61.440000000000026</v>
      </c>
      <c r="H110" s="110">
        <f t="shared" si="71"/>
        <v>57.740000000000009</v>
      </c>
      <c r="I110" s="110">
        <f t="shared" ref="I110:J110" si="72">SUM(I20,I26,I29:I30,I58,I60:I61,I63,I65,I111:I115,I138,I144,I150,I159,I161,I173,I180,I183:I184,I191,I193,I195,I199:I201,I203:I205,I210,I216:I217,I219:I221,I229,I234)</f>
        <v>86.14</v>
      </c>
      <c r="J110" s="110">
        <f t="shared" si="72"/>
        <v>104.64</v>
      </c>
      <c r="K110" s="110">
        <f t="shared" ref="K110" si="73">SUM(K20,K26,K29:K30,K58,K60:K61,K63,K65,K111:K115,K138,K144,K150,K159,K161,K173,K180,K183:K184,K191,K193,K195,K199:K201,K203:K205,K210,K216:K217,K219:K221,K229,K234)</f>
        <v>158.74000000000004</v>
      </c>
      <c r="L110" s="110">
        <f>SUM(L20,L26,L29:L30,L58,L60:L61,L63,L65,L111:L115,L138,L144,L150,L159,L161,L173,L180,L183:L184,L191,L193,L195,L199:L201,L203:L205,L210,L216:L217,L219:L221,L229,L234)</f>
        <v>163.74000000000004</v>
      </c>
      <c r="M110" s="110">
        <f>SUM(M20,M26,M29:M30,M58,M60:M61,M63,M65,M111:M115,M138,M144,M150,M159,M161,M173,M180,M183:M184,M191,M193,M195,M199:M201,M203:M205,M210,M216:M217,M219:M221,M229,M234)</f>
        <v>184.54000000000002</v>
      </c>
      <c r="N110" s="110">
        <f t="shared" si="68"/>
        <v>174.14000000000001</v>
      </c>
      <c r="O110" s="110">
        <f t="shared" si="68"/>
        <v>194.14</v>
      </c>
      <c r="P110" s="110">
        <v>42</v>
      </c>
      <c r="Q110" s="110">
        <f t="shared" ref="Q110:AF110" si="74">SUM(Q20,Q26,Q29:Q30,Q58,Q60:Q61,Q63,Q65,Q111:Q115,Q138,Q144,Q150,Q159,Q161,Q173,Q180,Q183:Q184,Q191,Q193,Q195,Q199:Q201,Q203:Q205,Q210,Q216:Q217,Q219:Q221,Q229,Q234)</f>
        <v>168.00000000000003</v>
      </c>
      <c r="R110" s="110">
        <f t="shared" si="74"/>
        <v>178.20000000000002</v>
      </c>
      <c r="S110" s="110">
        <f t="shared" si="74"/>
        <v>165.5</v>
      </c>
      <c r="T110" s="110">
        <f t="shared" ref="T110:U110" si="75">SUM(T20,T26,T29:T30,T58,T60:T61,T63,T65,T111:T115,T138,T144,T150,T159,T161,T173,T180,T183:T184,T191,T193,T195,T199:T201,T203:T205,T210,T216:T217,T219:T221,T229,T234)</f>
        <v>187.5</v>
      </c>
      <c r="U110" s="110">
        <f t="shared" si="75"/>
        <v>173.60000000000002</v>
      </c>
      <c r="V110" s="110">
        <f t="shared" ref="V110" si="76">SUM(V20,V26,V29:V30,V58,V60:V61,V63,V65,V111:V115,V138,V144,V150,V159,V161,V173,V180,V183:V184,V191,V193,V195,V199:V201,V203:V205,V210,V216:V217,V219:V221,V229,V234)</f>
        <v>165</v>
      </c>
      <c r="W110" s="110">
        <f t="shared" si="74"/>
        <v>184.9</v>
      </c>
      <c r="X110" s="110">
        <f t="shared" si="74"/>
        <v>184.9</v>
      </c>
      <c r="Y110" s="110">
        <f t="shared" si="74"/>
        <v>184.9</v>
      </c>
      <c r="Z110" s="110">
        <f t="shared" si="74"/>
        <v>238.1</v>
      </c>
      <c r="AA110" s="110">
        <v>282.83999999999997</v>
      </c>
      <c r="AB110" s="110">
        <f t="shared" si="74"/>
        <v>216.09999999999997</v>
      </c>
      <c r="AC110" s="110">
        <f t="shared" si="74"/>
        <v>402.8</v>
      </c>
      <c r="AD110" s="110"/>
      <c r="AE110" s="110">
        <f t="shared" si="74"/>
        <v>110.79999999999998</v>
      </c>
      <c r="AF110" s="110">
        <f t="shared" si="74"/>
        <v>47.900000000000013</v>
      </c>
      <c r="AG110" s="111"/>
      <c r="AH110" s="47">
        <f t="shared" si="29"/>
        <v>402.8</v>
      </c>
      <c r="AI110" s="48">
        <f t="shared" si="30"/>
        <v>17.900000000000006</v>
      </c>
    </row>
    <row r="111" spans="1:37" x14ac:dyDescent="0.25">
      <c r="A111" s="99" t="s">
        <v>119</v>
      </c>
      <c r="B111" s="112">
        <v>9</v>
      </c>
      <c r="C111" s="112">
        <v>9</v>
      </c>
      <c r="D111" s="112">
        <v>9</v>
      </c>
      <c r="E111" s="112">
        <v>15.3</v>
      </c>
      <c r="F111" s="112">
        <v>18.600000000000001</v>
      </c>
      <c r="G111" s="112">
        <v>20.3</v>
      </c>
      <c r="H111" s="112">
        <v>25.1</v>
      </c>
      <c r="I111" s="112">
        <v>25.8</v>
      </c>
      <c r="J111" s="112">
        <v>25.8</v>
      </c>
      <c r="K111" s="112">
        <v>45.4</v>
      </c>
      <c r="L111" s="112">
        <v>45.4</v>
      </c>
      <c r="M111" s="112">
        <v>34.4</v>
      </c>
      <c r="N111" s="112">
        <v>33.4</v>
      </c>
      <c r="O111" s="112">
        <v>45.8</v>
      </c>
      <c r="P111" s="112">
        <v>45.8</v>
      </c>
      <c r="Q111" s="112">
        <v>40</v>
      </c>
      <c r="R111" s="112">
        <v>37.700000000000003</v>
      </c>
      <c r="S111" s="112">
        <v>36</v>
      </c>
      <c r="T111" s="112">
        <v>37.4</v>
      </c>
      <c r="U111" s="112">
        <v>36.700000000000003</v>
      </c>
      <c r="V111" s="112">
        <v>34.1</v>
      </c>
      <c r="W111" s="112">
        <v>33.299999999999997</v>
      </c>
      <c r="X111" s="112">
        <v>33.299999999999997</v>
      </c>
      <c r="Y111" s="112">
        <v>33.299999999999997</v>
      </c>
      <c r="Z111" s="112">
        <v>59.2</v>
      </c>
      <c r="AA111" s="112">
        <v>56.5</v>
      </c>
      <c r="AB111" s="112">
        <v>39.9</v>
      </c>
      <c r="AC111" s="112">
        <v>49.7</v>
      </c>
      <c r="AD111" s="112">
        <v>42.9</v>
      </c>
      <c r="AE111" s="112">
        <v>34.200000000000003</v>
      </c>
      <c r="AF111" s="112">
        <v>26.6</v>
      </c>
      <c r="AG111" s="113">
        <v>75</v>
      </c>
      <c r="AH111" s="47">
        <f t="shared" si="29"/>
        <v>59.2</v>
      </c>
      <c r="AI111" s="48">
        <f t="shared" si="30"/>
        <v>9</v>
      </c>
    </row>
    <row r="112" spans="1:37" x14ac:dyDescent="0.25">
      <c r="A112" s="102" t="s">
        <v>120</v>
      </c>
      <c r="B112" s="114">
        <v>8</v>
      </c>
      <c r="C112" s="114">
        <v>8</v>
      </c>
      <c r="D112" s="114">
        <v>8</v>
      </c>
      <c r="E112" s="114">
        <v>8</v>
      </c>
      <c r="F112" s="114">
        <v>25.8</v>
      </c>
      <c r="G112" s="114">
        <v>31.3</v>
      </c>
      <c r="H112" s="114">
        <v>31.3</v>
      </c>
      <c r="I112" s="114">
        <v>32.799999999999997</v>
      </c>
      <c r="J112" s="114">
        <v>32.799999999999997</v>
      </c>
      <c r="K112" s="114">
        <v>59.8</v>
      </c>
      <c r="L112" s="114">
        <v>59.8</v>
      </c>
      <c r="M112" s="114">
        <v>43.9</v>
      </c>
      <c r="N112" s="114">
        <v>42.1</v>
      </c>
      <c r="O112" s="114">
        <v>63</v>
      </c>
      <c r="P112" s="114">
        <v>63</v>
      </c>
      <c r="Q112" s="114">
        <v>55.2</v>
      </c>
      <c r="R112" s="114">
        <v>50.2</v>
      </c>
      <c r="S112" s="114">
        <v>47.9</v>
      </c>
      <c r="T112" s="114">
        <v>50.4</v>
      </c>
      <c r="U112" s="114">
        <v>49.5</v>
      </c>
      <c r="V112" s="114">
        <v>45.7</v>
      </c>
      <c r="W112" s="114">
        <v>44.9</v>
      </c>
      <c r="X112" s="114">
        <v>44.9</v>
      </c>
      <c r="Y112" s="114">
        <v>44.9</v>
      </c>
      <c r="Z112" s="114">
        <v>83.8</v>
      </c>
      <c r="AA112" s="114">
        <v>82.5</v>
      </c>
      <c r="AB112" s="114">
        <v>54.3</v>
      </c>
      <c r="AC112" s="114">
        <v>71.8</v>
      </c>
      <c r="AD112" s="114">
        <v>60.4</v>
      </c>
      <c r="AE112" s="114">
        <v>47.1</v>
      </c>
      <c r="AF112" s="114">
        <v>35.4</v>
      </c>
      <c r="AG112" s="113">
        <v>240</v>
      </c>
      <c r="AH112" s="47">
        <f t="shared" si="29"/>
        <v>83.8</v>
      </c>
      <c r="AI112" s="48">
        <f t="shared" si="30"/>
        <v>8</v>
      </c>
    </row>
    <row r="113" spans="1:37" x14ac:dyDescent="0.25">
      <c r="A113" s="102" t="s">
        <v>121</v>
      </c>
      <c r="B113" s="114">
        <v>-124</v>
      </c>
      <c r="C113" s="114">
        <v>-124</v>
      </c>
      <c r="D113" s="114">
        <v>-124</v>
      </c>
      <c r="E113" s="114">
        <v>-124</v>
      </c>
      <c r="F113" s="114">
        <v>-125</v>
      </c>
      <c r="G113" s="114">
        <v>-110</v>
      </c>
      <c r="H113" s="114">
        <v>-110</v>
      </c>
      <c r="I113" s="114">
        <v>-83.8</v>
      </c>
      <c r="J113" s="114">
        <v>-83.8</v>
      </c>
      <c r="K113" s="114">
        <v>-36.700000000000003</v>
      </c>
      <c r="L113" s="114">
        <v>-36.700000000000003</v>
      </c>
      <c r="M113" s="114">
        <v>-57</v>
      </c>
      <c r="N113" s="114">
        <v>-60</v>
      </c>
      <c r="O113" s="114">
        <v>-57</v>
      </c>
      <c r="P113" s="114">
        <v>-57</v>
      </c>
      <c r="Q113" s="114">
        <v>-80</v>
      </c>
      <c r="R113" s="114">
        <v>-60</v>
      </c>
      <c r="S113" s="114">
        <v>-72</v>
      </c>
      <c r="T113" s="114">
        <v>-64</v>
      </c>
      <c r="U113" s="114">
        <v>-66.599999999999994</v>
      </c>
      <c r="V113" s="114">
        <v>-66.8</v>
      </c>
      <c r="W113" s="114">
        <v>-60</v>
      </c>
      <c r="X113" s="114">
        <v>-60</v>
      </c>
      <c r="Y113" s="114">
        <v>-60</v>
      </c>
      <c r="Z113" s="114">
        <v>-91</v>
      </c>
      <c r="AA113" s="114">
        <v>-87</v>
      </c>
      <c r="AB113" s="114">
        <f>-34.5-47.3</f>
        <v>-81.8</v>
      </c>
      <c r="AC113" s="114">
        <f>--110</f>
        <v>110</v>
      </c>
      <c r="AD113" s="114">
        <v>-125</v>
      </c>
      <c r="AE113" s="114">
        <v>-125</v>
      </c>
      <c r="AF113" s="114">
        <v>-138</v>
      </c>
      <c r="AG113" s="113">
        <v>240</v>
      </c>
      <c r="AH113" s="47">
        <f t="shared" si="29"/>
        <v>110</v>
      </c>
      <c r="AI113" s="48">
        <f t="shared" si="30"/>
        <v>-138</v>
      </c>
    </row>
    <row r="114" spans="1:37" x14ac:dyDescent="0.25">
      <c r="A114" s="102" t="s">
        <v>122</v>
      </c>
      <c r="B114" s="114">
        <v>-9</v>
      </c>
      <c r="C114" s="114">
        <v>-9</v>
      </c>
      <c r="D114" s="114">
        <v>-9</v>
      </c>
      <c r="E114" s="114">
        <v>-9</v>
      </c>
      <c r="F114" s="114">
        <v>-12.9</v>
      </c>
      <c r="G114" s="114">
        <v>-10</v>
      </c>
      <c r="H114" s="114">
        <v>-10</v>
      </c>
      <c r="I114" s="114">
        <v>-10</v>
      </c>
      <c r="J114" s="114">
        <v>-10</v>
      </c>
      <c r="K114" s="114">
        <v>7.4</v>
      </c>
      <c r="L114" s="114">
        <v>7.4</v>
      </c>
      <c r="M114" s="114">
        <v>8.3000000000000007</v>
      </c>
      <c r="N114" s="114">
        <v>7.5</v>
      </c>
      <c r="O114" s="114">
        <v>-5</v>
      </c>
      <c r="P114" s="114">
        <v>-5</v>
      </c>
      <c r="Q114" s="114">
        <v>-4.0999999999999996</v>
      </c>
      <c r="R114" s="114">
        <v>-1.4</v>
      </c>
      <c r="S114" s="114">
        <v>2.2000000000000002</v>
      </c>
      <c r="T114" s="114">
        <v>10.7</v>
      </c>
      <c r="U114" s="114">
        <v>10.3</v>
      </c>
      <c r="V114" s="114">
        <v>7.2</v>
      </c>
      <c r="W114" s="114">
        <v>13.3</v>
      </c>
      <c r="X114" s="114">
        <v>13.3</v>
      </c>
      <c r="Y114" s="114">
        <v>13.3</v>
      </c>
      <c r="Z114" s="114">
        <v>8.1999999999999993</v>
      </c>
      <c r="AA114" s="114">
        <v>6.9</v>
      </c>
      <c r="AB114" s="114">
        <v>42.2</v>
      </c>
      <c r="AC114" s="114">
        <v>0</v>
      </c>
      <c r="AD114" s="114">
        <v>-2.2999999999999998</v>
      </c>
      <c r="AE114" s="114">
        <v>-8</v>
      </c>
      <c r="AF114" s="114">
        <v>-11</v>
      </c>
      <c r="AG114" s="113">
        <v>60</v>
      </c>
      <c r="AH114" s="47">
        <f t="shared" si="29"/>
        <v>42.2</v>
      </c>
      <c r="AI114" s="48">
        <f t="shared" si="30"/>
        <v>-12.9</v>
      </c>
    </row>
    <row r="115" spans="1:37" x14ac:dyDescent="0.25">
      <c r="A115" s="115" t="s">
        <v>123</v>
      </c>
      <c r="B115" s="116">
        <v>2</v>
      </c>
      <c r="C115" s="116">
        <v>2</v>
      </c>
      <c r="D115" s="116">
        <v>2</v>
      </c>
      <c r="E115" s="116">
        <v>2</v>
      </c>
      <c r="F115" s="116">
        <v>2</v>
      </c>
      <c r="G115" s="116">
        <v>2</v>
      </c>
      <c r="H115" s="116">
        <v>2</v>
      </c>
      <c r="I115" s="116">
        <v>2</v>
      </c>
      <c r="J115" s="116">
        <v>2</v>
      </c>
      <c r="K115" s="116">
        <v>0</v>
      </c>
      <c r="L115" s="116">
        <v>0</v>
      </c>
      <c r="M115" s="116">
        <v>7.1</v>
      </c>
      <c r="N115" s="116">
        <v>8.3000000000000007</v>
      </c>
      <c r="O115" s="116">
        <v>4.5</v>
      </c>
      <c r="P115" s="116">
        <v>4.5</v>
      </c>
      <c r="Q115" s="116">
        <v>5</v>
      </c>
      <c r="R115" s="116">
        <v>4.8</v>
      </c>
      <c r="S115" s="116">
        <v>4.5</v>
      </c>
      <c r="T115" s="116">
        <v>6.1</v>
      </c>
      <c r="U115" s="116">
        <v>4.9000000000000004</v>
      </c>
      <c r="V115" s="116">
        <v>5.3</v>
      </c>
      <c r="W115" s="116">
        <v>6.5</v>
      </c>
      <c r="X115" s="116">
        <v>6.5</v>
      </c>
      <c r="Y115" s="116">
        <v>6.5</v>
      </c>
      <c r="Z115" s="116">
        <v>20.100000000000001</v>
      </c>
      <c r="AA115" s="116">
        <v>19.600000000000001</v>
      </c>
      <c r="AB115" s="116">
        <v>4.7</v>
      </c>
      <c r="AC115" s="116">
        <v>14.5</v>
      </c>
      <c r="AD115" s="116">
        <v>8.8000000000000007</v>
      </c>
      <c r="AE115" s="116">
        <v>10</v>
      </c>
      <c r="AF115" s="116">
        <v>1.6</v>
      </c>
      <c r="AG115" s="117">
        <v>120</v>
      </c>
      <c r="AH115" s="47">
        <f t="shared" si="29"/>
        <v>20.100000000000001</v>
      </c>
      <c r="AI115" s="48">
        <f t="shared" si="30"/>
        <v>0</v>
      </c>
    </row>
    <row r="116" spans="1:37" x14ac:dyDescent="0.25">
      <c r="A116" s="115" t="s">
        <v>124</v>
      </c>
      <c r="B116" s="116">
        <v>61</v>
      </c>
      <c r="C116" s="116">
        <v>61</v>
      </c>
      <c r="D116" s="116">
        <v>61</v>
      </c>
      <c r="E116" s="116">
        <v>61</v>
      </c>
      <c r="F116" s="116">
        <v>20.100000000000001</v>
      </c>
      <c r="G116" s="116">
        <v>20.100000000000001</v>
      </c>
      <c r="H116" s="116">
        <v>20.100000000000001</v>
      </c>
      <c r="I116" s="116">
        <v>20.100000000000001</v>
      </c>
      <c r="J116" s="116">
        <v>20.100000000000001</v>
      </c>
      <c r="K116" s="116">
        <v>55</v>
      </c>
      <c r="L116" s="116">
        <v>55</v>
      </c>
      <c r="M116" s="116">
        <v>74</v>
      </c>
      <c r="N116" s="116">
        <v>64.599999999999994</v>
      </c>
      <c r="O116" s="116">
        <v>68.7</v>
      </c>
      <c r="P116" s="116">
        <v>68.7</v>
      </c>
      <c r="Q116" s="116">
        <v>43.1</v>
      </c>
      <c r="R116" s="116">
        <v>61.1</v>
      </c>
      <c r="S116" s="116">
        <v>53.2</v>
      </c>
      <c r="T116" s="116">
        <v>55.3</v>
      </c>
      <c r="U116" s="116">
        <v>57</v>
      </c>
      <c r="V116" s="116">
        <v>34.1</v>
      </c>
      <c r="W116" s="116">
        <v>44.6</v>
      </c>
      <c r="X116" s="116">
        <v>44.6</v>
      </c>
      <c r="Y116" s="116">
        <v>44.6</v>
      </c>
      <c r="Z116" s="116">
        <v>23.2</v>
      </c>
      <c r="AA116" s="116">
        <v>33</v>
      </c>
      <c r="AB116" s="116">
        <v>19.5</v>
      </c>
      <c r="AC116" s="116">
        <v>21.2</v>
      </c>
      <c r="AD116" s="116">
        <v>25</v>
      </c>
      <c r="AE116" s="116">
        <v>22</v>
      </c>
      <c r="AF116" s="116">
        <v>30</v>
      </c>
      <c r="AG116" s="117"/>
      <c r="AH116" s="47">
        <f t="shared" si="29"/>
        <v>74</v>
      </c>
      <c r="AI116" s="48">
        <f t="shared" si="30"/>
        <v>19.5</v>
      </c>
    </row>
    <row r="117" spans="1:37" x14ac:dyDescent="0.25">
      <c r="A117" s="115" t="s">
        <v>125</v>
      </c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8"/>
      <c r="AH117" s="47">
        <f t="shared" si="29"/>
        <v>0</v>
      </c>
      <c r="AI117" s="48">
        <f t="shared" si="30"/>
        <v>0</v>
      </c>
    </row>
    <row r="118" spans="1:37" x14ac:dyDescent="0.25">
      <c r="A118" s="119" t="s">
        <v>126</v>
      </c>
      <c r="B118" s="105">
        <v>44</v>
      </c>
      <c r="C118" s="105">
        <v>44</v>
      </c>
      <c r="D118" s="105">
        <v>44</v>
      </c>
      <c r="E118" s="105">
        <v>44</v>
      </c>
      <c r="F118" s="105">
        <v>59.3</v>
      </c>
      <c r="G118" s="105">
        <v>60.2</v>
      </c>
      <c r="H118" s="105">
        <v>60.2</v>
      </c>
      <c r="I118" s="105">
        <v>60.2</v>
      </c>
      <c r="J118" s="105">
        <v>60.2</v>
      </c>
      <c r="K118" s="105">
        <v>60.6</v>
      </c>
      <c r="L118" s="105">
        <v>60.6</v>
      </c>
      <c r="M118" s="105">
        <v>57</v>
      </c>
      <c r="N118" s="105">
        <v>64</v>
      </c>
      <c r="O118" s="105">
        <v>50</v>
      </c>
      <c r="P118" s="105">
        <v>50</v>
      </c>
      <c r="Q118" s="105">
        <v>49.2</v>
      </c>
      <c r="R118" s="105">
        <v>45.5</v>
      </c>
      <c r="S118" s="105">
        <v>44.5</v>
      </c>
      <c r="T118" s="105">
        <v>55.8</v>
      </c>
      <c r="U118" s="105">
        <v>50.8</v>
      </c>
      <c r="V118" s="105">
        <v>45.2</v>
      </c>
      <c r="W118" s="105">
        <v>44.1</v>
      </c>
      <c r="X118" s="105">
        <v>44.1</v>
      </c>
      <c r="Y118" s="105">
        <v>44.1</v>
      </c>
      <c r="Z118" s="105">
        <v>21.7</v>
      </c>
      <c r="AA118" s="105">
        <v>21.6</v>
      </c>
      <c r="AB118" s="105">
        <v>23.6</v>
      </c>
      <c r="AC118" s="105">
        <v>24.6</v>
      </c>
      <c r="AD118" s="105">
        <v>30.4</v>
      </c>
      <c r="AE118" s="105">
        <v>35</v>
      </c>
      <c r="AF118" s="105">
        <v>41.2</v>
      </c>
      <c r="AG118" s="118"/>
      <c r="AH118" s="47">
        <f t="shared" si="29"/>
        <v>64</v>
      </c>
      <c r="AI118" s="48">
        <f t="shared" si="30"/>
        <v>21.6</v>
      </c>
    </row>
    <row r="119" spans="1:37" x14ac:dyDescent="0.25">
      <c r="A119" s="120" t="s">
        <v>127</v>
      </c>
      <c r="B119" s="105">
        <v>80</v>
      </c>
      <c r="C119" s="105">
        <v>80</v>
      </c>
      <c r="D119" s="105">
        <v>80</v>
      </c>
      <c r="E119" s="105">
        <v>80</v>
      </c>
      <c r="F119" s="105">
        <v>104</v>
      </c>
      <c r="G119" s="105">
        <v>98</v>
      </c>
      <c r="H119" s="105">
        <v>98</v>
      </c>
      <c r="I119" s="105">
        <v>98</v>
      </c>
      <c r="J119" s="105">
        <v>98</v>
      </c>
      <c r="K119" s="105">
        <v>45</v>
      </c>
      <c r="L119" s="105">
        <v>45</v>
      </c>
      <c r="M119" s="105">
        <v>78.3</v>
      </c>
      <c r="N119" s="105">
        <v>77.599999999999994</v>
      </c>
      <c r="O119" s="105">
        <v>83</v>
      </c>
      <c r="P119" s="105">
        <v>83</v>
      </c>
      <c r="Q119" s="105">
        <v>97.7</v>
      </c>
      <c r="R119" s="105">
        <v>78</v>
      </c>
      <c r="S119" s="105">
        <v>96.2</v>
      </c>
      <c r="T119" s="105">
        <v>103.2</v>
      </c>
      <c r="U119" s="105">
        <v>96</v>
      </c>
      <c r="V119" s="105">
        <v>105.7</v>
      </c>
      <c r="W119" s="105">
        <v>89.6</v>
      </c>
      <c r="X119" s="105">
        <v>89.6</v>
      </c>
      <c r="Y119" s="105">
        <v>89.6</v>
      </c>
      <c r="Z119" s="105">
        <v>83.3</v>
      </c>
      <c r="AA119" s="105">
        <v>78.099999999999994</v>
      </c>
      <c r="AB119" s="105">
        <v>98.6</v>
      </c>
      <c r="AC119" s="105">
        <v>102</v>
      </c>
      <c r="AD119" s="105">
        <v>99.1</v>
      </c>
      <c r="AE119" s="105">
        <v>94</v>
      </c>
      <c r="AF119" s="105">
        <v>100.5</v>
      </c>
      <c r="AG119" s="118"/>
      <c r="AH119" s="47">
        <f t="shared" si="29"/>
        <v>105.7</v>
      </c>
      <c r="AI119" s="48">
        <f t="shared" si="30"/>
        <v>45</v>
      </c>
    </row>
    <row r="120" spans="1:37" ht="15.75" thickBot="1" x14ac:dyDescent="0.3">
      <c r="A120" s="119" t="s">
        <v>128</v>
      </c>
      <c r="B120" s="105">
        <v>16</v>
      </c>
      <c r="C120" s="105">
        <v>16</v>
      </c>
      <c r="D120" s="105">
        <v>16</v>
      </c>
      <c r="E120" s="105">
        <v>16</v>
      </c>
      <c r="F120" s="105">
        <v>-2.5</v>
      </c>
      <c r="G120" s="105">
        <v>-2.5</v>
      </c>
      <c r="H120" s="105">
        <v>-2.5</v>
      </c>
      <c r="I120" s="105">
        <v>-2.5</v>
      </c>
      <c r="J120" s="105">
        <v>-2.5</v>
      </c>
      <c r="K120" s="105">
        <v>15</v>
      </c>
      <c r="L120" s="105">
        <v>15</v>
      </c>
      <c r="M120" s="105">
        <v>-4.0999999999999996</v>
      </c>
      <c r="N120" s="105">
        <v>-13</v>
      </c>
      <c r="O120" s="105">
        <v>10.5</v>
      </c>
      <c r="P120" s="105">
        <v>10.5</v>
      </c>
      <c r="Q120" s="105">
        <v>-7.1</v>
      </c>
      <c r="R120" s="105">
        <v>-8.6999999999999993</v>
      </c>
      <c r="S120" s="105">
        <v>-1.4</v>
      </c>
      <c r="T120" s="105">
        <v>-20</v>
      </c>
      <c r="U120" s="105">
        <v>-6.2</v>
      </c>
      <c r="V120" s="105">
        <v>-10</v>
      </c>
      <c r="W120" s="105">
        <v>-7.4</v>
      </c>
      <c r="X120" s="105">
        <v>-7.4</v>
      </c>
      <c r="Y120" s="105">
        <v>-7.4</v>
      </c>
      <c r="Z120" s="105">
        <v>28.6</v>
      </c>
      <c r="AA120" s="105">
        <v>29</v>
      </c>
      <c r="AB120" s="105">
        <v>33.700000000000003</v>
      </c>
      <c r="AC120" s="105">
        <v>34</v>
      </c>
      <c r="AD120" s="105">
        <v>28.3</v>
      </c>
      <c r="AE120" s="105">
        <v>24</v>
      </c>
      <c r="AF120" s="105">
        <v>20</v>
      </c>
      <c r="AG120" s="118"/>
      <c r="AH120" s="47">
        <f t="shared" si="29"/>
        <v>34</v>
      </c>
      <c r="AI120" s="48">
        <f t="shared" si="30"/>
        <v>-20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77">SUM(B122:B226)</f>
        <v>0</v>
      </c>
      <c r="C227" s="136">
        <f t="shared" si="77"/>
        <v>0</v>
      </c>
      <c r="D227" s="136">
        <f t="shared" si="77"/>
        <v>0</v>
      </c>
      <c r="E227" s="136">
        <f t="shared" si="77"/>
        <v>0</v>
      </c>
      <c r="F227" s="136">
        <f t="shared" si="77"/>
        <v>0</v>
      </c>
      <c r="G227" s="136">
        <f t="shared" si="77"/>
        <v>0</v>
      </c>
      <c r="H227" s="136">
        <f t="shared" si="77"/>
        <v>0</v>
      </c>
      <c r="I227" s="136">
        <f t="shared" si="77"/>
        <v>0</v>
      </c>
      <c r="J227" s="136">
        <f t="shared" si="77"/>
        <v>0</v>
      </c>
      <c r="K227" s="136">
        <f t="shared" si="77"/>
        <v>0</v>
      </c>
      <c r="L227" s="136">
        <f t="shared" si="77"/>
        <v>0</v>
      </c>
      <c r="M227" s="136">
        <f t="shared" si="77"/>
        <v>0</v>
      </c>
      <c r="N227" s="136">
        <f t="shared" si="77"/>
        <v>0</v>
      </c>
      <c r="O227" s="136">
        <f t="shared" si="77"/>
        <v>0</v>
      </c>
      <c r="P227" s="136">
        <f t="shared" si="77"/>
        <v>0</v>
      </c>
      <c r="Q227" s="136">
        <f t="shared" si="77"/>
        <v>0</v>
      </c>
      <c r="R227" s="136">
        <f t="shared" si="77"/>
        <v>0</v>
      </c>
      <c r="S227" s="136">
        <f t="shared" si="77"/>
        <v>0</v>
      </c>
      <c r="T227" s="136">
        <f t="shared" si="77"/>
        <v>0</v>
      </c>
      <c r="U227" s="136">
        <f t="shared" si="77"/>
        <v>0</v>
      </c>
      <c r="V227" s="136">
        <f t="shared" si="77"/>
        <v>0</v>
      </c>
      <c r="W227" s="136">
        <f t="shared" si="77"/>
        <v>0</v>
      </c>
      <c r="X227" s="136">
        <f t="shared" si="77"/>
        <v>0</v>
      </c>
      <c r="Y227" s="136">
        <f t="shared" si="77"/>
        <v>0</v>
      </c>
      <c r="Z227" s="136">
        <f t="shared" si="77"/>
        <v>0</v>
      </c>
      <c r="AA227" s="136">
        <f t="shared" si="77"/>
        <v>0</v>
      </c>
      <c r="AB227" s="136">
        <f t="shared" si="77"/>
        <v>0</v>
      </c>
      <c r="AC227" s="136">
        <f t="shared" si="77"/>
        <v>0</v>
      </c>
      <c r="AD227" s="136">
        <f t="shared" si="77"/>
        <v>0</v>
      </c>
      <c r="AE227" s="136">
        <f t="shared" si="77"/>
        <v>0</v>
      </c>
      <c r="AF227" s="137">
        <f t="shared" si="77"/>
        <v>0</v>
      </c>
      <c r="AG227" s="138">
        <f t="shared" si="77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78">AF229</f>
        <v>0</v>
      </c>
      <c r="C229" s="140">
        <v>0.3</v>
      </c>
      <c r="D229" s="140">
        <f t="shared" ref="D229:P234" si="79">C229</f>
        <v>0.3</v>
      </c>
      <c r="E229" s="140">
        <f t="shared" si="79"/>
        <v>0.3</v>
      </c>
      <c r="F229" s="140">
        <f t="shared" si="79"/>
        <v>0.3</v>
      </c>
      <c r="G229" s="140">
        <f t="shared" si="79"/>
        <v>0.3</v>
      </c>
      <c r="H229" s="140">
        <f t="shared" si="79"/>
        <v>0.3</v>
      </c>
      <c r="I229" s="140">
        <f t="shared" si="79"/>
        <v>0.3</v>
      </c>
      <c r="J229" s="140">
        <f t="shared" si="79"/>
        <v>0.3</v>
      </c>
      <c r="K229" s="140">
        <f t="shared" si="79"/>
        <v>0.3</v>
      </c>
      <c r="L229" s="140">
        <f t="shared" si="79"/>
        <v>0.3</v>
      </c>
      <c r="M229" s="140">
        <f t="shared" si="79"/>
        <v>0.3</v>
      </c>
      <c r="N229" s="140">
        <f t="shared" si="79"/>
        <v>0.3</v>
      </c>
      <c r="O229" s="140">
        <f t="shared" si="79"/>
        <v>0.3</v>
      </c>
      <c r="P229" s="140">
        <f t="shared" si="7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78"/>
        <v>0</v>
      </c>
      <c r="C230" s="128">
        <v>0.4</v>
      </c>
      <c r="D230" s="128">
        <f t="shared" si="79"/>
        <v>0.4</v>
      </c>
      <c r="E230" s="128">
        <f t="shared" si="79"/>
        <v>0.4</v>
      </c>
      <c r="F230" s="128">
        <f t="shared" si="79"/>
        <v>0.4</v>
      </c>
      <c r="G230" s="128">
        <f t="shared" si="79"/>
        <v>0.4</v>
      </c>
      <c r="H230" s="128">
        <f t="shared" si="79"/>
        <v>0.4</v>
      </c>
      <c r="I230" s="128">
        <f t="shared" si="79"/>
        <v>0.4</v>
      </c>
      <c r="J230" s="128">
        <f t="shared" si="79"/>
        <v>0.4</v>
      </c>
      <c r="K230" s="128">
        <f t="shared" si="79"/>
        <v>0.4</v>
      </c>
      <c r="L230" s="128">
        <f t="shared" si="79"/>
        <v>0.4</v>
      </c>
      <c r="M230" s="128">
        <f t="shared" si="79"/>
        <v>0.4</v>
      </c>
      <c r="N230" s="128">
        <f t="shared" si="79"/>
        <v>0.4</v>
      </c>
      <c r="O230" s="128">
        <f t="shared" si="79"/>
        <v>0.4</v>
      </c>
      <c r="P230" s="128">
        <f t="shared" si="7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78"/>
        <v>0</v>
      </c>
      <c r="C231" s="128">
        <v>1.5</v>
      </c>
      <c r="D231" s="128">
        <f t="shared" si="79"/>
        <v>1.5</v>
      </c>
      <c r="E231" s="128">
        <f t="shared" si="79"/>
        <v>1.5</v>
      </c>
      <c r="F231" s="128">
        <f t="shared" si="79"/>
        <v>1.5</v>
      </c>
      <c r="G231" s="128">
        <f t="shared" si="79"/>
        <v>1.5</v>
      </c>
      <c r="H231" s="128">
        <f t="shared" si="79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79"/>
        <v>123.21900000000009</v>
      </c>
      <c r="K231" s="128">
        <f t="shared" ca="1" si="79"/>
        <v>123.21900000000009</v>
      </c>
      <c r="L231" s="128">
        <f t="shared" ca="1" si="79"/>
        <v>123.21900000000009</v>
      </c>
      <c r="M231" s="128">
        <f t="shared" ca="1" si="79"/>
        <v>119.19900000000008</v>
      </c>
      <c r="N231" s="128">
        <f t="shared" ca="1" si="79"/>
        <v>119.19900000000008</v>
      </c>
      <c r="O231" s="128">
        <f t="shared" ca="1" si="79"/>
        <v>119.19900000000008</v>
      </c>
      <c r="P231" s="128">
        <f t="shared" ca="1" si="79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78"/>
        <v>0</v>
      </c>
      <c r="C232" s="128">
        <v>0.3</v>
      </c>
      <c r="D232" s="128">
        <f t="shared" si="79"/>
        <v>0.3</v>
      </c>
      <c r="E232" s="128">
        <f t="shared" si="79"/>
        <v>0.3</v>
      </c>
      <c r="F232" s="128">
        <f t="shared" si="79"/>
        <v>0.3</v>
      </c>
      <c r="G232" s="128">
        <f t="shared" si="79"/>
        <v>0.3</v>
      </c>
      <c r="H232" s="128">
        <f t="shared" si="79"/>
        <v>0.3</v>
      </c>
      <c r="I232" s="128">
        <f t="shared" si="79"/>
        <v>0.3</v>
      </c>
      <c r="J232" s="128">
        <f t="shared" si="79"/>
        <v>0.3</v>
      </c>
      <c r="K232" s="128">
        <f t="shared" si="79"/>
        <v>0.3</v>
      </c>
      <c r="L232" s="128">
        <f t="shared" si="79"/>
        <v>0.3</v>
      </c>
      <c r="M232" s="128">
        <f t="shared" si="79"/>
        <v>0.3</v>
      </c>
      <c r="N232" s="128">
        <f t="shared" si="79"/>
        <v>0.3</v>
      </c>
      <c r="O232" s="128">
        <f t="shared" si="79"/>
        <v>0.3</v>
      </c>
      <c r="P232" s="128">
        <f t="shared" si="7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78"/>
        <v>0</v>
      </c>
      <c r="C233" s="128">
        <v>0.4</v>
      </c>
      <c r="D233" s="128">
        <f t="shared" si="79"/>
        <v>0.4</v>
      </c>
      <c r="E233" s="128">
        <f t="shared" si="79"/>
        <v>0.4</v>
      </c>
      <c r="F233" s="128">
        <f t="shared" si="79"/>
        <v>0.4</v>
      </c>
      <c r="G233" s="128">
        <f t="shared" si="79"/>
        <v>0.4</v>
      </c>
      <c r="H233" s="128">
        <f t="shared" si="79"/>
        <v>0.4</v>
      </c>
      <c r="I233" s="128">
        <f t="shared" si="79"/>
        <v>0.4</v>
      </c>
      <c r="J233" s="128">
        <f t="shared" si="79"/>
        <v>0.4</v>
      </c>
      <c r="K233" s="128">
        <f t="shared" si="79"/>
        <v>0.4</v>
      </c>
      <c r="L233" s="128">
        <f t="shared" si="79"/>
        <v>0.4</v>
      </c>
      <c r="M233" s="128">
        <f t="shared" si="79"/>
        <v>0.4</v>
      </c>
      <c r="N233" s="128">
        <f t="shared" si="79"/>
        <v>0.4</v>
      </c>
      <c r="O233" s="128">
        <f t="shared" si="79"/>
        <v>0.4</v>
      </c>
      <c r="P233" s="128">
        <f t="shared" si="7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78"/>
        <v>0</v>
      </c>
      <c r="C234" s="132">
        <v>0.64</v>
      </c>
      <c r="D234" s="132">
        <f t="shared" si="79"/>
        <v>0.64</v>
      </c>
      <c r="E234" s="132">
        <f t="shared" si="79"/>
        <v>0.64</v>
      </c>
      <c r="F234" s="132">
        <f t="shared" si="79"/>
        <v>0.64</v>
      </c>
      <c r="G234" s="132">
        <f t="shared" si="79"/>
        <v>0.64</v>
      </c>
      <c r="H234" s="132">
        <f t="shared" si="79"/>
        <v>0.64</v>
      </c>
      <c r="I234" s="132">
        <f t="shared" si="79"/>
        <v>0.64</v>
      </c>
      <c r="J234" s="132">
        <f t="shared" si="79"/>
        <v>0.64</v>
      </c>
      <c r="K234" s="132">
        <f t="shared" si="79"/>
        <v>0.64</v>
      </c>
      <c r="L234" s="132">
        <f t="shared" si="79"/>
        <v>0.64</v>
      </c>
      <c r="M234" s="132">
        <f t="shared" si="79"/>
        <v>0.64</v>
      </c>
      <c r="N234" s="132">
        <f t="shared" si="79"/>
        <v>0.64</v>
      </c>
      <c r="O234" s="132">
        <f t="shared" si="79"/>
        <v>0.64</v>
      </c>
      <c r="P234" s="132">
        <f t="shared" si="7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80">SUM(B229:B234)</f>
        <v>0</v>
      </c>
      <c r="C235" s="136">
        <f t="shared" si="80"/>
        <v>3.54</v>
      </c>
      <c r="D235" s="136">
        <f t="shared" si="80"/>
        <v>3.54</v>
      </c>
      <c r="E235" s="136">
        <f t="shared" si="80"/>
        <v>3.54</v>
      </c>
      <c r="F235" s="136">
        <f t="shared" si="80"/>
        <v>3.54</v>
      </c>
      <c r="G235" s="136">
        <f t="shared" si="80"/>
        <v>3.54</v>
      </c>
      <c r="H235" s="136">
        <f t="shared" si="80"/>
        <v>3.54</v>
      </c>
      <c r="I235" s="136">
        <f t="shared" ca="1" si="80"/>
        <v>121.23900000000009</v>
      </c>
      <c r="J235" s="136">
        <f t="shared" ca="1" si="80"/>
        <v>121.23900000000009</v>
      </c>
      <c r="K235" s="136">
        <f t="shared" ca="1" si="80"/>
        <v>121.23900000000009</v>
      </c>
      <c r="L235" s="136">
        <f t="shared" ca="1" si="80"/>
        <v>125.2590000000001</v>
      </c>
      <c r="M235" s="136">
        <f t="shared" ca="1" si="80"/>
        <v>121.23900000000009</v>
      </c>
      <c r="N235" s="136">
        <f t="shared" ca="1" si="80"/>
        <v>121.23900000000009</v>
      </c>
      <c r="O235" s="136">
        <f t="shared" ca="1" si="80"/>
        <v>121.23900000000009</v>
      </c>
      <c r="P235" s="136">
        <f t="shared" ca="1" si="80"/>
        <v>121.23900000000009</v>
      </c>
      <c r="Q235" s="136">
        <f t="shared" si="80"/>
        <v>0</v>
      </c>
      <c r="R235" s="136">
        <f t="shared" si="80"/>
        <v>0</v>
      </c>
      <c r="S235" s="136">
        <f t="shared" si="80"/>
        <v>0</v>
      </c>
      <c r="T235" s="136">
        <f t="shared" si="80"/>
        <v>0</v>
      </c>
      <c r="U235" s="136">
        <f t="shared" si="80"/>
        <v>0</v>
      </c>
      <c r="V235" s="136">
        <f t="shared" si="80"/>
        <v>0</v>
      </c>
      <c r="W235" s="136">
        <f t="shared" si="80"/>
        <v>0</v>
      </c>
      <c r="X235" s="136">
        <f t="shared" si="80"/>
        <v>0</v>
      </c>
      <c r="Y235" s="136">
        <f t="shared" si="80"/>
        <v>0</v>
      </c>
      <c r="Z235" s="136">
        <f t="shared" si="80"/>
        <v>0</v>
      </c>
      <c r="AA235" s="136">
        <f t="shared" si="80"/>
        <v>0</v>
      </c>
      <c r="AB235" s="136">
        <f t="shared" si="80"/>
        <v>0</v>
      </c>
      <c r="AC235" s="136">
        <f t="shared" si="80"/>
        <v>0</v>
      </c>
      <c r="AD235" s="136">
        <f t="shared" si="80"/>
        <v>0</v>
      </c>
      <c r="AE235" s="136">
        <f t="shared" si="80"/>
        <v>0</v>
      </c>
      <c r="AF235" s="136">
        <f t="shared" si="80"/>
        <v>0</v>
      </c>
      <c r="AG235" s="145">
        <f t="shared" si="8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1920.64</v>
      </c>
      <c r="C244" s="161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24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2080/04/24)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2080/04/24)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81">B91</f>
        <v>1895.64</v>
      </c>
      <c r="U249" s="170">
        <f t="shared" si="81"/>
        <v>1888.14</v>
      </c>
      <c r="V249" s="170">
        <f t="shared" si="81"/>
        <v>1888.14</v>
      </c>
      <c r="W249" s="170">
        <f t="shared" si="81"/>
        <v>1773.14</v>
      </c>
      <c r="X249" s="170">
        <f t="shared" si="81"/>
        <v>1795.44</v>
      </c>
      <c r="Y249" s="170">
        <f t="shared" si="81"/>
        <v>1785.44</v>
      </c>
      <c r="Z249" s="170">
        <f t="shared" si="81"/>
        <v>1795.34</v>
      </c>
      <c r="AA249" s="170">
        <f t="shared" si="81"/>
        <v>1800.34</v>
      </c>
      <c r="AB249" s="170">
        <f t="shared" si="81"/>
        <v>1821.54</v>
      </c>
      <c r="AC249" s="170">
        <f t="shared" si="81"/>
        <v>1842.14</v>
      </c>
      <c r="AD249" s="170">
        <f t="shared" si="81"/>
        <v>1860.64</v>
      </c>
      <c r="AE249" s="170">
        <f t="shared" si="81"/>
        <v>1920.64</v>
      </c>
      <c r="AF249" s="170">
        <f t="shared" si="81"/>
        <v>1910.64</v>
      </c>
      <c r="AG249" s="170">
        <f t="shared" si="81"/>
        <v>1913.64</v>
      </c>
      <c r="AH249" s="170">
        <f t="shared" si="81"/>
        <v>1956.64</v>
      </c>
      <c r="AI249" s="170">
        <f t="shared" si="81"/>
        <v>1965.44</v>
      </c>
      <c r="AJ249" s="170">
        <f t="shared" si="81"/>
        <v>1951.44</v>
      </c>
      <c r="AK249" s="170">
        <f t="shared" si="81"/>
        <v>1970.44</v>
      </c>
      <c r="AL249" s="170">
        <f t="shared" si="81"/>
        <v>1968.44</v>
      </c>
      <c r="AM249" s="170">
        <f t="shared" si="81"/>
        <v>1948.24</v>
      </c>
      <c r="AN249" s="170">
        <f t="shared" si="81"/>
        <v>1940.04</v>
      </c>
      <c r="AO249" s="170">
        <f t="shared" si="81"/>
        <v>1933.49</v>
      </c>
      <c r="AP249" s="170">
        <f t="shared" si="81"/>
        <v>1953.39</v>
      </c>
      <c r="AQ249" s="170">
        <f t="shared" si="81"/>
        <v>1953.39</v>
      </c>
      <c r="AR249" s="170">
        <f t="shared" si="81"/>
        <v>2038.54</v>
      </c>
      <c r="AS249" s="170">
        <f t="shared" si="81"/>
        <v>2064.84</v>
      </c>
      <c r="AT249" s="170">
        <f t="shared" si="81"/>
        <v>2144.6400000000003</v>
      </c>
      <c r="AU249" s="170">
        <f t="shared" si="81"/>
        <v>2043.54</v>
      </c>
      <c r="AV249" s="170">
        <f t="shared" si="81"/>
        <v>1994.84</v>
      </c>
      <c r="AW249" s="170">
        <f t="shared" si="81"/>
        <v>1993.34</v>
      </c>
      <c r="AX249" s="170">
        <f t="shared" si="81"/>
        <v>1916.8400000000001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82">C234</f>
        <v>0.64</v>
      </c>
      <c r="C270" s="173">
        <f t="shared" si="82"/>
        <v>0.64</v>
      </c>
      <c r="D270" s="173">
        <f t="shared" si="82"/>
        <v>0.64</v>
      </c>
      <c r="E270" s="173">
        <f t="shared" si="82"/>
        <v>0.64</v>
      </c>
      <c r="F270" s="173">
        <f t="shared" si="82"/>
        <v>0.64</v>
      </c>
      <c r="G270" s="173">
        <f t="shared" si="82"/>
        <v>0.64</v>
      </c>
      <c r="H270" s="173">
        <f t="shared" si="82"/>
        <v>0.64</v>
      </c>
      <c r="I270" s="173">
        <f t="shared" si="82"/>
        <v>0.64</v>
      </c>
      <c r="J270" s="173">
        <f t="shared" si="82"/>
        <v>0.64</v>
      </c>
      <c r="K270" s="173">
        <f t="shared" si="82"/>
        <v>0.64</v>
      </c>
      <c r="L270" s="173">
        <f t="shared" si="82"/>
        <v>0.64</v>
      </c>
      <c r="M270" s="173">
        <f t="shared" si="82"/>
        <v>0.64</v>
      </c>
      <c r="N270" s="173">
        <f t="shared" si="82"/>
        <v>0.64</v>
      </c>
      <c r="O270" s="173">
        <f t="shared" si="82"/>
        <v>0.64</v>
      </c>
      <c r="P270" s="173">
        <f t="shared" si="82"/>
        <v>0</v>
      </c>
      <c r="Q270" s="173">
        <f t="shared" si="82"/>
        <v>0</v>
      </c>
      <c r="R270" s="173">
        <f t="shared" si="82"/>
        <v>0</v>
      </c>
      <c r="S270" s="173">
        <f t="shared" si="82"/>
        <v>0</v>
      </c>
      <c r="T270" s="173">
        <f t="shared" si="82"/>
        <v>0</v>
      </c>
      <c r="U270" s="173">
        <f t="shared" si="82"/>
        <v>0</v>
      </c>
      <c r="V270" s="173">
        <f t="shared" si="82"/>
        <v>0</v>
      </c>
      <c r="W270" s="173">
        <f t="shared" si="82"/>
        <v>0</v>
      </c>
      <c r="X270" s="173">
        <f t="shared" si="82"/>
        <v>0</v>
      </c>
      <c r="Y270" s="173">
        <f t="shared" si="82"/>
        <v>0</v>
      </c>
      <c r="Z270" s="173">
        <f t="shared" si="82"/>
        <v>0</v>
      </c>
      <c r="AA270" s="173">
        <f t="shared" si="82"/>
        <v>0</v>
      </c>
      <c r="AB270" s="173">
        <f t="shared" si="82"/>
        <v>0</v>
      </c>
      <c r="AC270" s="173">
        <f t="shared" si="82"/>
        <v>0</v>
      </c>
      <c r="AD270" s="173">
        <f t="shared" si="82"/>
        <v>0</v>
      </c>
      <c r="AE270" s="173">
        <f t="shared" si="8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83">IF(B238&lt;100,"",B238-520)</f>
        <v/>
      </c>
      <c r="C271" s="174" t="str">
        <f t="shared" si="83"/>
        <v/>
      </c>
      <c r="D271" s="174" t="str">
        <f t="shared" si="83"/>
        <v/>
      </c>
      <c r="E271" s="174" t="str">
        <f t="shared" si="83"/>
        <v/>
      </c>
      <c r="F271" s="174" t="str">
        <f t="shared" si="83"/>
        <v/>
      </c>
      <c r="G271" s="174" t="str">
        <f t="shared" si="83"/>
        <v/>
      </c>
      <c r="H271" s="174" t="str">
        <f t="shared" si="83"/>
        <v/>
      </c>
      <c r="I271" s="174" t="str">
        <f t="shared" si="83"/>
        <v/>
      </c>
      <c r="J271" s="174" t="str">
        <f t="shared" si="83"/>
        <v/>
      </c>
      <c r="K271" s="174" t="str">
        <f t="shared" si="83"/>
        <v/>
      </c>
      <c r="L271" s="174" t="str">
        <f t="shared" si="83"/>
        <v/>
      </c>
      <c r="M271" s="174" t="str">
        <f t="shared" si="83"/>
        <v/>
      </c>
      <c r="N271" s="174" t="str">
        <f t="shared" si="83"/>
        <v/>
      </c>
      <c r="O271" s="174" t="str">
        <f t="shared" si="83"/>
        <v/>
      </c>
      <c r="P271" s="174" t="str">
        <f t="shared" si="83"/>
        <v/>
      </c>
      <c r="Q271" s="174" t="str">
        <f t="shared" si="83"/>
        <v/>
      </c>
      <c r="R271" s="174" t="str">
        <f t="shared" si="83"/>
        <v/>
      </c>
      <c r="S271" s="174" t="str">
        <f t="shared" si="83"/>
        <v/>
      </c>
      <c r="T271" s="174" t="str">
        <f t="shared" si="83"/>
        <v/>
      </c>
      <c r="U271" s="174" t="str">
        <f t="shared" si="83"/>
        <v/>
      </c>
      <c r="V271" s="174" t="str">
        <f t="shared" si="83"/>
        <v/>
      </c>
      <c r="W271" s="174" t="str">
        <f t="shared" si="83"/>
        <v/>
      </c>
      <c r="X271" s="174" t="str">
        <f t="shared" si="83"/>
        <v/>
      </c>
      <c r="Y271" s="174" t="str">
        <f t="shared" si="83"/>
        <v/>
      </c>
      <c r="Z271" s="174" t="str">
        <f t="shared" si="83"/>
        <v/>
      </c>
      <c r="AA271" s="174" t="str">
        <f t="shared" si="83"/>
        <v/>
      </c>
      <c r="AB271" s="174" t="str">
        <f t="shared" si="83"/>
        <v/>
      </c>
      <c r="AC271" s="174" t="str">
        <f t="shared" si="83"/>
        <v/>
      </c>
      <c r="AD271" s="174" t="str">
        <f t="shared" si="83"/>
        <v/>
      </c>
      <c r="AE271" s="174" t="str">
        <f t="shared" si="83"/>
        <v/>
      </c>
      <c r="AF271" s="174" t="str">
        <f t="shared" si="8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84">IF(B239&lt;100,"",B239-620)</f>
        <v/>
      </c>
      <c r="C272" s="174" t="str">
        <f t="shared" si="84"/>
        <v/>
      </c>
      <c r="D272" s="174" t="str">
        <f t="shared" si="84"/>
        <v/>
      </c>
      <c r="E272" s="174" t="str">
        <f t="shared" si="84"/>
        <v/>
      </c>
      <c r="F272" s="174" t="str">
        <f t="shared" si="84"/>
        <v/>
      </c>
      <c r="G272" s="174" t="str">
        <f t="shared" si="84"/>
        <v/>
      </c>
      <c r="H272" s="174" t="str">
        <f t="shared" si="84"/>
        <v/>
      </c>
      <c r="I272" s="174" t="str">
        <f t="shared" si="84"/>
        <v/>
      </c>
      <c r="J272" s="174" t="str">
        <f t="shared" si="84"/>
        <v/>
      </c>
      <c r="K272" s="174" t="str">
        <f t="shared" si="84"/>
        <v/>
      </c>
      <c r="L272" s="174" t="str">
        <f t="shared" si="84"/>
        <v/>
      </c>
      <c r="M272" s="174" t="str">
        <f t="shared" si="84"/>
        <v/>
      </c>
      <c r="N272" s="174" t="str">
        <f t="shared" si="84"/>
        <v/>
      </c>
      <c r="O272" s="174" t="str">
        <f t="shared" si="84"/>
        <v/>
      </c>
      <c r="P272" s="174" t="str">
        <f t="shared" si="84"/>
        <v/>
      </c>
      <c r="Q272" s="174" t="str">
        <f t="shared" si="84"/>
        <v/>
      </c>
      <c r="R272" s="174" t="str">
        <f t="shared" si="84"/>
        <v/>
      </c>
      <c r="S272" s="174" t="str">
        <f t="shared" si="84"/>
        <v/>
      </c>
      <c r="T272" s="174" t="str">
        <f t="shared" si="84"/>
        <v/>
      </c>
      <c r="U272" s="174" t="str">
        <f t="shared" si="84"/>
        <v/>
      </c>
      <c r="V272" s="174" t="str">
        <f t="shared" si="84"/>
        <v/>
      </c>
      <c r="W272" s="174" t="str">
        <f t="shared" si="84"/>
        <v/>
      </c>
      <c r="X272" s="174" t="str">
        <f t="shared" si="84"/>
        <v/>
      </c>
      <c r="Y272" s="174" t="str">
        <f t="shared" si="84"/>
        <v/>
      </c>
      <c r="Z272" s="174" t="str">
        <f t="shared" si="84"/>
        <v/>
      </c>
      <c r="AA272" s="174" t="str">
        <f t="shared" si="84"/>
        <v/>
      </c>
      <c r="AB272" s="174" t="str">
        <f t="shared" si="84"/>
        <v/>
      </c>
      <c r="AC272" s="174" t="str">
        <f t="shared" si="84"/>
        <v/>
      </c>
      <c r="AD272" s="174" t="str">
        <f t="shared" si="84"/>
        <v/>
      </c>
      <c r="AE272" s="174" t="str">
        <f t="shared" si="84"/>
        <v/>
      </c>
      <c r="AF272" s="174" t="str">
        <f t="shared" si="8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85">IF(B240&lt;100,"",B240-330)</f>
        <v/>
      </c>
      <c r="C273" s="174" t="str">
        <f t="shared" si="85"/>
        <v/>
      </c>
      <c r="D273" s="174" t="str">
        <f t="shared" si="85"/>
        <v/>
      </c>
      <c r="E273" s="174" t="str">
        <f t="shared" si="85"/>
        <v/>
      </c>
      <c r="F273" s="174" t="str">
        <f t="shared" si="85"/>
        <v/>
      </c>
      <c r="G273" s="174" t="str">
        <f t="shared" si="85"/>
        <v/>
      </c>
      <c r="H273" s="174" t="str">
        <f t="shared" si="85"/>
        <v/>
      </c>
      <c r="I273" s="174" t="str">
        <f t="shared" si="85"/>
        <v/>
      </c>
      <c r="J273" s="174" t="str">
        <f t="shared" si="85"/>
        <v/>
      </c>
      <c r="K273" s="174" t="str">
        <f t="shared" si="85"/>
        <v/>
      </c>
      <c r="L273" s="174" t="str">
        <f t="shared" si="85"/>
        <v/>
      </c>
      <c r="M273" s="174" t="str">
        <f t="shared" si="85"/>
        <v/>
      </c>
      <c r="N273" s="174" t="str">
        <f t="shared" si="85"/>
        <v/>
      </c>
      <c r="O273" s="174" t="str">
        <f t="shared" si="85"/>
        <v/>
      </c>
      <c r="P273" s="174" t="str">
        <f t="shared" si="85"/>
        <v/>
      </c>
      <c r="Q273" s="174" t="str">
        <f t="shared" si="85"/>
        <v/>
      </c>
      <c r="R273" s="174" t="str">
        <f t="shared" si="85"/>
        <v/>
      </c>
      <c r="S273" s="174" t="str">
        <f t="shared" si="85"/>
        <v/>
      </c>
      <c r="T273" s="174" t="str">
        <f t="shared" si="85"/>
        <v/>
      </c>
      <c r="U273" s="174" t="str">
        <f t="shared" si="85"/>
        <v/>
      </c>
      <c r="V273" s="174" t="str">
        <f t="shared" si="85"/>
        <v/>
      </c>
      <c r="W273" s="174" t="str">
        <f t="shared" si="85"/>
        <v/>
      </c>
      <c r="X273" s="174" t="str">
        <f t="shared" si="85"/>
        <v/>
      </c>
      <c r="Y273" s="174" t="str">
        <f t="shared" si="85"/>
        <v/>
      </c>
      <c r="Z273" s="174" t="str">
        <f t="shared" si="85"/>
        <v/>
      </c>
      <c r="AA273" s="174" t="str">
        <f t="shared" si="85"/>
        <v/>
      </c>
      <c r="AB273" s="174" t="str">
        <f t="shared" si="85"/>
        <v/>
      </c>
      <c r="AC273" s="174" t="str">
        <f t="shared" si="85"/>
        <v/>
      </c>
      <c r="AD273" s="174" t="str">
        <f t="shared" si="85"/>
        <v/>
      </c>
      <c r="AE273" s="174" t="str">
        <f t="shared" si="85"/>
        <v/>
      </c>
      <c r="AF273" s="174" t="str">
        <f t="shared" si="8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86">IF(B241&lt;100,"",B241-1500)</f>
        <v/>
      </c>
      <c r="C274" s="174" t="str">
        <f t="shared" si="86"/>
        <v/>
      </c>
      <c r="D274" s="174" t="str">
        <f t="shared" si="86"/>
        <v/>
      </c>
      <c r="E274" s="174" t="str">
        <f t="shared" si="86"/>
        <v/>
      </c>
      <c r="F274" s="174" t="str">
        <f t="shared" si="86"/>
        <v/>
      </c>
      <c r="G274" s="174" t="str">
        <f t="shared" si="86"/>
        <v/>
      </c>
      <c r="H274" s="174" t="str">
        <f t="shared" si="86"/>
        <v/>
      </c>
      <c r="I274" s="174" t="str">
        <f t="shared" si="86"/>
        <v/>
      </c>
      <c r="J274" s="174" t="str">
        <f t="shared" si="86"/>
        <v/>
      </c>
      <c r="K274" s="174" t="str">
        <f t="shared" si="86"/>
        <v/>
      </c>
      <c r="L274" s="174" t="str">
        <f t="shared" si="86"/>
        <v/>
      </c>
      <c r="M274" s="174" t="str">
        <f t="shared" si="86"/>
        <v/>
      </c>
      <c r="N274" s="174" t="str">
        <f t="shared" si="86"/>
        <v/>
      </c>
      <c r="O274" s="174" t="str">
        <f t="shared" si="86"/>
        <v/>
      </c>
      <c r="P274" s="174" t="str">
        <f t="shared" si="86"/>
        <v/>
      </c>
      <c r="Q274" s="174" t="str">
        <f t="shared" si="86"/>
        <v/>
      </c>
      <c r="R274" s="174" t="str">
        <f t="shared" si="86"/>
        <v/>
      </c>
      <c r="S274" s="174" t="str">
        <f t="shared" si="86"/>
        <v/>
      </c>
      <c r="T274" s="174" t="str">
        <f t="shared" si="86"/>
        <v/>
      </c>
      <c r="U274" s="174" t="str">
        <f t="shared" si="86"/>
        <v/>
      </c>
      <c r="V274" s="174" t="str">
        <f t="shared" si="86"/>
        <v/>
      </c>
      <c r="W274" s="174" t="str">
        <f t="shared" si="86"/>
        <v/>
      </c>
      <c r="X274" s="174" t="str">
        <f t="shared" si="86"/>
        <v/>
      </c>
      <c r="Y274" s="174" t="str">
        <f t="shared" si="86"/>
        <v/>
      </c>
      <c r="Z274" s="174" t="str">
        <f t="shared" si="86"/>
        <v/>
      </c>
      <c r="AA274" s="174" t="str">
        <f t="shared" si="86"/>
        <v/>
      </c>
      <c r="AB274" s="174" t="str">
        <f t="shared" si="86"/>
        <v/>
      </c>
      <c r="AC274" s="174" t="str">
        <f t="shared" si="86"/>
        <v/>
      </c>
      <c r="AD274" s="174" t="str">
        <f t="shared" si="86"/>
        <v/>
      </c>
      <c r="AE274" s="174" t="str">
        <f t="shared" si="86"/>
        <v/>
      </c>
      <c r="AF274" s="174" t="str">
        <f t="shared" si="8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343" priority="64">
      <formula>$AH11=0</formula>
    </cfRule>
  </conditionalFormatting>
  <conditionalFormatting sqref="B8 M8 S8 AB8">
    <cfRule type="expression" dxfId="342" priority="117">
      <formula>C$9&lt;8/24</formula>
    </cfRule>
    <cfRule type="expression" dxfId="341" priority="116">
      <formula>AND(C$9&gt;=8/24,C$9&lt;14/24)</formula>
    </cfRule>
    <cfRule type="expression" dxfId="340" priority="115">
      <formula>AND(C$9&gt;=14/24,C$9&lt;20/24)</formula>
    </cfRule>
  </conditionalFormatting>
  <conditionalFormatting sqref="B54:L54">
    <cfRule type="expression" dxfId="339" priority="38">
      <formula>B$9&gt;=20/24</formula>
    </cfRule>
    <cfRule type="expression" dxfId="338" priority="39">
      <formula>AND(B$9&gt;=14/24,B$9&lt;20/24)</formula>
    </cfRule>
    <cfRule type="expression" dxfId="337" priority="40">
      <formula>AND(B$9&gt;=8/24,B$9&lt;14/24)</formula>
    </cfRule>
    <cfRule type="expression" dxfId="336" priority="41">
      <formula>B$9&lt;8/24</formula>
    </cfRule>
  </conditionalFormatting>
  <conditionalFormatting sqref="B54:L66 H62:Z62">
    <cfRule type="expression" dxfId="335" priority="33">
      <formula>B54&gt;$AG54</formula>
    </cfRule>
  </conditionalFormatting>
  <conditionalFormatting sqref="B55:R60 S58:V60 V59:Z59 W59:Y60 Z60">
    <cfRule type="expression" dxfId="334" priority="52">
      <formula>AND(B$9&gt;=14/24,B$9&lt;20/24)</formula>
    </cfRule>
    <cfRule type="expression" dxfId="333" priority="51">
      <formula>B$9&gt;=20/24</formula>
    </cfRule>
    <cfRule type="expression" dxfId="332" priority="54">
      <formula>B$9&lt;8/24</formula>
    </cfRule>
    <cfRule type="expression" dxfId="331" priority="53">
      <formula>AND(B$9&gt;=8/24,B$9&lt;14/24)</formula>
    </cfRule>
  </conditionalFormatting>
  <conditionalFormatting sqref="B9:AF45">
    <cfRule type="expression" dxfId="330" priority="23">
      <formula>B$9&gt;=20/24</formula>
    </cfRule>
    <cfRule type="expression" dxfId="329" priority="24">
      <formula>AND(B$9&gt;=14/24,B$9&lt;20/24)</formula>
    </cfRule>
    <cfRule type="expression" dxfId="328" priority="25">
      <formula>AND(B$9&gt;=8/24,B$9&lt;14/24)</formula>
    </cfRule>
    <cfRule type="expression" dxfId="327" priority="26">
      <formula>B$9&lt;8/24</formula>
    </cfRule>
  </conditionalFormatting>
  <conditionalFormatting sqref="B11:AF46">
    <cfRule type="expression" dxfId="326" priority="22">
      <formula>B11&gt;$AG11</formula>
    </cfRule>
  </conditionalFormatting>
  <conditionalFormatting sqref="B46:AF46">
    <cfRule type="expression" dxfId="325" priority="18">
      <formula>B$9&gt;=20/24</formula>
    </cfRule>
    <cfRule type="expression" dxfId="324" priority="19">
      <formula>AND(B$9&gt;=14/24,B$9&lt;20/24)</formula>
    </cfRule>
    <cfRule type="expression" dxfId="323" priority="20">
      <formula>AND(B$9&gt;=8/24,B$9&lt;14/24)</formula>
    </cfRule>
    <cfRule type="expression" dxfId="322" priority="21">
      <formula>B$9&lt;8/24</formula>
    </cfRule>
  </conditionalFormatting>
  <conditionalFormatting sqref="B47:AF47">
    <cfRule type="expression" dxfId="321" priority="32">
      <formula>B47&gt;$AG47</formula>
    </cfRule>
  </conditionalFormatting>
  <conditionalFormatting sqref="B47:AF49">
    <cfRule type="expression" dxfId="320" priority="31">
      <formula>B$9&lt;8/24</formula>
    </cfRule>
    <cfRule type="expression" dxfId="319" priority="28">
      <formula>B$9&gt;=20/24</formula>
    </cfRule>
    <cfRule type="expression" dxfId="318" priority="29">
      <formula>AND(B$9&gt;=14/24,B$9&lt;20/24)</formula>
    </cfRule>
    <cfRule type="expression" dxfId="317" priority="30">
      <formula>AND(B$9&gt;=8/24,B$9&lt;14/24)</formula>
    </cfRule>
  </conditionalFormatting>
  <conditionalFormatting sqref="B48:AF53">
    <cfRule type="expression" dxfId="316" priority="27">
      <formula>B48&gt;$AG48</formula>
    </cfRule>
  </conditionalFormatting>
  <conditionalFormatting sqref="B51:AF53">
    <cfRule type="expression" dxfId="315" priority="50">
      <formula>B$9&lt;8/24</formula>
    </cfRule>
    <cfRule type="expression" dxfId="314" priority="49">
      <formula>AND(B$9&gt;=8/24,B$9&lt;14/24)</formula>
    </cfRule>
    <cfRule type="expression" dxfId="313" priority="47">
      <formula>B$9&gt;=20/24</formula>
    </cfRule>
    <cfRule type="expression" dxfId="312" priority="48">
      <formula>AND(B$9&gt;=14/24,B$9&lt;20/24)</formula>
    </cfRule>
  </conditionalFormatting>
  <conditionalFormatting sqref="B61:AF66">
    <cfRule type="expression" dxfId="311" priority="35">
      <formula>AND(B$9&gt;=14/24,B$9&lt;20/24)</formula>
    </cfRule>
    <cfRule type="expression" dxfId="310" priority="37">
      <formula>B$9&lt;8/24</formula>
    </cfRule>
    <cfRule type="expression" dxfId="309" priority="36">
      <formula>AND(B$9&gt;=8/24,B$9&lt;14/24)</formula>
    </cfRule>
    <cfRule type="expression" dxfId="308" priority="34">
      <formula>B$9&gt;=20/24</formula>
    </cfRule>
  </conditionalFormatting>
  <conditionalFormatting sqref="B69:AF71">
    <cfRule type="expression" dxfId="307" priority="55">
      <formula>B69&gt;$AG69</formula>
    </cfRule>
    <cfRule type="expression" dxfId="306" priority="56">
      <formula>B$9&gt;=20/24</formula>
    </cfRule>
    <cfRule type="expression" dxfId="305" priority="57">
      <formula>AND(B$9&gt;=14/24,B$9&lt;20/24)</formula>
    </cfRule>
    <cfRule type="expression" dxfId="304" priority="58">
      <formula>AND(B$9&gt;=8/24,B$9&lt;14/24)</formula>
    </cfRule>
    <cfRule type="expression" dxfId="303" priority="59">
      <formula>B$9&lt;8/24</formula>
    </cfRule>
  </conditionalFormatting>
  <conditionalFormatting sqref="B73:AF91">
    <cfRule type="expression" dxfId="302" priority="2">
      <formula>AND(B$9&gt;=14/24,B$9&lt;20/24)</formula>
    </cfRule>
    <cfRule type="expression" dxfId="301" priority="3">
      <formula>AND(B$9&gt;=8/24,B$9&lt;14/24)</formula>
    </cfRule>
    <cfRule type="expression" dxfId="300" priority="4">
      <formula>B$9&lt;8/24</formula>
    </cfRule>
    <cfRule type="expression" dxfId="299" priority="1">
      <formula>B$9&gt;=20/24</formula>
    </cfRule>
  </conditionalFormatting>
  <conditionalFormatting sqref="B111:AF120">
    <cfRule type="expression" dxfId="298" priority="17">
      <formula>B$9&lt;8/24</formula>
    </cfRule>
    <cfRule type="expression" dxfId="297" priority="14">
      <formula>B$9&gt;=20/24</formula>
    </cfRule>
    <cfRule type="expression" dxfId="296" priority="15">
      <formula>AND(B$9&gt;=14/24,B$9&lt;20/24)</formula>
    </cfRule>
    <cfRule type="expression" dxfId="295" priority="16">
      <formula>AND(B$9&gt;=8/24,B$9&lt;14/24)</formula>
    </cfRule>
  </conditionalFormatting>
  <conditionalFormatting sqref="B227:AF227 D229:AF230 B229:B235 D231:H231 J231:AF231 D232:AF235 U248:AF248">
    <cfRule type="expression" dxfId="294" priority="111">
      <formula>B$9&lt;8/24</formula>
    </cfRule>
    <cfRule type="expression" dxfId="293" priority="109">
      <formula>AND(B$9&gt;=14/24,B$9&lt;20/24)</formula>
    </cfRule>
    <cfRule type="expression" dxfId="292" priority="108">
      <formula>B$9&gt;=20/24</formula>
    </cfRule>
    <cfRule type="expression" dxfId="291" priority="110">
      <formula>AND(B$9&gt;=8/24,B$9&lt;14/24)</formula>
    </cfRule>
  </conditionalFormatting>
  <conditionalFormatting sqref="B67:AG68 B72:AG72">
    <cfRule type="expression" dxfId="290" priority="42">
      <formula>B67&gt;$AG67</formula>
    </cfRule>
  </conditionalFormatting>
  <conditionalFormatting sqref="B72:AG72 B93:AF109">
    <cfRule type="expression" dxfId="289" priority="43">
      <formula>B$9&gt;=20/24</formula>
    </cfRule>
    <cfRule type="expression" dxfId="288" priority="46">
      <formula>B$9&lt;8/24</formula>
    </cfRule>
    <cfRule type="expression" dxfId="287" priority="45">
      <formula>AND(B$9&gt;=8/24,B$9&lt;14/24)</formula>
    </cfRule>
    <cfRule type="expression" dxfId="286" priority="44">
      <formula>AND(B$9&gt;=14/24,B$9&lt;20/24)</formula>
    </cfRule>
  </conditionalFormatting>
  <conditionalFormatting sqref="M55:AF66">
    <cfRule type="expression" dxfId="285" priority="5">
      <formula>M55&gt;$AG55</formula>
    </cfRule>
  </conditionalFormatting>
  <conditionalFormatting sqref="M54:AG54">
    <cfRule type="expression" dxfId="284" priority="80">
      <formula>M$9&lt;8/24</formula>
    </cfRule>
    <cfRule type="expression" dxfId="283" priority="76">
      <formula>M54&gt;$AG54</formula>
    </cfRule>
    <cfRule type="expression" dxfId="282" priority="77">
      <formula>M$9&gt;=20/24</formula>
    </cfRule>
    <cfRule type="expression" dxfId="281" priority="78">
      <formula>AND(M$9&gt;=14/24,M$9&lt;20/24)</formula>
    </cfRule>
    <cfRule type="expression" dxfId="280" priority="79">
      <formula>AND(M$9&gt;=8/24,M$9&lt;14/24)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79" priority="114">
      <formula>C$9&gt;=20/24</formula>
    </cfRule>
  </conditionalFormatting>
  <conditionalFormatting sqref="S8">
    <cfRule type="expression" dxfId="278" priority="101">
      <formula>U$9&gt;=20/24</formula>
    </cfRule>
    <cfRule type="expression" dxfId="277" priority="102">
      <formula>AND(U$9&gt;=14/24,U$9&lt;20/24)</formula>
    </cfRule>
    <cfRule type="expression" dxfId="276" priority="103">
      <formula>AND(U$9&gt;=8/24,U$9&lt;14/24)</formula>
    </cfRule>
    <cfRule type="expression" dxfId="275" priority="104">
      <formula>U$9&lt;8/24</formula>
    </cfRule>
  </conditionalFormatting>
  <conditionalFormatting sqref="S55:AF60">
    <cfRule type="expression" dxfId="274" priority="12">
      <formula>AND(S$9&gt;=8/24,S$9&lt;14/24)</formula>
    </cfRule>
    <cfRule type="expression" dxfId="273" priority="13">
      <formula>S$9&lt;8/24</formula>
    </cfRule>
    <cfRule type="expression" dxfId="272" priority="11">
      <formula>AND(S$9&gt;=14/24,S$9&lt;20/24)</formula>
    </cfRule>
    <cfRule type="expression" dxfId="271" priority="10">
      <formula>S$9&gt;=20/24</formula>
    </cfRule>
  </conditionalFormatting>
  <conditionalFormatting sqref="T248">
    <cfRule type="expression" dxfId="270" priority="129">
      <formula>AX$9&lt;8/24</formula>
    </cfRule>
    <cfRule type="expression" dxfId="269" priority="126">
      <formula>AX$9&gt;=20/24</formula>
    </cfRule>
    <cfRule type="expression" dxfId="268" priority="127">
      <formula>AND(AX$9&gt;=14/24,AX$9&lt;20/24)</formula>
    </cfRule>
    <cfRule type="expression" dxfId="267" priority="128">
      <formula>AND(AX$9&gt;=8/24,AX$9&lt;14/24)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66" priority="97">
      <formula>AD$9&gt;=20/24</formula>
    </cfRule>
    <cfRule type="expression" dxfId="265" priority="98">
      <formula>AND(AD$9&gt;=14/24,AD$9&lt;20/24)</formula>
    </cfRule>
    <cfRule type="expression" dxfId="264" priority="99">
      <formula>AND(AD$9&gt;=8/24,AD$9&lt;14/24)</formula>
    </cfRule>
    <cfRule type="expression" dxfId="263" priority="100">
      <formula>AD$9&lt;8/24</formula>
    </cfRule>
  </conditionalFormatting>
  <conditionalFormatting sqref="AE61:AF66">
    <cfRule type="expression" dxfId="262" priority="6">
      <formula>AE$9&gt;=20/24</formula>
    </cfRule>
    <cfRule type="expression" dxfId="261" priority="9">
      <formula>AE$9&lt;8/24</formula>
    </cfRule>
    <cfRule type="expression" dxfId="260" priority="8">
      <formula>AND(AE$9&gt;=8/24,AE$9&lt;14/24)</formula>
    </cfRule>
    <cfRule type="expression" dxfId="259" priority="7">
      <formula>AND(AE$9&gt;=14/24,AE$9&lt;20/24)</formula>
    </cfRule>
  </conditionalFormatting>
  <conditionalFormatting sqref="AG50">
    <cfRule type="expression" dxfId="258" priority="84">
      <formula>AG50&gt;$AG50</formula>
    </cfRule>
  </conditionalFormatting>
  <conditionalFormatting sqref="AG89">
    <cfRule type="expression" dxfId="257" priority="85">
      <formula>AG$9&gt;=20/24</formula>
    </cfRule>
    <cfRule type="expression" dxfId="256" priority="86">
      <formula>AND(AG$9&gt;=14/24,AG$9&lt;20/24)</formula>
    </cfRule>
    <cfRule type="expression" dxfId="255" priority="87">
      <formula>AND(AG$9&gt;=8/24,AG$9&lt;14/24)</formula>
    </cfRule>
    <cfRule type="expression" dxfId="254" priority="88">
      <formula>AG$9&lt;8/24</formula>
    </cfRule>
  </conditionalFormatting>
  <conditionalFormatting sqref="AG248">
    <cfRule type="expression" dxfId="253" priority="119">
      <formula>AND(B$9&gt;=14/24,B$9&lt;20/24)</formula>
    </cfRule>
    <cfRule type="expression" dxfId="252" priority="118">
      <formula>B$9&gt;=20/24</formula>
    </cfRule>
    <cfRule type="expression" dxfId="251" priority="120">
      <formula>AND(B$9&gt;=8/24,B$9&lt;14/24)</formula>
    </cfRule>
    <cfRule type="expression" dxfId="250" priority="121">
      <formula>B$9&lt;8/24</formula>
    </cfRule>
  </conditionalFormatting>
  <conditionalFormatting sqref="AH248:AX248">
    <cfRule type="expression" dxfId="249" priority="122">
      <formula>AG$9&gt;=20/24</formula>
    </cfRule>
    <cfRule type="expression" dxfId="248" priority="123">
      <formula>AND(AG$9&gt;=14/24,AG$9&lt;20/24)</formula>
    </cfRule>
    <cfRule type="expression" dxfId="247" priority="124">
      <formula>AND(AG$9&gt;=8/24,AG$9&lt;14/24)</formula>
    </cfRule>
    <cfRule type="expression" dxfId="246" priority="125">
      <formula>AG$9&lt;8/24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45" priority="131">
      <formula>AJ$9&gt;=20/24</formula>
    </cfRule>
    <cfRule type="expression" dxfId="244" priority="132">
      <formula>AND(AJ$9&gt;=14/24,AJ$9&lt;20/24)</formula>
    </cfRule>
    <cfRule type="expression" dxfId="243" priority="133">
      <formula>AND(AJ$9&gt;=8/24,AJ$9&lt;14/24)</formula>
    </cfRule>
    <cfRule type="expression" dxfId="242" priority="134">
      <formula>AJ$9&lt;8/24</formula>
    </cfRule>
  </conditionalFormatting>
  <conditionalFormatting sqref="AL80:AN80 AL86:AN86">
    <cfRule type="expression" dxfId="241" priority="72">
      <formula>AL$9&gt;=20/24</formula>
    </cfRule>
    <cfRule type="expression" dxfId="240" priority="73">
      <formula>AND(AL$9&gt;=14/24,AL$9&lt;20/24)</formula>
    </cfRule>
    <cfRule type="expression" dxfId="239" priority="74">
      <formula>AND(AL$9&gt;=8/24,AL$9&lt;14/24)</formula>
    </cfRule>
    <cfRule type="expression" dxfId="238" priority="75">
      <formula>AL$9&lt;8/24</formula>
    </cfRule>
  </conditionalFormatting>
  <conditionalFormatting sqref="AN81:AN84">
    <cfRule type="expression" dxfId="237" priority="68">
      <formula>AN$9&gt;=20/24</formula>
    </cfRule>
    <cfRule type="expression" dxfId="236" priority="69">
      <formula>AND(AN$9&gt;=14/24,AN$9&lt;20/24)</formula>
    </cfRule>
    <cfRule type="expression" dxfId="235" priority="70">
      <formula>AND(AN$9&gt;=8/24,AN$9&lt;14/24)</formula>
    </cfRule>
    <cfRule type="expression" dxfId="234" priority="71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DA62-DB58-4D9D-A8D4-219FBEB38615}">
  <dimension ref="A1:CJ281"/>
  <sheetViews>
    <sheetView zoomScaleNormal="100" workbookViewId="0">
      <pane xSplit="1" ySplit="10" topLeftCell="I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H11" sqref="AH11:AI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2080/04/25</v>
      </c>
      <c r="C4" s="203"/>
      <c r="D4" s="203"/>
      <c r="E4" s="204" t="str">
        <f ca="1">"2079/"&amp;"12/"&amp;INT(MID(CELL("filename",G6),FIND("]",CELL("filename",G6))+1,200))</f>
        <v>2079/12/25</v>
      </c>
      <c r="F4" s="204"/>
      <c r="G4" s="204"/>
      <c r="H4" s="204" t="str">
        <f ca="1">TEXT(E4,"dddd")</f>
        <v>Monday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24.7</v>
      </c>
      <c r="U5" s="30">
        <f t="shared" si="0"/>
        <v>342</v>
      </c>
      <c r="V5" s="30">
        <f t="shared" si="0"/>
        <v>24</v>
      </c>
      <c r="W5" s="30">
        <f t="shared" si="0"/>
        <v>13.2</v>
      </c>
      <c r="X5" s="30">
        <f t="shared" si="0"/>
        <v>12</v>
      </c>
      <c r="Y5" s="30">
        <f t="shared" si="0"/>
        <v>9.6999999999999993</v>
      </c>
      <c r="Z5" s="30">
        <f t="shared" si="0"/>
        <v>7.3</v>
      </c>
      <c r="AA5" s="30">
        <f t="shared" si="0"/>
        <v>20</v>
      </c>
      <c r="AB5" s="30">
        <f t="shared" si="0"/>
        <v>20.7</v>
      </c>
      <c r="AC5" s="30">
        <f t="shared" si="0"/>
        <v>1.3</v>
      </c>
      <c r="AD5" s="30">
        <f t="shared" si="0"/>
        <v>0</v>
      </c>
      <c r="AE5" s="30">
        <f t="shared" si="0"/>
        <v>0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2034MW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Load=0</v>
      </c>
      <c r="B7" s="35">
        <f t="shared" ref="B7:AF7" si="1">B91</f>
        <v>1880.94</v>
      </c>
      <c r="C7" s="35">
        <f t="shared" si="1"/>
        <v>1865.24</v>
      </c>
      <c r="D7" s="35">
        <f t="shared" si="1"/>
        <v>1856.24</v>
      </c>
      <c r="E7" s="35">
        <f t="shared" si="1"/>
        <v>1867.2400000000002</v>
      </c>
      <c r="F7" s="35">
        <f t="shared" si="1"/>
        <v>1870.2399999999998</v>
      </c>
      <c r="G7" s="35">
        <f t="shared" si="1"/>
        <v>1862.2399999999998</v>
      </c>
      <c r="H7" s="35">
        <f t="shared" si="1"/>
        <v>1874.7399999999998</v>
      </c>
      <c r="I7" s="35">
        <f t="shared" si="1"/>
        <v>1886.5399999999997</v>
      </c>
      <c r="J7" s="35">
        <f t="shared" si="1"/>
        <v>1938.24</v>
      </c>
      <c r="K7" s="35">
        <f t="shared" si="1"/>
        <v>1949.24</v>
      </c>
      <c r="L7" s="35">
        <f t="shared" si="1"/>
        <v>2034.24</v>
      </c>
      <c r="M7" s="35">
        <f t="shared" si="1"/>
        <v>2013.5400000000002</v>
      </c>
      <c r="N7" s="35">
        <f>N91</f>
        <v>1919.6399999999999</v>
      </c>
      <c r="O7" s="35">
        <f t="shared" si="1"/>
        <v>1915.6399999999999</v>
      </c>
      <c r="P7" s="35">
        <f t="shared" si="1"/>
        <v>1986.2399999999998</v>
      </c>
      <c r="Q7" s="35">
        <f t="shared" si="1"/>
        <v>1967.2399999999998</v>
      </c>
      <c r="R7" s="35">
        <f t="shared" si="1"/>
        <v>1953.7399999999998</v>
      </c>
      <c r="S7" s="35">
        <f t="shared" si="1"/>
        <v>1947.74</v>
      </c>
      <c r="T7" s="35">
        <f t="shared" si="1"/>
        <v>0</v>
      </c>
      <c r="U7" s="35">
        <f t="shared" si="1"/>
        <v>1713.34</v>
      </c>
      <c r="V7" s="35">
        <f t="shared" si="1"/>
        <v>2077.44</v>
      </c>
      <c r="W7" s="35">
        <f t="shared" si="1"/>
        <v>1759.54</v>
      </c>
      <c r="X7" s="35">
        <f t="shared" si="1"/>
        <v>1868.44</v>
      </c>
      <c r="Y7" s="35">
        <f t="shared" si="1"/>
        <v>1917.24</v>
      </c>
      <c r="Z7" s="35">
        <f t="shared" si="1"/>
        <v>1986.84</v>
      </c>
      <c r="AA7" s="35">
        <f t="shared" si="1"/>
        <v>2056.34</v>
      </c>
      <c r="AB7" s="35">
        <f t="shared" si="1"/>
        <v>2043.0399999999997</v>
      </c>
      <c r="AC7" s="35">
        <f t="shared" si="1"/>
        <v>2043.7399999999998</v>
      </c>
      <c r="AD7" s="35">
        <f t="shared" si="1"/>
        <v>2024.3399999999997</v>
      </c>
      <c r="AE7" s="35">
        <f t="shared" si="1"/>
        <v>1970.6399999999999</v>
      </c>
      <c r="AF7" s="35">
        <f t="shared" si="1"/>
        <v>1970.6399999999999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</v>
      </c>
      <c r="C11" s="45">
        <v>90</v>
      </c>
      <c r="D11" s="45">
        <v>90</v>
      </c>
      <c r="E11" s="45">
        <v>90</v>
      </c>
      <c r="F11" s="45">
        <v>90</v>
      </c>
      <c r="G11" s="45">
        <v>90</v>
      </c>
      <c r="H11" s="45">
        <v>90</v>
      </c>
      <c r="I11" s="45">
        <v>90</v>
      </c>
      <c r="J11" s="45">
        <v>90</v>
      </c>
      <c r="K11" s="45">
        <v>90</v>
      </c>
      <c r="L11" s="45">
        <v>90</v>
      </c>
      <c r="M11" s="45">
        <v>90</v>
      </c>
      <c r="N11" s="45">
        <v>90</v>
      </c>
      <c r="O11" s="45">
        <v>90</v>
      </c>
      <c r="P11" s="45">
        <v>90</v>
      </c>
      <c r="Q11" s="45">
        <v>90</v>
      </c>
      <c r="R11" s="45">
        <v>90</v>
      </c>
      <c r="S11" s="45">
        <v>90</v>
      </c>
      <c r="T11" s="45"/>
      <c r="U11" s="45">
        <v>90</v>
      </c>
      <c r="V11" s="45">
        <v>90</v>
      </c>
      <c r="W11" s="45">
        <v>90</v>
      </c>
      <c r="X11" s="45">
        <v>90</v>
      </c>
      <c r="Y11" s="45">
        <v>90</v>
      </c>
      <c r="Z11" s="45">
        <v>90</v>
      </c>
      <c r="AA11" s="45">
        <v>90</v>
      </c>
      <c r="AB11" s="45">
        <v>90</v>
      </c>
      <c r="AC11" s="45">
        <v>90</v>
      </c>
      <c r="AD11" s="45">
        <v>90</v>
      </c>
      <c r="AE11" s="45">
        <v>90</v>
      </c>
      <c r="AF11" s="45">
        <v>90</v>
      </c>
      <c r="AG11" s="46">
        <v>86</v>
      </c>
      <c r="AH11" s="47">
        <f t="shared" ref="AH11:AH76" si="2">MAX(B11:AF11)</f>
        <v>90</v>
      </c>
      <c r="AI11" s="48">
        <f t="shared" ref="AI11:AI76" si="3">MIN(B11:AF11)</f>
        <v>90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27</v>
      </c>
      <c r="M12" s="45">
        <v>12</v>
      </c>
      <c r="N12" s="45">
        <v>0</v>
      </c>
      <c r="O12" s="45">
        <v>0</v>
      </c>
      <c r="P12" s="45">
        <v>8</v>
      </c>
      <c r="Q12" s="45">
        <v>8</v>
      </c>
      <c r="R12" s="45">
        <v>0</v>
      </c>
      <c r="S12" s="45">
        <v>0</v>
      </c>
      <c r="T12" s="45" t="s">
        <v>260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27</v>
      </c>
      <c r="AA12" s="45">
        <v>26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>
        <f t="shared" si="2"/>
        <v>27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54.9</v>
      </c>
      <c r="C13" s="45">
        <v>54.9</v>
      </c>
      <c r="D13" s="45">
        <v>54.9</v>
      </c>
      <c r="E13" s="45">
        <v>54.9</v>
      </c>
      <c r="F13" s="45">
        <v>54.9</v>
      </c>
      <c r="G13" s="45">
        <v>54.9</v>
      </c>
      <c r="H13" s="45">
        <v>54.9</v>
      </c>
      <c r="I13" s="45">
        <v>54.9</v>
      </c>
      <c r="J13" s="45">
        <v>54.9</v>
      </c>
      <c r="K13" s="45">
        <v>54.9</v>
      </c>
      <c r="L13" s="45">
        <v>54.9</v>
      </c>
      <c r="M13" s="45">
        <v>54.9</v>
      </c>
      <c r="N13" s="45">
        <v>54.9</v>
      </c>
      <c r="O13" s="45">
        <v>54.9</v>
      </c>
      <c r="P13" s="45">
        <v>54.9</v>
      </c>
      <c r="Q13" s="45">
        <v>54.9</v>
      </c>
      <c r="R13" s="45">
        <v>54.9</v>
      </c>
      <c r="S13" s="45">
        <v>55</v>
      </c>
      <c r="T13" s="45" t="s">
        <v>280</v>
      </c>
      <c r="U13" s="45">
        <v>55</v>
      </c>
      <c r="V13" s="45">
        <v>55</v>
      </c>
      <c r="W13" s="45">
        <v>55</v>
      </c>
      <c r="X13" s="45">
        <v>55</v>
      </c>
      <c r="Y13" s="45">
        <v>55</v>
      </c>
      <c r="Z13" s="45">
        <v>55</v>
      </c>
      <c r="AA13" s="45">
        <v>55</v>
      </c>
      <c r="AB13" s="45">
        <v>55</v>
      </c>
      <c r="AC13" s="45">
        <v>55</v>
      </c>
      <c r="AD13" s="45">
        <v>55</v>
      </c>
      <c r="AE13" s="45">
        <v>55</v>
      </c>
      <c r="AF13" s="45">
        <v>55</v>
      </c>
      <c r="AG13" s="46">
        <v>52.4</v>
      </c>
      <c r="AH13" s="47">
        <f t="shared" si="2"/>
        <v>55</v>
      </c>
      <c r="AI13" s="48">
        <f t="shared" si="3"/>
        <v>54.9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50.2</v>
      </c>
      <c r="C14" s="58">
        <v>50.2</v>
      </c>
      <c r="D14" s="58">
        <v>50.2</v>
      </c>
      <c r="E14" s="58">
        <v>50.2</v>
      </c>
      <c r="F14" s="58">
        <v>50.2</v>
      </c>
      <c r="G14" s="58">
        <v>50.2</v>
      </c>
      <c r="H14" s="58">
        <v>50.2</v>
      </c>
      <c r="I14" s="58">
        <v>50.2</v>
      </c>
      <c r="J14" s="58">
        <v>50.2</v>
      </c>
      <c r="K14" s="58">
        <v>50.2</v>
      </c>
      <c r="L14" s="58">
        <v>50.2</v>
      </c>
      <c r="M14" s="58">
        <v>50.7</v>
      </c>
      <c r="N14" s="58">
        <v>50.7</v>
      </c>
      <c r="O14" s="58">
        <v>50.7</v>
      </c>
      <c r="P14" s="58">
        <v>50.7</v>
      </c>
      <c r="Q14" s="58">
        <v>50.7</v>
      </c>
      <c r="R14" s="58">
        <v>50.7</v>
      </c>
      <c r="S14" s="58">
        <v>50.3</v>
      </c>
      <c r="T14" s="58" t="s">
        <v>260</v>
      </c>
      <c r="U14" s="58">
        <v>50.3</v>
      </c>
      <c r="V14" s="58">
        <v>50.3</v>
      </c>
      <c r="W14" s="58">
        <v>50.3</v>
      </c>
      <c r="X14" s="58">
        <v>50.3</v>
      </c>
      <c r="Y14" s="58">
        <v>50.3</v>
      </c>
      <c r="Z14" s="58">
        <v>50.3</v>
      </c>
      <c r="AA14" s="45">
        <v>50.4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49">
        <v>50</v>
      </c>
      <c r="AH14" s="47">
        <f t="shared" si="2"/>
        <v>50.7</v>
      </c>
      <c r="AI14" s="48">
        <f t="shared" si="3"/>
        <v>50.2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</v>
      </c>
      <c r="C15" s="45">
        <v>46</v>
      </c>
      <c r="D15" s="45">
        <v>46</v>
      </c>
      <c r="E15" s="45">
        <v>46</v>
      </c>
      <c r="F15" s="45">
        <v>37</v>
      </c>
      <c r="G15" s="45">
        <v>37</v>
      </c>
      <c r="H15" s="45">
        <v>37</v>
      </c>
      <c r="I15" s="45">
        <v>37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37.200000000000003</v>
      </c>
      <c r="T15" s="45" t="s">
        <v>279</v>
      </c>
      <c r="U15" s="45">
        <v>37.200000000000003</v>
      </c>
      <c r="V15" s="45">
        <v>37.200000000000003</v>
      </c>
      <c r="W15" s="45">
        <v>37.200000000000003</v>
      </c>
      <c r="X15" s="45">
        <v>37.200000000000003</v>
      </c>
      <c r="Y15" s="45">
        <v>37.200000000000003</v>
      </c>
      <c r="Z15" s="45">
        <v>37.200000000000003</v>
      </c>
      <c r="AA15" s="45">
        <v>46</v>
      </c>
      <c r="AB15" s="45">
        <v>46</v>
      </c>
      <c r="AC15" s="45">
        <v>46</v>
      </c>
      <c r="AD15" s="45">
        <v>46</v>
      </c>
      <c r="AE15" s="45">
        <v>23</v>
      </c>
      <c r="AF15" s="45">
        <v>23</v>
      </c>
      <c r="AG15" s="49">
        <v>45</v>
      </c>
      <c r="AH15" s="47">
        <f t="shared" si="2"/>
        <v>46</v>
      </c>
      <c r="AI15" s="48">
        <f t="shared" si="3"/>
        <v>23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 t="s">
        <v>281</v>
      </c>
      <c r="U16" s="45">
        <v>0</v>
      </c>
      <c r="V16" s="45">
        <v>0</v>
      </c>
      <c r="W16" s="45">
        <v>0</v>
      </c>
      <c r="X16" s="45">
        <v>30</v>
      </c>
      <c r="Y16" s="45">
        <v>40</v>
      </c>
      <c r="Z16" s="45">
        <v>40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29</v>
      </c>
      <c r="C17" s="45">
        <v>29</v>
      </c>
      <c r="D17" s="45">
        <v>25</v>
      </c>
      <c r="E17" s="45">
        <v>25</v>
      </c>
      <c r="F17" s="45">
        <v>25</v>
      </c>
      <c r="G17" s="45">
        <v>25</v>
      </c>
      <c r="H17" s="45">
        <v>25</v>
      </c>
      <c r="I17" s="45">
        <v>25</v>
      </c>
      <c r="J17" s="45">
        <v>25</v>
      </c>
      <c r="K17" s="45">
        <v>28.9</v>
      </c>
      <c r="L17" s="45">
        <v>28.9</v>
      </c>
      <c r="M17" s="45">
        <v>29</v>
      </c>
      <c r="N17" s="45">
        <v>29</v>
      </c>
      <c r="O17" s="45">
        <v>29</v>
      </c>
      <c r="P17" s="45">
        <v>29</v>
      </c>
      <c r="Q17" s="45">
        <v>29</v>
      </c>
      <c r="R17" s="45">
        <v>29</v>
      </c>
      <c r="S17" s="45">
        <v>29</v>
      </c>
      <c r="T17" s="45" t="s">
        <v>278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28</v>
      </c>
      <c r="AA17" s="45">
        <v>29</v>
      </c>
      <c r="AB17" s="45">
        <v>29</v>
      </c>
      <c r="AC17" s="45">
        <v>29</v>
      </c>
      <c r="AD17" s="45">
        <v>29</v>
      </c>
      <c r="AE17" s="45">
        <v>29</v>
      </c>
      <c r="AF17" s="45">
        <v>29</v>
      </c>
      <c r="AG17" s="49">
        <v>42</v>
      </c>
      <c r="AH17" s="47">
        <f t="shared" si="2"/>
        <v>29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39</v>
      </c>
      <c r="C18" s="45">
        <v>39</v>
      </c>
      <c r="D18" s="45">
        <v>39</v>
      </c>
      <c r="E18" s="45">
        <v>39</v>
      </c>
      <c r="F18" s="45">
        <v>39</v>
      </c>
      <c r="G18" s="45">
        <v>39</v>
      </c>
      <c r="H18" s="45">
        <v>39</v>
      </c>
      <c r="I18" s="45">
        <v>39</v>
      </c>
      <c r="J18" s="45">
        <v>39</v>
      </c>
      <c r="K18" s="45">
        <v>39</v>
      </c>
      <c r="L18" s="45">
        <v>39</v>
      </c>
      <c r="M18" s="45">
        <v>39</v>
      </c>
      <c r="N18" s="45">
        <v>39</v>
      </c>
      <c r="O18" s="45">
        <v>39</v>
      </c>
      <c r="P18" s="45">
        <v>39</v>
      </c>
      <c r="Q18" s="45">
        <v>39</v>
      </c>
      <c r="R18" s="45">
        <v>39</v>
      </c>
      <c r="S18" s="45">
        <v>39</v>
      </c>
      <c r="T18" s="45"/>
      <c r="U18" s="45">
        <v>39</v>
      </c>
      <c r="V18" s="45">
        <v>39</v>
      </c>
      <c r="W18" s="45">
        <v>39</v>
      </c>
      <c r="X18" s="45">
        <v>39</v>
      </c>
      <c r="Y18" s="45">
        <v>39</v>
      </c>
      <c r="Z18" s="45">
        <v>39</v>
      </c>
      <c r="AA18" s="45">
        <v>39</v>
      </c>
      <c r="AB18" s="45">
        <v>39</v>
      </c>
      <c r="AC18" s="45">
        <v>39</v>
      </c>
      <c r="AD18" s="45">
        <v>39</v>
      </c>
      <c r="AE18" s="45">
        <v>39</v>
      </c>
      <c r="AF18" s="45">
        <v>39</v>
      </c>
      <c r="AG18" s="49">
        <v>38.46</v>
      </c>
      <c r="AH18" s="47">
        <f t="shared" si="2"/>
        <v>39</v>
      </c>
      <c r="AI18" s="48">
        <f t="shared" si="3"/>
        <v>39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 t="s">
        <v>279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36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15</v>
      </c>
      <c r="M20" s="45">
        <v>8.6999999999999993</v>
      </c>
      <c r="N20" s="45">
        <v>0</v>
      </c>
      <c r="O20" s="45">
        <v>0</v>
      </c>
      <c r="P20" s="45">
        <v>5</v>
      </c>
      <c r="Q20" s="45">
        <v>5</v>
      </c>
      <c r="R20" s="45">
        <v>5</v>
      </c>
      <c r="S20" s="45">
        <v>5</v>
      </c>
      <c r="T20" s="45" t="s">
        <v>296</v>
      </c>
      <c r="U20" s="45">
        <v>5.4</v>
      </c>
      <c r="V20" s="45">
        <v>5.4</v>
      </c>
      <c r="W20" s="45">
        <v>5.4</v>
      </c>
      <c r="X20" s="45">
        <v>5.4</v>
      </c>
      <c r="Y20" s="45">
        <v>5.4</v>
      </c>
      <c r="Z20" s="45">
        <v>5.4</v>
      </c>
      <c r="AA20" s="45">
        <v>26.2</v>
      </c>
      <c r="AB20" s="45">
        <v>26.2</v>
      </c>
      <c r="AC20" s="45">
        <v>26.2</v>
      </c>
      <c r="AD20" s="45">
        <v>26.2</v>
      </c>
      <c r="AE20" s="45">
        <v>15</v>
      </c>
      <c r="AF20" s="45">
        <v>15</v>
      </c>
      <c r="AG20" s="51">
        <v>30</v>
      </c>
      <c r="AH20" s="47">
        <f t="shared" si="2"/>
        <v>26.2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</v>
      </c>
      <c r="C21" s="45">
        <v>20</v>
      </c>
      <c r="D21" s="45">
        <v>20</v>
      </c>
      <c r="E21" s="45">
        <v>20</v>
      </c>
      <c r="F21" s="45">
        <v>20</v>
      </c>
      <c r="G21" s="45">
        <v>20</v>
      </c>
      <c r="H21" s="45">
        <v>20</v>
      </c>
      <c r="I21" s="45">
        <v>20</v>
      </c>
      <c r="J21" s="45">
        <v>20</v>
      </c>
      <c r="K21" s="45">
        <v>20</v>
      </c>
      <c r="L21" s="45">
        <v>20</v>
      </c>
      <c r="M21" s="45">
        <v>20</v>
      </c>
      <c r="N21" s="45">
        <v>20</v>
      </c>
      <c r="O21" s="45">
        <v>20</v>
      </c>
      <c r="P21" s="45">
        <v>20</v>
      </c>
      <c r="Q21" s="45">
        <v>20</v>
      </c>
      <c r="R21" s="45">
        <v>20</v>
      </c>
      <c r="S21" s="45">
        <v>20</v>
      </c>
      <c r="T21" s="45" t="s">
        <v>295</v>
      </c>
      <c r="U21" s="45">
        <v>20.9</v>
      </c>
      <c r="V21" s="45">
        <v>20.9</v>
      </c>
      <c r="W21" s="45">
        <v>20.9</v>
      </c>
      <c r="X21" s="45">
        <v>20.9</v>
      </c>
      <c r="Y21" s="45">
        <v>20.9</v>
      </c>
      <c r="Z21" s="45">
        <v>20.9</v>
      </c>
      <c r="AA21" s="45">
        <v>20</v>
      </c>
      <c r="AB21" s="45">
        <v>20</v>
      </c>
      <c r="AC21" s="45">
        <v>20</v>
      </c>
      <c r="AD21" s="45">
        <v>20</v>
      </c>
      <c r="AE21" s="45">
        <v>20</v>
      </c>
      <c r="AF21" s="45">
        <v>20</v>
      </c>
      <c r="AG21" s="49">
        <v>24.2</v>
      </c>
      <c r="AH21" s="47">
        <f t="shared" si="2"/>
        <v>20.9</v>
      </c>
      <c r="AI21" s="48">
        <f t="shared" si="3"/>
        <v>20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20.9</v>
      </c>
      <c r="C22" s="45">
        <v>20.9</v>
      </c>
      <c r="D22" s="45">
        <v>20.9</v>
      </c>
      <c r="E22" s="45">
        <v>20.9</v>
      </c>
      <c r="F22" s="45">
        <v>20.9</v>
      </c>
      <c r="G22" s="45">
        <v>20.9</v>
      </c>
      <c r="H22" s="45">
        <v>20.9</v>
      </c>
      <c r="I22" s="45">
        <v>20.9</v>
      </c>
      <c r="J22" s="45">
        <v>20.9</v>
      </c>
      <c r="K22" s="45">
        <v>20.9</v>
      </c>
      <c r="L22" s="45">
        <v>20.9</v>
      </c>
      <c r="M22" s="45">
        <v>20.9</v>
      </c>
      <c r="N22" s="45">
        <v>20.9</v>
      </c>
      <c r="O22" s="45">
        <v>20.9</v>
      </c>
      <c r="P22" s="45">
        <v>20.9</v>
      </c>
      <c r="Q22" s="45">
        <v>20.9</v>
      </c>
      <c r="R22" s="45">
        <v>20.9</v>
      </c>
      <c r="S22" s="45">
        <v>20.9</v>
      </c>
      <c r="T22" s="45" t="s">
        <v>285</v>
      </c>
      <c r="U22" s="45">
        <v>20.9</v>
      </c>
      <c r="V22" s="45">
        <v>20.9</v>
      </c>
      <c r="W22" s="45">
        <v>20.9</v>
      </c>
      <c r="X22" s="45">
        <v>20.9</v>
      </c>
      <c r="Y22" s="45">
        <v>20.9</v>
      </c>
      <c r="Z22" s="45">
        <v>20.9</v>
      </c>
      <c r="AA22" s="45">
        <v>20</v>
      </c>
      <c r="AB22" s="45">
        <v>20</v>
      </c>
      <c r="AC22" s="45">
        <v>20</v>
      </c>
      <c r="AD22" s="45">
        <v>20</v>
      </c>
      <c r="AE22" s="45">
        <v>20</v>
      </c>
      <c r="AF22" s="45">
        <v>20</v>
      </c>
      <c r="AG22" s="49">
        <v>28</v>
      </c>
      <c r="AH22" s="47">
        <f t="shared" si="2"/>
        <v>20.9</v>
      </c>
      <c r="AI22" s="48">
        <f t="shared" si="3"/>
        <v>20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13.5</v>
      </c>
      <c r="M23" s="45">
        <v>13.5</v>
      </c>
      <c r="N23" s="45">
        <v>0</v>
      </c>
      <c r="O23" s="45">
        <v>0</v>
      </c>
      <c r="P23" s="45">
        <v>3</v>
      </c>
      <c r="Q23" s="45">
        <v>3</v>
      </c>
      <c r="R23" s="45">
        <v>0</v>
      </c>
      <c r="S23" s="45">
        <v>0</v>
      </c>
      <c r="T23" s="45"/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21</v>
      </c>
      <c r="AB23" s="45">
        <v>21</v>
      </c>
      <c r="AC23" s="45">
        <v>21</v>
      </c>
      <c r="AD23" s="45">
        <v>21</v>
      </c>
      <c r="AE23" s="45">
        <v>13.5</v>
      </c>
      <c r="AF23" s="45">
        <v>13.5</v>
      </c>
      <c r="AG23" s="51">
        <v>30</v>
      </c>
      <c r="AH23" s="47">
        <f t="shared" si="2"/>
        <v>21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24.3</v>
      </c>
      <c r="C24" s="45">
        <v>24.3</v>
      </c>
      <c r="D24" s="45">
        <v>24.3</v>
      </c>
      <c r="E24" s="45">
        <v>24.3</v>
      </c>
      <c r="F24" s="45">
        <v>23.2</v>
      </c>
      <c r="G24" s="45">
        <v>23.2</v>
      </c>
      <c r="H24" s="45">
        <v>23.2</v>
      </c>
      <c r="I24" s="45">
        <v>23.2</v>
      </c>
      <c r="J24" s="45">
        <v>24.5</v>
      </c>
      <c r="K24" s="45">
        <v>24.5</v>
      </c>
      <c r="L24" s="45">
        <v>24.5</v>
      </c>
      <c r="M24" s="45">
        <v>24.5</v>
      </c>
      <c r="N24" s="45">
        <v>24.5</v>
      </c>
      <c r="O24" s="45">
        <v>24.5</v>
      </c>
      <c r="P24" s="45">
        <v>24.5</v>
      </c>
      <c r="Q24" s="45">
        <v>24.5</v>
      </c>
      <c r="R24" s="45">
        <v>24.5</v>
      </c>
      <c r="S24" s="45">
        <v>24.5</v>
      </c>
      <c r="T24" s="45"/>
      <c r="U24" s="45">
        <v>24.5</v>
      </c>
      <c r="V24" s="45">
        <v>24.5</v>
      </c>
      <c r="W24" s="45">
        <v>24.5</v>
      </c>
      <c r="X24" s="45">
        <v>24.5</v>
      </c>
      <c r="Y24" s="45">
        <v>24.5</v>
      </c>
      <c r="Z24" s="45">
        <v>24.5</v>
      </c>
      <c r="AA24" s="45">
        <v>25</v>
      </c>
      <c r="AB24" s="45">
        <v>25</v>
      </c>
      <c r="AC24" s="45">
        <v>25</v>
      </c>
      <c r="AD24" s="45">
        <v>25</v>
      </c>
      <c r="AE24" s="45">
        <v>25</v>
      </c>
      <c r="AF24" s="45">
        <v>25</v>
      </c>
      <c r="AG24" s="49">
        <v>25</v>
      </c>
      <c r="AH24" s="47">
        <f t="shared" si="2"/>
        <v>25</v>
      </c>
      <c r="AI24" s="48">
        <f t="shared" si="3"/>
        <v>23.2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/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20</v>
      </c>
      <c r="E26" s="45">
        <v>20</v>
      </c>
      <c r="F26" s="45">
        <v>20</v>
      </c>
      <c r="G26" s="45">
        <v>20</v>
      </c>
      <c r="H26" s="45">
        <v>20</v>
      </c>
      <c r="I26" s="45">
        <v>20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/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12.5</v>
      </c>
      <c r="M27" s="45">
        <v>12.5</v>
      </c>
      <c r="N27" s="45">
        <v>0</v>
      </c>
      <c r="O27" s="45">
        <v>0</v>
      </c>
      <c r="P27" s="45">
        <v>3</v>
      </c>
      <c r="Q27" s="45">
        <v>3</v>
      </c>
      <c r="R27" s="45">
        <v>0</v>
      </c>
      <c r="S27" s="45">
        <v>0</v>
      </c>
      <c r="T27" s="45"/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18</v>
      </c>
      <c r="AB27" s="45">
        <v>18</v>
      </c>
      <c r="AC27" s="45">
        <v>18</v>
      </c>
      <c r="AD27" s="45">
        <v>18</v>
      </c>
      <c r="AE27" s="45">
        <v>12.5</v>
      </c>
      <c r="AF27" s="45">
        <v>12.5</v>
      </c>
      <c r="AG27" s="49">
        <v>25</v>
      </c>
      <c r="AH27" s="47">
        <f t="shared" si="2"/>
        <v>18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24.9</v>
      </c>
      <c r="C28" s="45">
        <v>24.9</v>
      </c>
      <c r="D28" s="45">
        <v>24.9</v>
      </c>
      <c r="E28" s="45">
        <v>24.9</v>
      </c>
      <c r="F28" s="45">
        <v>24.9</v>
      </c>
      <c r="G28" s="45">
        <v>24.9</v>
      </c>
      <c r="H28" s="45">
        <v>24.9</v>
      </c>
      <c r="I28" s="45">
        <v>24.9</v>
      </c>
      <c r="J28" s="45">
        <v>24.9</v>
      </c>
      <c r="K28" s="45">
        <v>24.9</v>
      </c>
      <c r="L28" s="45">
        <v>24.9</v>
      </c>
      <c r="M28" s="45">
        <v>24.9</v>
      </c>
      <c r="N28" s="45">
        <v>24.9</v>
      </c>
      <c r="O28" s="45">
        <v>24.9</v>
      </c>
      <c r="P28" s="45">
        <v>24.9</v>
      </c>
      <c r="Q28" s="45">
        <v>24.9</v>
      </c>
      <c r="R28" s="45">
        <v>24.9</v>
      </c>
      <c r="S28" s="45">
        <v>24.9</v>
      </c>
      <c r="T28" s="45"/>
      <c r="U28" s="45">
        <v>24.9</v>
      </c>
      <c r="V28" s="45">
        <v>24.9</v>
      </c>
      <c r="W28" s="45">
        <v>24.9</v>
      </c>
      <c r="X28" s="45">
        <v>24.9</v>
      </c>
      <c r="Y28" s="45">
        <v>24.9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24.9</v>
      </c>
      <c r="AF28" s="45">
        <v>24.9</v>
      </c>
      <c r="AG28" s="49">
        <v>23.5</v>
      </c>
      <c r="AH28" s="47">
        <f t="shared" si="2"/>
        <v>24.9</v>
      </c>
      <c r="AI28" s="48">
        <f t="shared" si="3"/>
        <v>24.9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/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/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/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/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/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10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49">
        <v>20</v>
      </c>
      <c r="AH33" s="47">
        <f t="shared" si="2"/>
        <v>10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4</v>
      </c>
      <c r="M34" s="45">
        <v>4</v>
      </c>
      <c r="N34" s="45">
        <v>4</v>
      </c>
      <c r="O34" s="45">
        <v>0</v>
      </c>
      <c r="P34" s="45">
        <v>4</v>
      </c>
      <c r="Q34" s="45">
        <v>4</v>
      </c>
      <c r="R34" s="45">
        <v>4</v>
      </c>
      <c r="S34" s="45">
        <v>4</v>
      </c>
      <c r="T34" s="45"/>
      <c r="U34" s="45">
        <v>4</v>
      </c>
      <c r="V34" s="45">
        <v>4</v>
      </c>
      <c r="W34" s="45">
        <v>4</v>
      </c>
      <c r="X34" s="45">
        <v>4</v>
      </c>
      <c r="Y34" s="45">
        <v>4</v>
      </c>
      <c r="Z34" s="45">
        <v>10</v>
      </c>
      <c r="AA34" s="45">
        <v>5</v>
      </c>
      <c r="AB34" s="45">
        <v>5</v>
      </c>
      <c r="AC34" s="45">
        <v>5</v>
      </c>
      <c r="AD34" s="45">
        <v>5</v>
      </c>
      <c r="AE34" s="45">
        <v>0</v>
      </c>
      <c r="AF34" s="45">
        <v>0</v>
      </c>
      <c r="AG34" s="49">
        <v>18</v>
      </c>
      <c r="AH34" s="47">
        <f t="shared" si="2"/>
        <v>10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/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/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/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/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6</v>
      </c>
      <c r="M39" s="45">
        <v>6</v>
      </c>
      <c r="N39" s="45">
        <v>0</v>
      </c>
      <c r="O39" s="45">
        <v>0</v>
      </c>
      <c r="P39" s="45">
        <v>2</v>
      </c>
      <c r="Q39" s="45">
        <v>2</v>
      </c>
      <c r="R39" s="45">
        <v>0</v>
      </c>
      <c r="S39" s="45">
        <v>0</v>
      </c>
      <c r="T39" s="45"/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6</v>
      </c>
      <c r="AG39" s="49">
        <v>12</v>
      </c>
      <c r="AH39" s="47">
        <f t="shared" si="2"/>
        <v>6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8</v>
      </c>
      <c r="C40" s="45">
        <v>8</v>
      </c>
      <c r="D40" s="45">
        <v>8</v>
      </c>
      <c r="E40" s="45">
        <v>8</v>
      </c>
      <c r="F40" s="45">
        <v>8</v>
      </c>
      <c r="G40" s="45">
        <v>8</v>
      </c>
      <c r="H40" s="45">
        <v>8</v>
      </c>
      <c r="I40" s="45">
        <v>8</v>
      </c>
      <c r="J40" s="45">
        <v>8</v>
      </c>
      <c r="K40" s="45">
        <v>8</v>
      </c>
      <c r="L40" s="45">
        <v>8</v>
      </c>
      <c r="M40" s="45">
        <v>8</v>
      </c>
      <c r="N40" s="45">
        <v>8</v>
      </c>
      <c r="O40" s="45">
        <v>8</v>
      </c>
      <c r="P40" s="45">
        <v>8</v>
      </c>
      <c r="Q40" s="45">
        <v>8</v>
      </c>
      <c r="R40" s="45">
        <v>0</v>
      </c>
      <c r="S40" s="45">
        <v>0</v>
      </c>
      <c r="T40" s="45"/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8</v>
      </c>
      <c r="AB40" s="45">
        <v>8</v>
      </c>
      <c r="AC40" s="45">
        <v>8</v>
      </c>
      <c r="AD40" s="45">
        <v>8</v>
      </c>
      <c r="AE40" s="45">
        <v>8</v>
      </c>
      <c r="AF40" s="45">
        <v>8</v>
      </c>
      <c r="AG40" s="49">
        <v>12</v>
      </c>
      <c r="AH40" s="47">
        <f t="shared" si="2"/>
        <v>8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6</v>
      </c>
      <c r="M41" s="45">
        <v>6</v>
      </c>
      <c r="N41" s="45">
        <v>6</v>
      </c>
      <c r="O41" s="45">
        <v>6</v>
      </c>
      <c r="P41" s="45">
        <v>6</v>
      </c>
      <c r="Q41" s="45">
        <v>6</v>
      </c>
      <c r="R41" s="45">
        <v>6</v>
      </c>
      <c r="S41" s="45">
        <v>6</v>
      </c>
      <c r="T41" s="45"/>
      <c r="U41" s="45">
        <v>6</v>
      </c>
      <c r="V41" s="45">
        <v>6</v>
      </c>
      <c r="W41" s="45">
        <v>6</v>
      </c>
      <c r="X41" s="45">
        <v>6</v>
      </c>
      <c r="Y41" s="45">
        <v>6</v>
      </c>
      <c r="Z41" s="45">
        <v>6</v>
      </c>
      <c r="AA41" s="45">
        <v>3</v>
      </c>
      <c r="AB41" s="45">
        <v>3</v>
      </c>
      <c r="AC41" s="45">
        <v>3</v>
      </c>
      <c r="AD41" s="45">
        <v>3</v>
      </c>
      <c r="AE41" s="45">
        <v>3</v>
      </c>
      <c r="AF41" s="45">
        <v>3</v>
      </c>
      <c r="AG41" s="49">
        <v>12</v>
      </c>
      <c r="AH41" s="47">
        <f t="shared" si="2"/>
        <v>6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0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/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52">
        <v>22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6</v>
      </c>
      <c r="C43" s="45">
        <v>6</v>
      </c>
      <c r="D43" s="45">
        <v>6</v>
      </c>
      <c r="E43" s="45">
        <v>6</v>
      </c>
      <c r="F43" s="45">
        <v>6</v>
      </c>
      <c r="G43" s="45">
        <v>6</v>
      </c>
      <c r="H43" s="45">
        <v>6</v>
      </c>
      <c r="I43" s="45">
        <v>6</v>
      </c>
      <c r="J43" s="45">
        <v>6</v>
      </c>
      <c r="K43" s="45">
        <v>6</v>
      </c>
      <c r="L43" s="45">
        <v>6</v>
      </c>
      <c r="M43" s="45">
        <v>6</v>
      </c>
      <c r="N43" s="45">
        <v>6</v>
      </c>
      <c r="O43" s="45">
        <v>6</v>
      </c>
      <c r="P43" s="45">
        <v>6</v>
      </c>
      <c r="Q43" s="45">
        <v>6</v>
      </c>
      <c r="R43" s="45">
        <v>6</v>
      </c>
      <c r="S43" s="45">
        <v>6</v>
      </c>
      <c r="T43" s="45"/>
      <c r="U43" s="45">
        <v>6</v>
      </c>
      <c r="V43" s="45">
        <v>6</v>
      </c>
      <c r="W43" s="45">
        <v>6</v>
      </c>
      <c r="X43" s="45">
        <v>6</v>
      </c>
      <c r="Y43" s="45">
        <v>6</v>
      </c>
      <c r="Z43" s="45">
        <v>6</v>
      </c>
      <c r="AA43" s="45">
        <v>6</v>
      </c>
      <c r="AB43" s="45">
        <v>6</v>
      </c>
      <c r="AC43" s="45">
        <v>6</v>
      </c>
      <c r="AD43" s="45">
        <v>6</v>
      </c>
      <c r="AE43" s="45">
        <v>6</v>
      </c>
      <c r="AF43" s="45">
        <v>6</v>
      </c>
      <c r="AG43" s="51">
        <v>11.88</v>
      </c>
      <c r="AH43" s="47">
        <f t="shared" si="2"/>
        <v>6</v>
      </c>
      <c r="AI43" s="48">
        <f t="shared" si="3"/>
        <v>6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/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/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8.5</v>
      </c>
      <c r="C46" s="45">
        <v>8.5</v>
      </c>
      <c r="D46" s="45">
        <v>8.5</v>
      </c>
      <c r="E46" s="45">
        <v>8.5</v>
      </c>
      <c r="F46" s="45">
        <v>8.5</v>
      </c>
      <c r="G46" s="45">
        <v>8.5</v>
      </c>
      <c r="H46" s="45">
        <v>8.5</v>
      </c>
      <c r="I46" s="45">
        <v>8.5</v>
      </c>
      <c r="J46" s="45">
        <v>8.5</v>
      </c>
      <c r="K46" s="45">
        <v>8.5</v>
      </c>
      <c r="L46" s="45">
        <v>8.5</v>
      </c>
      <c r="M46" s="45">
        <v>8.5</v>
      </c>
      <c r="N46" s="45">
        <v>8.5</v>
      </c>
      <c r="O46" s="45">
        <v>8.5</v>
      </c>
      <c r="P46" s="45">
        <v>8.5</v>
      </c>
      <c r="Q46" s="45">
        <v>8.5</v>
      </c>
      <c r="R46" s="45">
        <v>8.5</v>
      </c>
      <c r="S46" s="45">
        <v>8.5</v>
      </c>
      <c r="T46" s="45"/>
      <c r="U46" s="45">
        <v>8.5</v>
      </c>
      <c r="V46" s="45">
        <v>8.5</v>
      </c>
      <c r="W46" s="45">
        <v>8.5</v>
      </c>
      <c r="X46" s="45">
        <v>8.5</v>
      </c>
      <c r="Y46" s="45">
        <v>8.5</v>
      </c>
      <c r="Z46" s="45">
        <v>8.5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8.5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/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358</v>
      </c>
      <c r="C48" s="56">
        <v>358</v>
      </c>
      <c r="D48" s="56">
        <v>358</v>
      </c>
      <c r="E48" s="56">
        <v>358</v>
      </c>
      <c r="F48" s="56">
        <v>358</v>
      </c>
      <c r="G48" s="56">
        <v>358</v>
      </c>
      <c r="H48" s="56">
        <v>358</v>
      </c>
      <c r="I48" s="56">
        <v>358</v>
      </c>
      <c r="J48" s="56">
        <v>358</v>
      </c>
      <c r="K48" s="56">
        <v>358</v>
      </c>
      <c r="L48" s="56">
        <v>358</v>
      </c>
      <c r="M48" s="56">
        <v>358</v>
      </c>
      <c r="N48" s="56">
        <v>358</v>
      </c>
      <c r="O48" s="56">
        <v>358</v>
      </c>
      <c r="P48" s="56">
        <v>358</v>
      </c>
      <c r="Q48" s="56">
        <v>358</v>
      </c>
      <c r="R48" s="56">
        <v>358</v>
      </c>
      <c r="S48" s="56">
        <v>358</v>
      </c>
      <c r="T48" s="56"/>
      <c r="U48" s="56">
        <v>358</v>
      </c>
      <c r="V48" s="56">
        <v>358</v>
      </c>
      <c r="W48" s="56">
        <v>358</v>
      </c>
      <c r="X48" s="56">
        <v>358</v>
      </c>
      <c r="Y48" s="56">
        <v>358</v>
      </c>
      <c r="Z48" s="56">
        <v>358</v>
      </c>
      <c r="AA48" s="56">
        <v>358</v>
      </c>
      <c r="AB48" s="56">
        <v>358</v>
      </c>
      <c r="AC48" s="56">
        <v>358</v>
      </c>
      <c r="AD48" s="56">
        <v>358</v>
      </c>
      <c r="AE48" s="56">
        <v>358</v>
      </c>
      <c r="AF48" s="56">
        <v>358</v>
      </c>
      <c r="AG48" s="54">
        <v>85</v>
      </c>
      <c r="AH48" s="47">
        <f t="shared" si="2"/>
        <v>358</v>
      </c>
      <c r="AI48" s="48">
        <f t="shared" si="3"/>
        <v>358</v>
      </c>
      <c r="AK48" s="50"/>
    </row>
    <row r="49" spans="1:41" ht="15.75" thickBot="1" x14ac:dyDescent="0.3">
      <c r="A49" s="57" t="s">
        <v>57</v>
      </c>
      <c r="B49" s="56">
        <v>108</v>
      </c>
      <c r="C49" s="56">
        <v>110</v>
      </c>
      <c r="D49" s="56">
        <v>110</v>
      </c>
      <c r="E49" s="56">
        <v>110</v>
      </c>
      <c r="F49" s="56">
        <v>110</v>
      </c>
      <c r="G49" s="56">
        <v>110</v>
      </c>
      <c r="H49" s="56">
        <f t="shared" ref="H49:N49" si="4">27.5+82.5</f>
        <v>110</v>
      </c>
      <c r="I49" s="56">
        <f t="shared" si="4"/>
        <v>110</v>
      </c>
      <c r="J49" s="56">
        <f t="shared" si="4"/>
        <v>110</v>
      </c>
      <c r="K49" s="56">
        <f t="shared" si="4"/>
        <v>110</v>
      </c>
      <c r="L49" s="56">
        <f t="shared" si="4"/>
        <v>110</v>
      </c>
      <c r="M49" s="56">
        <f t="shared" si="4"/>
        <v>110</v>
      </c>
      <c r="N49" s="56">
        <f t="shared" si="4"/>
        <v>110</v>
      </c>
      <c r="O49" s="56">
        <f t="shared" ref="O49:Z49" si="5">27.5+82.5</f>
        <v>110</v>
      </c>
      <c r="P49" s="56">
        <f t="shared" si="5"/>
        <v>110</v>
      </c>
      <c r="Q49" s="56">
        <f t="shared" si="5"/>
        <v>110</v>
      </c>
      <c r="R49" s="56">
        <f t="shared" si="5"/>
        <v>110</v>
      </c>
      <c r="S49" s="56">
        <f t="shared" si="5"/>
        <v>110</v>
      </c>
      <c r="T49" s="56"/>
      <c r="U49" s="56">
        <f t="shared" si="5"/>
        <v>110</v>
      </c>
      <c r="V49" s="56">
        <f t="shared" si="5"/>
        <v>110</v>
      </c>
      <c r="W49" s="56">
        <f t="shared" si="5"/>
        <v>110</v>
      </c>
      <c r="X49" s="56">
        <f t="shared" si="5"/>
        <v>110</v>
      </c>
      <c r="Y49" s="56">
        <f t="shared" si="5"/>
        <v>110</v>
      </c>
      <c r="Z49" s="56">
        <f t="shared" si="5"/>
        <v>110</v>
      </c>
      <c r="AA49" s="56">
        <v>103</v>
      </c>
      <c r="AB49" s="56">
        <v>107</v>
      </c>
      <c r="AC49" s="56">
        <v>107</v>
      </c>
      <c r="AD49" s="56">
        <v>107</v>
      </c>
      <c r="AE49" s="56">
        <v>107</v>
      </c>
      <c r="AF49" s="56">
        <v>107</v>
      </c>
      <c r="AG49" s="54">
        <v>240</v>
      </c>
      <c r="AH49" s="47">
        <f t="shared" si="2"/>
        <v>110</v>
      </c>
      <c r="AI49" s="48">
        <f t="shared" si="3"/>
        <v>103</v>
      </c>
      <c r="AK49" s="50"/>
    </row>
    <row r="50" spans="1:41" ht="15.75" thickBot="1" x14ac:dyDescent="0.3">
      <c r="A50" s="59" t="s">
        <v>58</v>
      </c>
      <c r="B50" s="60">
        <f t="shared" ref="B50:AC50" si="6">SUM(B11:B48)</f>
        <v>1002.4000000000001</v>
      </c>
      <c r="C50" s="60">
        <f t="shared" si="6"/>
        <v>1002.4000000000001</v>
      </c>
      <c r="D50" s="60">
        <f t="shared" si="6"/>
        <v>993.40000000000009</v>
      </c>
      <c r="E50" s="60">
        <f t="shared" si="6"/>
        <v>993.40000000000009</v>
      </c>
      <c r="F50" s="60">
        <f t="shared" si="6"/>
        <v>983.3</v>
      </c>
      <c r="G50" s="60">
        <f t="shared" si="6"/>
        <v>983.3</v>
      </c>
      <c r="H50" s="60">
        <f t="shared" si="6"/>
        <v>983.3</v>
      </c>
      <c r="I50" s="60">
        <f t="shared" si="6"/>
        <v>983.3</v>
      </c>
      <c r="J50" s="60">
        <f t="shared" si="6"/>
        <v>998.6</v>
      </c>
      <c r="K50" s="60">
        <f t="shared" si="6"/>
        <v>1007.5</v>
      </c>
      <c r="L50" s="60">
        <f t="shared" si="6"/>
        <v>1091.5</v>
      </c>
      <c r="M50" s="60">
        <f t="shared" si="6"/>
        <v>1070.8000000000002</v>
      </c>
      <c r="N50" s="60">
        <f t="shared" si="6"/>
        <v>1018.1</v>
      </c>
      <c r="O50" s="60">
        <f t="shared" ref="O50:P50" si="7">SUM(O11:O48)</f>
        <v>1014.1</v>
      </c>
      <c r="P50" s="60">
        <f t="shared" si="7"/>
        <v>1039.0999999999999</v>
      </c>
      <c r="Q50" s="60">
        <f t="shared" ref="Q50" si="8">SUM(Q11:Q48)</f>
        <v>1039.0999999999999</v>
      </c>
      <c r="R50" s="60">
        <f t="shared" si="6"/>
        <v>1015.1</v>
      </c>
      <c r="S50" s="60">
        <f t="shared" si="6"/>
        <v>1006</v>
      </c>
      <c r="T50" s="60"/>
      <c r="U50" s="60">
        <f t="shared" ref="U50" si="9">SUM(U11:U48)</f>
        <v>934.3</v>
      </c>
      <c r="V50" s="60">
        <f t="shared" si="6"/>
        <v>934.3</v>
      </c>
      <c r="W50" s="60">
        <f t="shared" si="6"/>
        <v>934.3</v>
      </c>
      <c r="X50" s="60">
        <f t="shared" si="6"/>
        <v>964.3</v>
      </c>
      <c r="Y50" s="60">
        <f t="shared" si="6"/>
        <v>974.3</v>
      </c>
      <c r="Z50" s="60">
        <f t="shared" si="6"/>
        <v>1040.3</v>
      </c>
      <c r="AA50" s="60">
        <v>1104.1999999999998</v>
      </c>
      <c r="AB50" s="60">
        <f t="shared" si="6"/>
        <v>1078.1999999999998</v>
      </c>
      <c r="AC50" s="60">
        <f t="shared" si="6"/>
        <v>1078.1999999999998</v>
      </c>
      <c r="AD50" s="60">
        <f t="shared" ref="AD50:AE50" si="10">SUM(AD11:AD48)</f>
        <v>1078.1999999999998</v>
      </c>
      <c r="AE50" s="60">
        <f t="shared" si="10"/>
        <v>1026</v>
      </c>
      <c r="AF50" s="60">
        <f t="shared" ref="AF50" si="11">SUM(AF11:AF48)</f>
        <v>1026</v>
      </c>
      <c r="AG50" s="61">
        <f>SUM(AG13:AG48)</f>
        <v>922.14</v>
      </c>
      <c r="AH50" s="47">
        <f t="shared" si="2"/>
        <v>1104.1999999999998</v>
      </c>
      <c r="AI50" s="48">
        <f t="shared" si="3"/>
        <v>934.3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175">
        <v>456</v>
      </c>
      <c r="O51" s="175">
        <v>456</v>
      </c>
      <c r="P51" s="175">
        <v>456</v>
      </c>
      <c r="Q51" s="175">
        <v>456</v>
      </c>
      <c r="R51" s="175">
        <v>456</v>
      </c>
      <c r="S51" s="175">
        <v>456</v>
      </c>
      <c r="T51" s="175"/>
      <c r="U51" s="175">
        <v>456</v>
      </c>
      <c r="V51" s="175">
        <v>456</v>
      </c>
      <c r="W51" s="175">
        <v>456</v>
      </c>
      <c r="X51" s="175">
        <v>456</v>
      </c>
      <c r="Y51" s="175">
        <v>456</v>
      </c>
      <c r="Z51" s="17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/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</v>
      </c>
      <c r="C53" s="66">
        <v>22</v>
      </c>
      <c r="D53" s="66">
        <v>22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22.4</v>
      </c>
      <c r="N53" s="66">
        <v>22</v>
      </c>
      <c r="O53" s="66">
        <v>22</v>
      </c>
      <c r="P53" s="66">
        <v>22</v>
      </c>
      <c r="Q53" s="66">
        <v>22</v>
      </c>
      <c r="R53" s="66">
        <v>22</v>
      </c>
      <c r="S53" s="66">
        <v>22</v>
      </c>
      <c r="T53" s="66"/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66">
        <v>22</v>
      </c>
      <c r="AB53" s="66">
        <v>22</v>
      </c>
      <c r="AC53" s="66">
        <v>22</v>
      </c>
      <c r="AD53" s="66">
        <v>22</v>
      </c>
      <c r="AE53" s="66">
        <v>22</v>
      </c>
      <c r="AF53" s="66">
        <v>22</v>
      </c>
      <c r="AG53" s="67">
        <v>22.1</v>
      </c>
      <c r="AH53" s="47">
        <f t="shared" si="2"/>
        <v>22.4</v>
      </c>
      <c r="AI53" s="48">
        <f t="shared" si="3"/>
        <v>22</v>
      </c>
      <c r="AK53" s="50"/>
    </row>
    <row r="54" spans="1:41" ht="15.75" thickBot="1" x14ac:dyDescent="0.3">
      <c r="A54" s="68" t="s">
        <v>62</v>
      </c>
      <c r="B54" s="60">
        <f t="shared" ref="B54:AG54" si="12">SUM(B51:B53)</f>
        <v>533</v>
      </c>
      <c r="C54" s="60">
        <f t="shared" si="12"/>
        <v>533</v>
      </c>
      <c r="D54" s="60">
        <f t="shared" si="12"/>
        <v>533</v>
      </c>
      <c r="E54" s="60">
        <f t="shared" si="12"/>
        <v>533.4</v>
      </c>
      <c r="F54" s="60">
        <f t="shared" si="12"/>
        <v>533.4</v>
      </c>
      <c r="G54" s="60">
        <f t="shared" si="12"/>
        <v>533.4</v>
      </c>
      <c r="H54" s="60">
        <f t="shared" si="12"/>
        <v>533.4</v>
      </c>
      <c r="I54" s="60">
        <f t="shared" si="12"/>
        <v>533.4</v>
      </c>
      <c r="J54" s="60">
        <f t="shared" si="12"/>
        <v>533.4</v>
      </c>
      <c r="K54" s="60">
        <f t="shared" si="12"/>
        <v>533.4</v>
      </c>
      <c r="L54" s="60">
        <f t="shared" si="12"/>
        <v>533.4</v>
      </c>
      <c r="M54" s="60">
        <f t="shared" si="12"/>
        <v>533.4</v>
      </c>
      <c r="N54" s="60">
        <f t="shared" si="12"/>
        <v>533</v>
      </c>
      <c r="O54" s="60">
        <f t="shared" ref="O54:P54" si="13">SUM(O51:O53)</f>
        <v>533</v>
      </c>
      <c r="P54" s="60">
        <f t="shared" si="13"/>
        <v>533</v>
      </c>
      <c r="Q54" s="60">
        <f t="shared" ref="Q54" si="14">SUM(Q51:Q53)</f>
        <v>533</v>
      </c>
      <c r="R54" s="60">
        <f t="shared" si="12"/>
        <v>533</v>
      </c>
      <c r="S54" s="60">
        <f t="shared" si="12"/>
        <v>533</v>
      </c>
      <c r="T54" s="60"/>
      <c r="U54" s="60">
        <f t="shared" ref="U54" si="15">SUM(U51:U53)</f>
        <v>533</v>
      </c>
      <c r="V54" s="60">
        <f t="shared" si="12"/>
        <v>533</v>
      </c>
      <c r="W54" s="60">
        <f t="shared" si="12"/>
        <v>533</v>
      </c>
      <c r="X54" s="60">
        <f t="shared" si="12"/>
        <v>533</v>
      </c>
      <c r="Y54" s="60">
        <f t="shared" si="12"/>
        <v>533</v>
      </c>
      <c r="Z54" s="60">
        <f t="shared" si="12"/>
        <v>533</v>
      </c>
      <c r="AA54" s="60">
        <v>533</v>
      </c>
      <c r="AB54" s="60">
        <f t="shared" si="12"/>
        <v>533</v>
      </c>
      <c r="AC54" s="60">
        <f t="shared" si="12"/>
        <v>533</v>
      </c>
      <c r="AD54" s="60">
        <f t="shared" ref="AD54:AE54" si="16">SUM(AD51:AD53)</f>
        <v>533</v>
      </c>
      <c r="AE54" s="60">
        <f t="shared" si="16"/>
        <v>533</v>
      </c>
      <c r="AF54" s="60">
        <f t="shared" ref="AF54" si="17">SUM(AF51:AF53)</f>
        <v>533</v>
      </c>
      <c r="AG54" s="61">
        <f t="shared" si="12"/>
        <v>538.1</v>
      </c>
      <c r="AH54" s="47">
        <f t="shared" si="2"/>
        <v>533.4</v>
      </c>
      <c r="AI54" s="48">
        <f t="shared" si="3"/>
        <v>533</v>
      </c>
      <c r="AK54" s="50"/>
    </row>
    <row r="55" spans="1:41" x14ac:dyDescent="0.25">
      <c r="A55" s="44" t="s">
        <v>63</v>
      </c>
      <c r="B55" s="45">
        <v>110</v>
      </c>
      <c r="C55" s="45">
        <v>101.2</v>
      </c>
      <c r="D55" s="45">
        <v>101.2</v>
      </c>
      <c r="E55" s="45">
        <v>110</v>
      </c>
      <c r="F55" s="45">
        <v>113.6</v>
      </c>
      <c r="G55" s="45">
        <v>113.5</v>
      </c>
      <c r="H55" s="45">
        <v>124.2</v>
      </c>
      <c r="I55" s="45">
        <v>124.5</v>
      </c>
      <c r="J55" s="45">
        <v>131.5</v>
      </c>
      <c r="K55" s="45">
        <v>131.9</v>
      </c>
      <c r="L55" s="45">
        <v>132</v>
      </c>
      <c r="M55" s="45">
        <v>132</v>
      </c>
      <c r="N55" s="45">
        <v>121.5</v>
      </c>
      <c r="O55" s="45">
        <v>121.5</v>
      </c>
      <c r="P55" s="45">
        <v>132</v>
      </c>
      <c r="Q55" s="45">
        <v>133.1</v>
      </c>
      <c r="R55" s="45">
        <v>133.1</v>
      </c>
      <c r="S55" s="45">
        <v>132.69999999999999</v>
      </c>
      <c r="T55" s="45"/>
      <c r="U55" s="45">
        <v>18.2</v>
      </c>
      <c r="V55" s="45">
        <v>65</v>
      </c>
      <c r="W55" s="45">
        <v>65.099999999999994</v>
      </c>
      <c r="X55" s="45">
        <v>90</v>
      </c>
      <c r="Y55" s="45">
        <v>130</v>
      </c>
      <c r="Z55" s="45">
        <v>133.4</v>
      </c>
      <c r="AA55" s="45">
        <v>132.4</v>
      </c>
      <c r="AB55" s="45">
        <v>132.4</v>
      </c>
      <c r="AC55" s="45">
        <v>132.4</v>
      </c>
      <c r="AD55" s="45">
        <v>132.4</v>
      </c>
      <c r="AE55" s="45">
        <v>133.80000000000001</v>
      </c>
      <c r="AF55" s="45">
        <v>133.80000000000001</v>
      </c>
      <c r="AG55" s="51">
        <v>144</v>
      </c>
      <c r="AH55" s="47">
        <f t="shared" si="2"/>
        <v>133.80000000000001</v>
      </c>
      <c r="AI55" s="48">
        <f t="shared" si="3"/>
        <v>18.2</v>
      </c>
      <c r="AK55" s="50"/>
    </row>
    <row r="56" spans="1:41" x14ac:dyDescent="0.25">
      <c r="A56" s="53" t="s">
        <v>64</v>
      </c>
      <c r="B56" s="64">
        <v>56</v>
      </c>
      <c r="C56" s="64">
        <v>56</v>
      </c>
      <c r="D56" s="64">
        <v>56</v>
      </c>
      <c r="E56" s="64">
        <v>50</v>
      </c>
      <c r="F56" s="64">
        <v>54.9</v>
      </c>
      <c r="G56" s="64">
        <v>55.6</v>
      </c>
      <c r="H56" s="64">
        <v>56.1</v>
      </c>
      <c r="I56" s="64">
        <v>55.5</v>
      </c>
      <c r="J56" s="64">
        <v>70.2</v>
      </c>
      <c r="K56" s="64">
        <v>71.7</v>
      </c>
      <c r="L56" s="64">
        <v>70.8</v>
      </c>
      <c r="M56" s="64">
        <v>70.8</v>
      </c>
      <c r="N56" s="64">
        <v>55</v>
      </c>
      <c r="O56" s="64">
        <v>55</v>
      </c>
      <c r="P56" s="64">
        <v>70.099999999999994</v>
      </c>
      <c r="Q56" s="64">
        <v>64.599999999999994</v>
      </c>
      <c r="R56" s="64">
        <v>64.599999999999994</v>
      </c>
      <c r="S56" s="45">
        <v>64</v>
      </c>
      <c r="T56" s="45"/>
      <c r="U56" s="45">
        <v>52.6</v>
      </c>
      <c r="V56" s="45">
        <v>52.6</v>
      </c>
      <c r="W56" s="45">
        <v>52.6</v>
      </c>
      <c r="X56" s="45">
        <v>70.8</v>
      </c>
      <c r="Y56" s="45">
        <v>70.8</v>
      </c>
      <c r="Z56" s="45">
        <v>71.900000000000006</v>
      </c>
      <c r="AA56" s="45">
        <v>72</v>
      </c>
      <c r="AB56" s="45">
        <v>72</v>
      </c>
      <c r="AC56" s="45">
        <v>72</v>
      </c>
      <c r="AD56" s="45">
        <v>72</v>
      </c>
      <c r="AE56" s="45">
        <v>70.2</v>
      </c>
      <c r="AF56" s="45">
        <v>70.2</v>
      </c>
      <c r="AG56" s="54">
        <v>70</v>
      </c>
      <c r="AH56" s="47">
        <f t="shared" si="2"/>
        <v>72</v>
      </c>
      <c r="AI56" s="48">
        <f t="shared" si="3"/>
        <v>50</v>
      </c>
      <c r="AK56" s="50"/>
    </row>
    <row r="57" spans="1:41" x14ac:dyDescent="0.25">
      <c r="A57" s="53" t="s">
        <v>65</v>
      </c>
      <c r="B57" s="64">
        <v>49</v>
      </c>
      <c r="C57" s="64">
        <v>49</v>
      </c>
      <c r="D57" s="64">
        <v>49</v>
      </c>
      <c r="E57" s="64">
        <v>48.7</v>
      </c>
      <c r="F57" s="64">
        <v>54.8</v>
      </c>
      <c r="G57" s="64">
        <v>53.2</v>
      </c>
      <c r="H57" s="64">
        <v>54.2</v>
      </c>
      <c r="I57" s="64">
        <v>53.8</v>
      </c>
      <c r="J57" s="64">
        <v>64</v>
      </c>
      <c r="K57" s="64">
        <v>64.2</v>
      </c>
      <c r="L57" s="64">
        <v>63.8</v>
      </c>
      <c r="M57" s="64">
        <v>63.8</v>
      </c>
      <c r="N57" s="64">
        <v>60</v>
      </c>
      <c r="O57" s="64">
        <v>60</v>
      </c>
      <c r="P57" s="64">
        <v>55.7</v>
      </c>
      <c r="Q57" s="64">
        <v>50.4</v>
      </c>
      <c r="R57" s="64">
        <v>55</v>
      </c>
      <c r="S57" s="45">
        <v>65</v>
      </c>
      <c r="T57" s="45"/>
      <c r="U57" s="45">
        <v>52</v>
      </c>
      <c r="V57" s="45">
        <v>52</v>
      </c>
      <c r="W57" s="45">
        <v>52</v>
      </c>
      <c r="X57" s="45">
        <v>64.3</v>
      </c>
      <c r="Y57" s="45">
        <v>64.3</v>
      </c>
      <c r="Z57" s="45">
        <v>65.5</v>
      </c>
      <c r="AA57" s="45">
        <v>64</v>
      </c>
      <c r="AB57" s="45">
        <v>64</v>
      </c>
      <c r="AC57" s="45">
        <v>64</v>
      </c>
      <c r="AD57" s="45">
        <v>64</v>
      </c>
      <c r="AE57" s="45">
        <v>65.099999999999994</v>
      </c>
      <c r="AF57" s="45">
        <v>65.099999999999994</v>
      </c>
      <c r="AG57" s="54">
        <v>69</v>
      </c>
      <c r="AH57" s="47">
        <f t="shared" si="2"/>
        <v>65.5</v>
      </c>
      <c r="AI57" s="48">
        <f t="shared" si="3"/>
        <v>48.7</v>
      </c>
      <c r="AK57" s="50"/>
    </row>
    <row r="58" spans="1:41" x14ac:dyDescent="0.25">
      <c r="A58" s="53" t="s">
        <v>66</v>
      </c>
      <c r="B58" s="64">
        <v>52</v>
      </c>
      <c r="C58" s="64">
        <v>52</v>
      </c>
      <c r="D58" s="64">
        <v>52</v>
      </c>
      <c r="E58" s="56">
        <v>52.1</v>
      </c>
      <c r="F58" s="56">
        <v>50.6</v>
      </c>
      <c r="G58" s="56">
        <v>43.6</v>
      </c>
      <c r="H58" s="56">
        <v>43.9</v>
      </c>
      <c r="I58" s="56">
        <v>56.4</v>
      </c>
      <c r="J58" s="56">
        <v>60.9</v>
      </c>
      <c r="K58" s="56">
        <v>60.9</v>
      </c>
      <c r="L58" s="56">
        <v>60.7</v>
      </c>
      <c r="M58" s="56">
        <v>60.7</v>
      </c>
      <c r="N58" s="56">
        <v>50</v>
      </c>
      <c r="O58" s="56">
        <v>50</v>
      </c>
      <c r="P58" s="56">
        <v>51.6</v>
      </c>
      <c r="Q58" s="56">
        <v>51.4</v>
      </c>
      <c r="R58" s="56">
        <v>50.6</v>
      </c>
      <c r="S58" s="45">
        <v>55</v>
      </c>
      <c r="T58" s="45"/>
      <c r="U58" s="45">
        <v>24.7</v>
      </c>
      <c r="V58" s="45">
        <v>24.7</v>
      </c>
      <c r="W58" s="45">
        <v>24.7</v>
      </c>
      <c r="X58" s="45">
        <v>62.3</v>
      </c>
      <c r="Y58" s="45">
        <v>62.3</v>
      </c>
      <c r="Z58" s="45">
        <v>62.5</v>
      </c>
      <c r="AA58" s="45">
        <v>60.9</v>
      </c>
      <c r="AB58" s="45">
        <v>60.9</v>
      </c>
      <c r="AC58" s="45">
        <v>60.9</v>
      </c>
      <c r="AD58" s="45">
        <v>60.9</v>
      </c>
      <c r="AE58" s="45">
        <v>60</v>
      </c>
      <c r="AF58" s="45">
        <v>60</v>
      </c>
      <c r="AG58" s="54">
        <v>60</v>
      </c>
      <c r="AH58" s="47">
        <f t="shared" si="2"/>
        <v>62.5</v>
      </c>
      <c r="AI58" s="48">
        <f t="shared" si="3"/>
        <v>24.7</v>
      </c>
      <c r="AK58" s="50"/>
    </row>
    <row r="59" spans="1:41" x14ac:dyDescent="0.25">
      <c r="A59" s="53" t="s">
        <v>67</v>
      </c>
      <c r="B59" s="64">
        <v>30</v>
      </c>
      <c r="C59" s="64">
        <v>22</v>
      </c>
      <c r="D59" s="64">
        <v>22</v>
      </c>
      <c r="E59" s="56">
        <v>30</v>
      </c>
      <c r="F59" s="56">
        <v>30</v>
      </c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45">
        <v>30</v>
      </c>
      <c r="T59" s="45"/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22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2.4</v>
      </c>
      <c r="M60" s="64">
        <v>2.4</v>
      </c>
      <c r="N60" s="64">
        <v>2.4</v>
      </c>
      <c r="O60" s="64">
        <v>2.4</v>
      </c>
      <c r="P60" s="64">
        <v>17.7</v>
      </c>
      <c r="Q60" s="64">
        <v>18.8</v>
      </c>
      <c r="R60" s="64">
        <v>18.8</v>
      </c>
      <c r="S60" s="45">
        <v>8.5</v>
      </c>
      <c r="T60" s="45"/>
      <c r="U60" s="45">
        <v>3.3</v>
      </c>
      <c r="V60" s="45">
        <v>3.3</v>
      </c>
      <c r="W60" s="45">
        <v>3.3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18.8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16</v>
      </c>
      <c r="C61" s="64">
        <v>16</v>
      </c>
      <c r="D61" s="64">
        <v>16</v>
      </c>
      <c r="E61" s="64">
        <v>16</v>
      </c>
      <c r="F61" s="64">
        <v>16</v>
      </c>
      <c r="G61" s="64">
        <v>16</v>
      </c>
      <c r="H61" s="64">
        <v>16</v>
      </c>
      <c r="I61" s="64">
        <v>16</v>
      </c>
      <c r="J61" s="64">
        <v>16</v>
      </c>
      <c r="K61" s="64">
        <v>16</v>
      </c>
      <c r="L61" s="64">
        <v>16</v>
      </c>
      <c r="M61" s="64">
        <v>16</v>
      </c>
      <c r="N61" s="64">
        <v>16</v>
      </c>
      <c r="O61" s="64">
        <v>16</v>
      </c>
      <c r="P61" s="64">
        <v>16</v>
      </c>
      <c r="Q61" s="64">
        <v>16</v>
      </c>
      <c r="R61" s="64">
        <v>16</v>
      </c>
      <c r="S61" s="64">
        <v>15.5</v>
      </c>
      <c r="T61" s="64"/>
      <c r="U61" s="64">
        <v>15.5</v>
      </c>
      <c r="V61" s="64">
        <v>15.5</v>
      </c>
      <c r="W61" s="64">
        <v>15.5</v>
      </c>
      <c r="X61" s="64">
        <v>15.5</v>
      </c>
      <c r="Y61" s="64">
        <v>15.5</v>
      </c>
      <c r="Z61" s="64">
        <v>15.5</v>
      </c>
      <c r="AA61" s="64">
        <v>16</v>
      </c>
      <c r="AB61" s="64">
        <v>16</v>
      </c>
      <c r="AC61" s="64">
        <v>16</v>
      </c>
      <c r="AD61" s="64">
        <v>16</v>
      </c>
      <c r="AE61" s="64">
        <v>16</v>
      </c>
      <c r="AF61" s="64">
        <v>16</v>
      </c>
      <c r="AG61" s="54">
        <v>24</v>
      </c>
      <c r="AH61" s="47">
        <f t="shared" si="2"/>
        <v>16</v>
      </c>
      <c r="AI61" s="48">
        <f t="shared" si="3"/>
        <v>15.5</v>
      </c>
      <c r="AK61" s="50"/>
    </row>
    <row r="62" spans="1:41" x14ac:dyDescent="0.25">
      <c r="A62" s="53" t="s">
        <v>70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/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54">
        <v>15</v>
      </c>
      <c r="AH62" s="47">
        <f t="shared" si="2"/>
        <v>0</v>
      </c>
      <c r="AI62" s="48">
        <f t="shared" si="3"/>
        <v>0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10</v>
      </c>
      <c r="C63" s="64">
        <v>10</v>
      </c>
      <c r="D63" s="64">
        <v>10</v>
      </c>
      <c r="E63" s="64">
        <v>10</v>
      </c>
      <c r="F63" s="64">
        <v>10</v>
      </c>
      <c r="G63" s="64">
        <v>10</v>
      </c>
      <c r="H63" s="64">
        <v>10</v>
      </c>
      <c r="I63" s="64">
        <v>10</v>
      </c>
      <c r="J63" s="64">
        <v>10</v>
      </c>
      <c r="K63" s="64">
        <v>10</v>
      </c>
      <c r="L63" s="64">
        <v>10</v>
      </c>
      <c r="M63" s="64">
        <v>10</v>
      </c>
      <c r="N63" s="64">
        <v>10</v>
      </c>
      <c r="O63" s="64">
        <v>10</v>
      </c>
      <c r="P63" s="64">
        <v>8.6999999999999993</v>
      </c>
      <c r="Q63" s="64">
        <v>8.6999999999999993</v>
      </c>
      <c r="R63" s="64">
        <v>8.6999999999999993</v>
      </c>
      <c r="S63" s="64">
        <v>8.4</v>
      </c>
      <c r="T63" s="64"/>
      <c r="U63" s="64">
        <v>9</v>
      </c>
      <c r="V63" s="64">
        <v>9</v>
      </c>
      <c r="W63" s="64">
        <v>9</v>
      </c>
      <c r="X63" s="64">
        <v>9</v>
      </c>
      <c r="Y63" s="64">
        <v>9</v>
      </c>
      <c r="Z63" s="64">
        <v>9</v>
      </c>
      <c r="AA63" s="64">
        <v>10</v>
      </c>
      <c r="AB63" s="64">
        <v>10</v>
      </c>
      <c r="AC63" s="64">
        <v>10</v>
      </c>
      <c r="AD63" s="64">
        <v>10</v>
      </c>
      <c r="AE63" s="64">
        <v>10</v>
      </c>
      <c r="AF63" s="64">
        <v>10</v>
      </c>
      <c r="AG63" s="54">
        <v>14.1</v>
      </c>
      <c r="AH63" s="47">
        <f t="shared" si="2"/>
        <v>10</v>
      </c>
      <c r="AI63" s="48">
        <f t="shared" si="3"/>
        <v>8.4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3.9</v>
      </c>
      <c r="C64" s="64">
        <v>5</v>
      </c>
      <c r="D64" s="64">
        <v>5</v>
      </c>
      <c r="E64" s="64">
        <v>5</v>
      </c>
      <c r="F64" s="64">
        <v>5</v>
      </c>
      <c r="G64" s="64">
        <v>5</v>
      </c>
      <c r="H64" s="64">
        <v>5</v>
      </c>
      <c r="I64" s="64">
        <v>5</v>
      </c>
      <c r="J64" s="64">
        <v>5</v>
      </c>
      <c r="K64" s="64">
        <v>5</v>
      </c>
      <c r="L64" s="64">
        <v>5</v>
      </c>
      <c r="M64" s="64">
        <v>5</v>
      </c>
      <c r="N64" s="64">
        <v>5</v>
      </c>
      <c r="O64" s="64">
        <v>5</v>
      </c>
      <c r="P64" s="64">
        <v>13.7</v>
      </c>
      <c r="Q64" s="64">
        <v>10.199999999999999</v>
      </c>
      <c r="R64" s="64">
        <v>10.199999999999999</v>
      </c>
      <c r="S64" s="64">
        <v>13.6</v>
      </c>
      <c r="T64" s="64"/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7.9</v>
      </c>
      <c r="AB64" s="64">
        <v>7.9</v>
      </c>
      <c r="AC64" s="64">
        <v>7.9</v>
      </c>
      <c r="AD64" s="64">
        <v>7.9</v>
      </c>
      <c r="AE64" s="64">
        <v>7.9</v>
      </c>
      <c r="AF64" s="64">
        <v>7.9</v>
      </c>
      <c r="AG64" s="54">
        <v>14</v>
      </c>
      <c r="AH64" s="47">
        <f t="shared" si="2"/>
        <v>13.7</v>
      </c>
      <c r="AI64" s="48">
        <f t="shared" si="3"/>
        <v>0</v>
      </c>
      <c r="AK64" s="50"/>
    </row>
    <row r="65" spans="1:40" x14ac:dyDescent="0.25">
      <c r="A65" s="53" t="s">
        <v>73</v>
      </c>
      <c r="B65" s="64">
        <v>8.9</v>
      </c>
      <c r="C65" s="64">
        <v>8.9</v>
      </c>
      <c r="D65" s="64">
        <v>8.9</v>
      </c>
      <c r="E65" s="64">
        <v>8.9</v>
      </c>
      <c r="F65" s="64">
        <v>8.9</v>
      </c>
      <c r="G65" s="64">
        <v>8.9</v>
      </c>
      <c r="H65" s="64">
        <v>8.9</v>
      </c>
      <c r="I65" s="64">
        <v>8.9</v>
      </c>
      <c r="J65" s="64">
        <v>8.9</v>
      </c>
      <c r="K65" s="64">
        <v>8.9</v>
      </c>
      <c r="L65" s="64">
        <v>8.9</v>
      </c>
      <c r="M65" s="64">
        <v>8.9</v>
      </c>
      <c r="N65" s="64">
        <v>8.9</v>
      </c>
      <c r="O65" s="64">
        <v>8.9</v>
      </c>
      <c r="P65" s="64">
        <v>8.9</v>
      </c>
      <c r="Q65" s="64">
        <v>8.9</v>
      </c>
      <c r="R65" s="64">
        <v>8.9</v>
      </c>
      <c r="S65" s="64">
        <v>6.3</v>
      </c>
      <c r="T65" s="64"/>
      <c r="U65" s="64">
        <v>6.3</v>
      </c>
      <c r="V65" s="64">
        <v>6.3</v>
      </c>
      <c r="W65" s="64">
        <v>6.3</v>
      </c>
      <c r="X65" s="64">
        <v>6.3</v>
      </c>
      <c r="Y65" s="64">
        <v>6.3</v>
      </c>
      <c r="Z65" s="64">
        <v>6.3</v>
      </c>
      <c r="AA65" s="64">
        <v>8.9</v>
      </c>
      <c r="AB65" s="64">
        <v>8.9</v>
      </c>
      <c r="AC65" s="64">
        <v>8.9</v>
      </c>
      <c r="AD65" s="64">
        <v>8.9</v>
      </c>
      <c r="AE65" s="64">
        <v>8.9</v>
      </c>
      <c r="AF65" s="64">
        <v>8.9</v>
      </c>
      <c r="AG65" s="54">
        <v>10.050000000000001</v>
      </c>
      <c r="AH65" s="47">
        <f t="shared" si="2"/>
        <v>8.9</v>
      </c>
      <c r="AI65" s="48">
        <f t="shared" si="3"/>
        <v>6.3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/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/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8">SUM(B55:B67)</f>
        <v>345.53999999999996</v>
      </c>
      <c r="C68" s="60">
        <f t="shared" si="18"/>
        <v>329.84</v>
      </c>
      <c r="D68" s="60">
        <f t="shared" si="18"/>
        <v>329.84</v>
      </c>
      <c r="E68" s="60">
        <f t="shared" si="18"/>
        <v>340.44</v>
      </c>
      <c r="F68" s="60">
        <f t="shared" si="18"/>
        <v>353.54</v>
      </c>
      <c r="G68" s="60">
        <f t="shared" si="18"/>
        <v>345.54</v>
      </c>
      <c r="H68" s="60">
        <f t="shared" si="18"/>
        <v>358.03999999999996</v>
      </c>
      <c r="I68" s="60">
        <f t="shared" si="18"/>
        <v>369.84</v>
      </c>
      <c r="J68" s="60">
        <f t="shared" si="18"/>
        <v>406.23999999999995</v>
      </c>
      <c r="K68" s="60">
        <f t="shared" si="18"/>
        <v>408.34</v>
      </c>
      <c r="L68" s="60">
        <f t="shared" si="18"/>
        <v>409.34</v>
      </c>
      <c r="M68" s="60">
        <f t="shared" si="18"/>
        <v>409.34</v>
      </c>
      <c r="N68" s="60">
        <f t="shared" si="18"/>
        <v>368.53999999999996</v>
      </c>
      <c r="O68" s="60">
        <f t="shared" ref="O68:P68" si="19">SUM(O55:O67)</f>
        <v>368.53999999999996</v>
      </c>
      <c r="P68" s="60">
        <f t="shared" si="19"/>
        <v>414.14</v>
      </c>
      <c r="Q68" s="60">
        <f t="shared" ref="Q68" si="20">SUM(Q55:Q67)</f>
        <v>401.84</v>
      </c>
      <c r="R68" s="60">
        <f t="shared" si="18"/>
        <v>405.64</v>
      </c>
      <c r="S68" s="60">
        <f t="shared" si="18"/>
        <v>408.74</v>
      </c>
      <c r="T68" s="60"/>
      <c r="U68" s="60">
        <f t="shared" ref="U68" si="21">SUM(U55:U67)</f>
        <v>221.34</v>
      </c>
      <c r="V68" s="60">
        <f t="shared" si="18"/>
        <v>268.14</v>
      </c>
      <c r="W68" s="60">
        <f t="shared" si="18"/>
        <v>268.24</v>
      </c>
      <c r="X68" s="60">
        <f t="shared" si="18"/>
        <v>357.94000000000005</v>
      </c>
      <c r="Y68" s="60">
        <f t="shared" si="18"/>
        <v>397.94000000000005</v>
      </c>
      <c r="Z68" s="60">
        <f t="shared" si="18"/>
        <v>403.84000000000003</v>
      </c>
      <c r="AA68" s="60">
        <v>411.83999999999992</v>
      </c>
      <c r="AB68" s="60">
        <f t="shared" si="18"/>
        <v>411.83999999999992</v>
      </c>
      <c r="AC68" s="60">
        <f t="shared" si="18"/>
        <v>411.83999999999992</v>
      </c>
      <c r="AD68" s="60">
        <f t="shared" ref="AD68:AE68" si="22">SUM(AD55:AD67)</f>
        <v>411.83999999999992</v>
      </c>
      <c r="AE68" s="60">
        <f t="shared" si="22"/>
        <v>411.64</v>
      </c>
      <c r="AF68" s="60">
        <f t="shared" ref="AF68" si="23">SUM(AF55:AF67)</f>
        <v>411.64</v>
      </c>
      <c r="AG68" s="61">
        <f t="shared" si="18"/>
        <v>489.91</v>
      </c>
      <c r="AH68" s="47">
        <f t="shared" si="2"/>
        <v>414.14</v>
      </c>
      <c r="AI68" s="48">
        <f t="shared" si="3"/>
        <v>221.34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>
        <v>0</v>
      </c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>
        <v>0</v>
      </c>
      <c r="AB70" s="64"/>
      <c r="AC70" s="64"/>
      <c r="AD70" s="64"/>
      <c r="AE70" s="64"/>
      <c r="AF70" s="64"/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>
        <v>0</v>
      </c>
      <c r="AB71" s="66"/>
      <c r="AC71" s="66"/>
      <c r="AD71" s="66"/>
      <c r="AE71" s="66"/>
      <c r="AF71" s="66"/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C72" si="24">M69+M70+M71</f>
        <v>0</v>
      </c>
      <c r="N72" s="60">
        <f t="shared" si="24"/>
        <v>0</v>
      </c>
      <c r="O72" s="60">
        <f t="shared" ref="O72:Q72" si="25">O69+O70+O71</f>
        <v>0</v>
      </c>
      <c r="P72" s="60">
        <f t="shared" si="25"/>
        <v>0</v>
      </c>
      <c r="Q72" s="60">
        <f t="shared" si="25"/>
        <v>0</v>
      </c>
      <c r="R72" s="60">
        <f t="shared" si="24"/>
        <v>0</v>
      </c>
      <c r="S72" s="60">
        <f t="shared" si="24"/>
        <v>0</v>
      </c>
      <c r="T72" s="60"/>
      <c r="U72" s="60">
        <f t="shared" ref="U72" si="26">U69+U70+U71</f>
        <v>0</v>
      </c>
      <c r="V72" s="60">
        <f t="shared" si="24"/>
        <v>0</v>
      </c>
      <c r="W72" s="60">
        <f t="shared" si="24"/>
        <v>0</v>
      </c>
      <c r="X72" s="60">
        <f t="shared" si="24"/>
        <v>0</v>
      </c>
      <c r="Y72" s="60">
        <f t="shared" si="24"/>
        <v>0</v>
      </c>
      <c r="Z72" s="60">
        <f t="shared" si="24"/>
        <v>0</v>
      </c>
      <c r="AA72" s="60">
        <v>0</v>
      </c>
      <c r="AB72" s="60">
        <f t="shared" si="24"/>
        <v>0</v>
      </c>
      <c r="AC72" s="60">
        <f t="shared" si="24"/>
        <v>0</v>
      </c>
      <c r="AD72" s="60">
        <f t="shared" ref="AD72:AE72" si="27">AD69+AD70+AD71</f>
        <v>0</v>
      </c>
      <c r="AE72" s="60">
        <f t="shared" si="27"/>
        <v>0</v>
      </c>
      <c r="AF72" s="60">
        <f t="shared" ref="AF72" si="28">AF69+AF70+AF71</f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ht="15.75" thickBot="1" x14ac:dyDescent="0.3">
      <c r="A73" s="44" t="s">
        <v>81</v>
      </c>
      <c r="B73" s="45">
        <v>-3.7</v>
      </c>
      <c r="C73" s="45">
        <v>-13.6</v>
      </c>
      <c r="D73" s="45">
        <v>-24</v>
      </c>
      <c r="E73" s="45">
        <v>-17.899999999999999</v>
      </c>
      <c r="F73" s="45">
        <v>-23.4</v>
      </c>
      <c r="G73" s="45">
        <v>-20.5</v>
      </c>
      <c r="H73" s="45">
        <v>-17.3</v>
      </c>
      <c r="I73" s="45">
        <v>-24.9</v>
      </c>
      <c r="J73" s="45">
        <v>-33.5</v>
      </c>
      <c r="K73" s="45">
        <v>-5</v>
      </c>
      <c r="L73" s="45">
        <v>-21.7</v>
      </c>
      <c r="M73" s="45">
        <v>-21.8</v>
      </c>
      <c r="N73" s="45">
        <v>-25</v>
      </c>
      <c r="O73" s="45">
        <v>-15</v>
      </c>
      <c r="P73" s="45">
        <v>-9</v>
      </c>
      <c r="Q73" s="60">
        <v>-6.7</v>
      </c>
      <c r="R73" s="45">
        <v>-9</v>
      </c>
      <c r="S73" s="45">
        <v>-7.9</v>
      </c>
      <c r="T73" s="45"/>
      <c r="U73" s="45">
        <v>24.7</v>
      </c>
      <c r="V73" s="45">
        <v>12</v>
      </c>
      <c r="W73" s="45">
        <v>24</v>
      </c>
      <c r="X73" s="45">
        <v>13.2</v>
      </c>
      <c r="Y73" s="45">
        <v>12</v>
      </c>
      <c r="Z73" s="45">
        <v>9.6999999999999993</v>
      </c>
      <c r="AA73" s="45">
        <v>7.3</v>
      </c>
      <c r="AB73" s="45">
        <v>20</v>
      </c>
      <c r="AC73" s="45">
        <v>20.7</v>
      </c>
      <c r="AD73" s="45">
        <v>1.3</v>
      </c>
      <c r="AE73" s="45">
        <v>-2.5</v>
      </c>
      <c r="AF73" s="45">
        <v>-15.8</v>
      </c>
      <c r="AG73" s="51"/>
      <c r="AH73" s="47">
        <f t="shared" si="2"/>
        <v>24.7</v>
      </c>
      <c r="AI73" s="48">
        <f t="shared" si="3"/>
        <v>-33.5</v>
      </c>
      <c r="AK73" s="50"/>
    </row>
    <row r="74" spans="1:40" x14ac:dyDescent="0.25">
      <c r="A74" s="53" t="s">
        <v>82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>
        <v>0</v>
      </c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-424</v>
      </c>
      <c r="C75" s="64">
        <v>-412</v>
      </c>
      <c r="D75" s="64">
        <v>-436</v>
      </c>
      <c r="E75" s="64">
        <v>-425</v>
      </c>
      <c r="F75" s="64">
        <v>-441.2</v>
      </c>
      <c r="G75" s="64">
        <v>-465.9</v>
      </c>
      <c r="H75" s="64">
        <v>-485</v>
      </c>
      <c r="I75" s="64">
        <v>-501</v>
      </c>
      <c r="J75" s="64">
        <v>-505.4</v>
      </c>
      <c r="K75" s="64">
        <v>-457.2</v>
      </c>
      <c r="L75" s="64">
        <v>-486.1</v>
      </c>
      <c r="M75" s="64">
        <v>-419.7</v>
      </c>
      <c r="N75" s="64">
        <v>-385</v>
      </c>
      <c r="O75" s="64">
        <v>-400</v>
      </c>
      <c r="P75" s="64">
        <v>-372.4</v>
      </c>
      <c r="Q75" s="64">
        <v>-360.1</v>
      </c>
      <c r="R75" s="64">
        <v>-341</v>
      </c>
      <c r="S75" s="64">
        <v>-343.1</v>
      </c>
      <c r="T75" s="64"/>
      <c r="U75" s="64">
        <v>-403.7</v>
      </c>
      <c r="V75" s="64">
        <f>--330</f>
        <v>330</v>
      </c>
      <c r="W75" s="64">
        <v>-338</v>
      </c>
      <c r="X75" s="64">
        <v>-355</v>
      </c>
      <c r="Y75" s="64">
        <v>-340</v>
      </c>
      <c r="Z75" s="64">
        <v>-351</v>
      </c>
      <c r="AA75" s="64">
        <v>-398.1</v>
      </c>
      <c r="AB75" s="64">
        <v>-380</v>
      </c>
      <c r="AC75" s="64">
        <v>-383.3</v>
      </c>
      <c r="AD75" s="64">
        <v>-395</v>
      </c>
      <c r="AE75" s="64">
        <v>-412</v>
      </c>
      <c r="AF75" s="64">
        <v>-375.8</v>
      </c>
      <c r="AG75" s="74"/>
      <c r="AH75" s="47">
        <f t="shared" si="2"/>
        <v>330</v>
      </c>
      <c r="AI75" s="48">
        <f t="shared" si="3"/>
        <v>-505.4</v>
      </c>
      <c r="AK75" s="50"/>
    </row>
    <row r="76" spans="1:40" x14ac:dyDescent="0.25">
      <c r="A76" s="53" t="s">
        <v>84</v>
      </c>
      <c r="B76" s="64"/>
      <c r="C76" s="64"/>
      <c r="D76" s="64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45"/>
      <c r="D77" s="64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4"/>
      <c r="AH77" s="47">
        <f t="shared" ref="AH77:AH120" si="29">MAX(B77:AF77)</f>
        <v>0</v>
      </c>
      <c r="AI77" s="48">
        <f t="shared" ref="AI77:AI120" si="30">MIN(B77:AF77)</f>
        <v>0</v>
      </c>
      <c r="AK77" s="50"/>
    </row>
    <row r="78" spans="1:40" x14ac:dyDescent="0.25">
      <c r="A78" s="53" t="s">
        <v>86</v>
      </c>
      <c r="B78" s="45"/>
      <c r="C78" s="76"/>
      <c r="D78" s="64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4"/>
      <c r="AH78" s="47">
        <f t="shared" si="29"/>
        <v>0</v>
      </c>
      <c r="AI78" s="48">
        <f t="shared" si="30"/>
        <v>0</v>
      </c>
      <c r="AK78" s="50"/>
    </row>
    <row r="79" spans="1:40" ht="15.75" thickBot="1" x14ac:dyDescent="0.3">
      <c r="A79" s="53" t="s">
        <v>87</v>
      </c>
      <c r="B79" s="45"/>
      <c r="C79" s="76"/>
      <c r="D79" s="64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4"/>
      <c r="AH79" s="47">
        <f t="shared" si="29"/>
        <v>0</v>
      </c>
      <c r="AI79" s="48">
        <f t="shared" si="30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/>
      <c r="C80" s="76"/>
      <c r="D80" s="64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4"/>
      <c r="AH80" s="47">
        <f t="shared" si="29"/>
        <v>0</v>
      </c>
      <c r="AI80" s="48">
        <f t="shared" si="30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/>
      <c r="C81" s="76"/>
      <c r="D81" s="64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4"/>
      <c r="AH81" s="47">
        <f t="shared" si="29"/>
        <v>0</v>
      </c>
      <c r="AI81" s="48">
        <f t="shared" si="30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/>
      <c r="C82" s="76"/>
      <c r="D82" s="64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84"/>
      <c r="AH82" s="47">
        <f t="shared" si="29"/>
        <v>0</v>
      </c>
      <c r="AI82" s="48">
        <f t="shared" si="30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/>
      <c r="C83" s="76"/>
      <c r="D83" s="64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4"/>
      <c r="AH83" s="47">
        <f t="shared" si="29"/>
        <v>0</v>
      </c>
      <c r="AI83" s="48">
        <f t="shared" si="30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C84" si="31">SUMIF(B73:B83,"&gt;0")</f>
        <v>0</v>
      </c>
      <c r="C84" s="60">
        <f t="shared" si="31"/>
        <v>0</v>
      </c>
      <c r="D84" s="60">
        <f t="shared" si="31"/>
        <v>0</v>
      </c>
      <c r="E84" s="60">
        <f t="shared" si="31"/>
        <v>0</v>
      </c>
      <c r="F84" s="60">
        <f t="shared" si="31"/>
        <v>0</v>
      </c>
      <c r="G84" s="60">
        <f t="shared" si="31"/>
        <v>0</v>
      </c>
      <c r="H84" s="60">
        <f t="shared" si="31"/>
        <v>0</v>
      </c>
      <c r="I84" s="60">
        <f t="shared" si="31"/>
        <v>0</v>
      </c>
      <c r="J84" s="60">
        <f t="shared" si="31"/>
        <v>0</v>
      </c>
      <c r="K84" s="60">
        <f t="shared" si="31"/>
        <v>0</v>
      </c>
      <c r="L84" s="60">
        <f t="shared" si="31"/>
        <v>0</v>
      </c>
      <c r="M84" s="60">
        <f t="shared" si="31"/>
        <v>0</v>
      </c>
      <c r="N84" s="60">
        <f t="shared" si="31"/>
        <v>0</v>
      </c>
      <c r="O84" s="60">
        <f t="shared" ref="O84:P84" si="32">SUMIF(O73:O83,"&gt;0")</f>
        <v>0</v>
      </c>
      <c r="P84" s="60">
        <f t="shared" si="32"/>
        <v>0</v>
      </c>
      <c r="Q84" s="60">
        <f>SUMIF(Q73:Q83,"&gt;0")</f>
        <v>0</v>
      </c>
      <c r="R84" s="60">
        <f t="shared" si="31"/>
        <v>0</v>
      </c>
      <c r="S84" s="60">
        <f t="shared" si="31"/>
        <v>0</v>
      </c>
      <c r="T84" s="60"/>
      <c r="U84" s="60">
        <f t="shared" ref="U84" si="33">SUMIF(U73:U83,"&gt;0")</f>
        <v>24.7</v>
      </c>
      <c r="V84" s="60">
        <f t="shared" si="31"/>
        <v>342</v>
      </c>
      <c r="W84" s="60">
        <f t="shared" si="31"/>
        <v>24</v>
      </c>
      <c r="X84" s="60">
        <f t="shared" si="31"/>
        <v>13.2</v>
      </c>
      <c r="Y84" s="60">
        <f t="shared" si="31"/>
        <v>12</v>
      </c>
      <c r="Z84" s="60">
        <f t="shared" si="31"/>
        <v>9.6999999999999993</v>
      </c>
      <c r="AA84" s="60">
        <v>7.3</v>
      </c>
      <c r="AB84" s="60">
        <f t="shared" si="31"/>
        <v>20</v>
      </c>
      <c r="AC84" s="60">
        <f t="shared" si="31"/>
        <v>20.7</v>
      </c>
      <c r="AD84" s="60">
        <f t="shared" ref="AD84:AE84" si="34">SUMIF(AD73:AD83,"&gt;0")</f>
        <v>1.3</v>
      </c>
      <c r="AE84" s="60">
        <f t="shared" si="34"/>
        <v>0</v>
      </c>
      <c r="AF84" s="60">
        <f t="shared" ref="AF84" si="35">SUMIF(AF73:AF83,"&gt;0")</f>
        <v>0</v>
      </c>
      <c r="AG84" s="87">
        <f>SUM(AG73:AG83)</f>
        <v>0</v>
      </c>
      <c r="AH84" s="47">
        <f t="shared" si="29"/>
        <v>342</v>
      </c>
      <c r="AI84" s="48">
        <f t="shared" si="30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/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29"/>
        <v>0</v>
      </c>
      <c r="AI85" s="48">
        <f t="shared" si="30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/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29"/>
        <v>0</v>
      </c>
      <c r="AI86" s="48">
        <f t="shared" si="30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/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29"/>
        <v>0</v>
      </c>
      <c r="AI87" s="48">
        <f t="shared" si="30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>
        <v>0</v>
      </c>
      <c r="AB88" s="60"/>
      <c r="AC88" s="60"/>
      <c r="AD88" s="60"/>
      <c r="AE88" s="60"/>
      <c r="AF88" s="60"/>
      <c r="AG88" s="87">
        <f>SUM(AG85:AG87)</f>
        <v>55.4</v>
      </c>
      <c r="AH88" s="47">
        <f t="shared" si="29"/>
        <v>0</v>
      </c>
      <c r="AI88" s="48">
        <f t="shared" si="30"/>
        <v>0</v>
      </c>
    </row>
    <row r="89" spans="1:40" ht="15.75" thickBot="1" x14ac:dyDescent="0.3">
      <c r="A89" s="73" t="s">
        <v>100</v>
      </c>
      <c r="B89" s="94">
        <f t="shared" ref="B89:AG89" si="36">B50+B54+B72+B68+B84+B88</f>
        <v>1880.94</v>
      </c>
      <c r="C89" s="94">
        <f t="shared" si="36"/>
        <v>1865.24</v>
      </c>
      <c r="D89" s="94">
        <f t="shared" si="36"/>
        <v>1856.24</v>
      </c>
      <c r="E89" s="94">
        <f t="shared" si="36"/>
        <v>1867.2400000000002</v>
      </c>
      <c r="F89" s="94">
        <f t="shared" si="36"/>
        <v>1870.2399999999998</v>
      </c>
      <c r="G89" s="94">
        <f t="shared" si="36"/>
        <v>1862.2399999999998</v>
      </c>
      <c r="H89" s="94">
        <f t="shared" si="36"/>
        <v>1874.7399999999998</v>
      </c>
      <c r="I89" s="94">
        <f t="shared" si="36"/>
        <v>1886.5399999999997</v>
      </c>
      <c r="J89" s="94">
        <f t="shared" si="36"/>
        <v>1938.24</v>
      </c>
      <c r="K89" s="94">
        <f t="shared" si="36"/>
        <v>1949.24</v>
      </c>
      <c r="L89" s="94">
        <f t="shared" si="36"/>
        <v>2034.24</v>
      </c>
      <c r="M89" s="94">
        <f t="shared" si="36"/>
        <v>2013.5400000000002</v>
      </c>
      <c r="N89" s="94">
        <f t="shared" si="36"/>
        <v>1919.6399999999999</v>
      </c>
      <c r="O89" s="94">
        <f t="shared" ref="O89:P89" si="37">O50+O54+O72+O68+O84+O88</f>
        <v>1915.6399999999999</v>
      </c>
      <c r="P89" s="94">
        <f t="shared" si="37"/>
        <v>1986.2399999999998</v>
      </c>
      <c r="Q89" s="94">
        <f>Q50+Q54+Q73+Q68+Q84+Q88</f>
        <v>1967.2399999999998</v>
      </c>
      <c r="R89" s="94">
        <f t="shared" si="36"/>
        <v>1953.7399999999998</v>
      </c>
      <c r="S89" s="94">
        <f t="shared" si="36"/>
        <v>1947.74</v>
      </c>
      <c r="T89" s="94"/>
      <c r="U89" s="94">
        <f t="shared" ref="U89" si="38">U50+U54+U72+U68+U84+U88</f>
        <v>1713.34</v>
      </c>
      <c r="V89" s="94">
        <f t="shared" si="36"/>
        <v>2077.44</v>
      </c>
      <c r="W89" s="94">
        <f t="shared" si="36"/>
        <v>1759.54</v>
      </c>
      <c r="X89" s="94">
        <f t="shared" si="36"/>
        <v>1868.44</v>
      </c>
      <c r="Y89" s="94">
        <f t="shared" si="36"/>
        <v>1917.24</v>
      </c>
      <c r="Z89" s="94">
        <f t="shared" si="36"/>
        <v>1986.84</v>
      </c>
      <c r="AA89" s="94">
        <v>2056.34</v>
      </c>
      <c r="AB89" s="94">
        <f t="shared" si="36"/>
        <v>2043.0399999999997</v>
      </c>
      <c r="AC89" s="94">
        <f t="shared" si="36"/>
        <v>2043.7399999999998</v>
      </c>
      <c r="AD89" s="94">
        <f t="shared" ref="AD89:AE89" si="39">AD50+AD54+AD72+AD68+AD84+AD88</f>
        <v>2024.3399999999997</v>
      </c>
      <c r="AE89" s="94">
        <f t="shared" si="39"/>
        <v>1970.6399999999999</v>
      </c>
      <c r="AF89" s="94">
        <f t="shared" ref="AF89" si="40">AF50+AF54+AF72+AF68+AF84+AF88</f>
        <v>1970.6399999999999</v>
      </c>
      <c r="AG89" s="61">
        <f t="shared" si="36"/>
        <v>2111.5500000000002</v>
      </c>
      <c r="AH89" s="47">
        <f t="shared" si="29"/>
        <v>2077.44</v>
      </c>
      <c r="AI89" s="48">
        <f t="shared" si="30"/>
        <v>1713.34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29"/>
        <v>0</v>
      </c>
      <c r="AI90" s="48">
        <f t="shared" si="30"/>
        <v>0</v>
      </c>
    </row>
    <row r="91" spans="1:40" ht="15.75" thickBot="1" x14ac:dyDescent="0.3">
      <c r="A91" s="73" t="s">
        <v>102</v>
      </c>
      <c r="B91" s="94">
        <f t="shared" ref="B91:AC91" si="41">B89+B90</f>
        <v>1880.94</v>
      </c>
      <c r="C91" s="94">
        <f t="shared" si="41"/>
        <v>1865.24</v>
      </c>
      <c r="D91" s="94">
        <f t="shared" si="41"/>
        <v>1856.24</v>
      </c>
      <c r="E91" s="94">
        <f t="shared" si="41"/>
        <v>1867.2400000000002</v>
      </c>
      <c r="F91" s="94">
        <f t="shared" si="41"/>
        <v>1870.2399999999998</v>
      </c>
      <c r="G91" s="94">
        <f t="shared" si="41"/>
        <v>1862.2399999999998</v>
      </c>
      <c r="H91" s="94">
        <f t="shared" si="41"/>
        <v>1874.7399999999998</v>
      </c>
      <c r="I91" s="94">
        <f t="shared" si="41"/>
        <v>1886.5399999999997</v>
      </c>
      <c r="J91" s="94">
        <f t="shared" si="41"/>
        <v>1938.24</v>
      </c>
      <c r="K91" s="94">
        <f t="shared" si="41"/>
        <v>1949.24</v>
      </c>
      <c r="L91" s="94">
        <f t="shared" si="41"/>
        <v>2034.24</v>
      </c>
      <c r="M91" s="94">
        <f t="shared" si="41"/>
        <v>2013.5400000000002</v>
      </c>
      <c r="N91" s="94">
        <f t="shared" si="41"/>
        <v>1919.6399999999999</v>
      </c>
      <c r="O91" s="94">
        <f t="shared" ref="O91:P91" si="42">O89+O90</f>
        <v>1915.6399999999999</v>
      </c>
      <c r="P91" s="94">
        <f t="shared" si="42"/>
        <v>1986.2399999999998</v>
      </c>
      <c r="Q91" s="94">
        <f t="shared" ref="Q91" si="43">Q89+Q90</f>
        <v>1967.2399999999998</v>
      </c>
      <c r="R91" s="94">
        <f t="shared" si="41"/>
        <v>1953.7399999999998</v>
      </c>
      <c r="S91" s="94">
        <f t="shared" si="41"/>
        <v>1947.74</v>
      </c>
      <c r="T91" s="94"/>
      <c r="U91" s="94">
        <f t="shared" ref="U91" si="44">U89+U90</f>
        <v>1713.34</v>
      </c>
      <c r="V91" s="94">
        <f t="shared" si="41"/>
        <v>2077.44</v>
      </c>
      <c r="W91" s="94">
        <f t="shared" si="41"/>
        <v>1759.54</v>
      </c>
      <c r="X91" s="94">
        <f t="shared" si="41"/>
        <v>1868.44</v>
      </c>
      <c r="Y91" s="94">
        <f t="shared" si="41"/>
        <v>1917.24</v>
      </c>
      <c r="Z91" s="94">
        <f t="shared" si="41"/>
        <v>1986.84</v>
      </c>
      <c r="AA91" s="94">
        <v>2056.34</v>
      </c>
      <c r="AB91" s="94">
        <f t="shared" si="41"/>
        <v>2043.0399999999997</v>
      </c>
      <c r="AC91" s="94">
        <f t="shared" si="41"/>
        <v>2043.7399999999998</v>
      </c>
      <c r="AD91" s="94">
        <f t="shared" ref="AD91:AE91" si="45">AD89+AD90</f>
        <v>2024.3399999999997</v>
      </c>
      <c r="AE91" s="94">
        <f t="shared" si="45"/>
        <v>1970.6399999999999</v>
      </c>
      <c r="AF91" s="94">
        <f t="shared" ref="AF91" si="46">AF89+AF90</f>
        <v>1970.6399999999999</v>
      </c>
      <c r="AG91" s="87">
        <f>AG88+AG84+AG72+AG68+AG50+AG90</f>
        <v>1573.45</v>
      </c>
      <c r="AH91" s="47">
        <f t="shared" si="29"/>
        <v>2077.44</v>
      </c>
      <c r="AI91" s="48">
        <f t="shared" si="30"/>
        <v>1713.34</v>
      </c>
    </row>
    <row r="92" spans="1:40" ht="15.75" thickBot="1" x14ac:dyDescent="0.3">
      <c r="A92" s="73" t="s">
        <v>103</v>
      </c>
      <c r="B92" s="94">
        <f t="shared" ref="B92:AC92" si="47">B91-B99</f>
        <v>1880.94</v>
      </c>
      <c r="C92" s="94">
        <f t="shared" si="47"/>
        <v>1865.24</v>
      </c>
      <c r="D92" s="94">
        <f t="shared" si="47"/>
        <v>1856.24</v>
      </c>
      <c r="E92" s="94">
        <f t="shared" si="47"/>
        <v>1867.2400000000002</v>
      </c>
      <c r="F92" s="94">
        <f t="shared" si="47"/>
        <v>1870.2399999999998</v>
      </c>
      <c r="G92" s="94">
        <f t="shared" si="47"/>
        <v>1862.2399999999998</v>
      </c>
      <c r="H92" s="94">
        <f t="shared" si="47"/>
        <v>1874.7399999999998</v>
      </c>
      <c r="I92" s="94">
        <f t="shared" si="47"/>
        <v>1886.5399999999997</v>
      </c>
      <c r="J92" s="94">
        <f t="shared" si="47"/>
        <v>1938.24</v>
      </c>
      <c r="K92" s="94">
        <f t="shared" si="47"/>
        <v>1949.24</v>
      </c>
      <c r="L92" s="94">
        <f t="shared" si="47"/>
        <v>2034.24</v>
      </c>
      <c r="M92" s="94">
        <f t="shared" si="47"/>
        <v>2013.5400000000002</v>
      </c>
      <c r="N92" s="94">
        <f t="shared" si="47"/>
        <v>1919.6399999999999</v>
      </c>
      <c r="O92" s="94">
        <f t="shared" ref="O92:P92" si="48">O91-O99</f>
        <v>1915.6399999999999</v>
      </c>
      <c r="P92" s="94">
        <f t="shared" si="48"/>
        <v>1986.2399999999998</v>
      </c>
      <c r="Q92" s="94">
        <f t="shared" ref="Q92" si="49">Q91-Q99</f>
        <v>1967.2399999999998</v>
      </c>
      <c r="R92" s="94">
        <f t="shared" si="47"/>
        <v>1953.7399999999998</v>
      </c>
      <c r="S92" s="94">
        <f t="shared" si="47"/>
        <v>1947.74</v>
      </c>
      <c r="T92" s="94"/>
      <c r="U92" s="94">
        <f t="shared" ref="U92" si="50">U91-U99</f>
        <v>1713.34</v>
      </c>
      <c r="V92" s="94">
        <f t="shared" si="47"/>
        <v>2077.44</v>
      </c>
      <c r="W92" s="94">
        <f t="shared" si="47"/>
        <v>1759.54</v>
      </c>
      <c r="X92" s="94">
        <f t="shared" si="47"/>
        <v>1868.44</v>
      </c>
      <c r="Y92" s="94">
        <f t="shared" si="47"/>
        <v>1917.24</v>
      </c>
      <c r="Z92" s="94">
        <f t="shared" si="47"/>
        <v>1986.84</v>
      </c>
      <c r="AA92" s="94">
        <v>2056.34</v>
      </c>
      <c r="AB92" s="94">
        <f t="shared" si="47"/>
        <v>2043.0399999999997</v>
      </c>
      <c r="AC92" s="94">
        <f t="shared" si="47"/>
        <v>2043.7399999999998</v>
      </c>
      <c r="AD92" s="94">
        <f t="shared" ref="AD92:AE92" si="51">AD91-AD99</f>
        <v>2024.3399999999997</v>
      </c>
      <c r="AE92" s="94">
        <f t="shared" si="51"/>
        <v>1970.6399999999999</v>
      </c>
      <c r="AF92" s="94">
        <f t="shared" ref="AF92" si="52">AF91-AF99</f>
        <v>1970.6399999999999</v>
      </c>
      <c r="AG92" s="87"/>
      <c r="AH92" s="47">
        <f t="shared" si="29"/>
        <v>2077.44</v>
      </c>
      <c r="AI92" s="48">
        <f t="shared" si="30"/>
        <v>1713.34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/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29"/>
        <v>0</v>
      </c>
      <c r="AI93" s="48">
        <f t="shared" si="30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/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29"/>
        <v>0</v>
      </c>
      <c r="AI94" s="48">
        <f t="shared" si="30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/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29"/>
        <v>0</v>
      </c>
      <c r="AI95" s="48">
        <f t="shared" si="30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/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29"/>
        <v>0</v>
      </c>
      <c r="AI96" s="48">
        <f t="shared" si="30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/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29"/>
        <v>0</v>
      </c>
      <c r="AI97" s="48">
        <f t="shared" si="30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/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29"/>
        <v>0</v>
      </c>
      <c r="AI98" s="48">
        <f t="shared" si="30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v>0</v>
      </c>
      <c r="AB99" s="60"/>
      <c r="AC99" s="60"/>
      <c r="AD99" s="60"/>
      <c r="AE99" s="60"/>
      <c r="AF99" s="60"/>
      <c r="AG99" s="87"/>
      <c r="AH99" s="47">
        <f t="shared" si="29"/>
        <v>0</v>
      </c>
      <c r="AI99" s="48">
        <f t="shared" si="30"/>
        <v>0</v>
      </c>
      <c r="AK99" s="50"/>
    </row>
    <row r="100" spans="1:37" ht="15.75" thickBot="1" x14ac:dyDescent="0.3">
      <c r="A100" s="73" t="s">
        <v>108</v>
      </c>
      <c r="B100" s="60">
        <f t="shared" ref="B100:AC100" si="53">B84-B99</f>
        <v>0</v>
      </c>
      <c r="C100" s="60">
        <f t="shared" si="53"/>
        <v>0</v>
      </c>
      <c r="D100" s="60">
        <f t="shared" si="53"/>
        <v>0</v>
      </c>
      <c r="E100" s="60">
        <f t="shared" si="53"/>
        <v>0</v>
      </c>
      <c r="F100" s="60">
        <f t="shared" si="53"/>
        <v>0</v>
      </c>
      <c r="G100" s="60">
        <f t="shared" si="53"/>
        <v>0</v>
      </c>
      <c r="H100" s="60">
        <f t="shared" si="53"/>
        <v>0</v>
      </c>
      <c r="I100" s="60">
        <f t="shared" si="53"/>
        <v>0</v>
      </c>
      <c r="J100" s="60">
        <f t="shared" si="53"/>
        <v>0</v>
      </c>
      <c r="K100" s="60">
        <f t="shared" si="53"/>
        <v>0</v>
      </c>
      <c r="L100" s="60">
        <f t="shared" si="53"/>
        <v>0</v>
      </c>
      <c r="M100" s="60">
        <f t="shared" si="53"/>
        <v>0</v>
      </c>
      <c r="N100" s="60">
        <f t="shared" si="53"/>
        <v>0</v>
      </c>
      <c r="O100" s="60">
        <f t="shared" ref="O100:P100" si="54">O84-O99</f>
        <v>0</v>
      </c>
      <c r="P100" s="60">
        <f t="shared" si="54"/>
        <v>0</v>
      </c>
      <c r="Q100" s="60">
        <f t="shared" ref="Q100" si="55">Q84-Q99</f>
        <v>0</v>
      </c>
      <c r="R100" s="60">
        <f t="shared" si="53"/>
        <v>0</v>
      </c>
      <c r="S100" s="60">
        <f t="shared" si="53"/>
        <v>0</v>
      </c>
      <c r="T100" s="60"/>
      <c r="U100" s="60">
        <f t="shared" ref="U100" si="56">U84-U99</f>
        <v>24.7</v>
      </c>
      <c r="V100" s="60">
        <f t="shared" si="53"/>
        <v>342</v>
      </c>
      <c r="W100" s="60">
        <f t="shared" si="53"/>
        <v>24</v>
      </c>
      <c r="X100" s="60">
        <f t="shared" si="53"/>
        <v>13.2</v>
      </c>
      <c r="Y100" s="60">
        <f t="shared" si="53"/>
        <v>12</v>
      </c>
      <c r="Z100" s="60">
        <f t="shared" si="53"/>
        <v>9.6999999999999993</v>
      </c>
      <c r="AA100" s="60">
        <v>7.3</v>
      </c>
      <c r="AB100" s="60">
        <f t="shared" si="53"/>
        <v>20</v>
      </c>
      <c r="AC100" s="60">
        <f t="shared" si="53"/>
        <v>20.7</v>
      </c>
      <c r="AD100" s="60">
        <f t="shared" ref="AD100:AE100" si="57">AD84-AD99</f>
        <v>1.3</v>
      </c>
      <c r="AE100" s="60">
        <f t="shared" si="57"/>
        <v>0</v>
      </c>
      <c r="AF100" s="60">
        <f t="shared" ref="AF100" si="58">AF84-AF99</f>
        <v>0</v>
      </c>
      <c r="AG100" s="87"/>
      <c r="AH100" s="47">
        <f t="shared" si="29"/>
        <v>342</v>
      </c>
      <c r="AI100" s="48">
        <f t="shared" si="30"/>
        <v>0</v>
      </c>
    </row>
    <row r="101" spans="1:37" x14ac:dyDescent="0.25">
      <c r="A101" s="99" t="s">
        <v>109</v>
      </c>
      <c r="B101" s="100">
        <v>49.972000000000001</v>
      </c>
      <c r="C101" s="100">
        <v>50.04</v>
      </c>
      <c r="D101" s="100">
        <v>50.051000000000002</v>
      </c>
      <c r="E101" s="100">
        <v>50.033999999999999</v>
      </c>
      <c r="F101" s="100">
        <v>50.034999999999997</v>
      </c>
      <c r="G101" s="100">
        <v>49.970999999999997</v>
      </c>
      <c r="H101" s="100">
        <v>49.918999999999997</v>
      </c>
      <c r="I101" s="100">
        <v>49.975000000000001</v>
      </c>
      <c r="J101" s="100">
        <v>49.98</v>
      </c>
      <c r="K101" s="100">
        <v>49.966999999999999</v>
      </c>
      <c r="L101" s="100">
        <v>50.018000000000001</v>
      </c>
      <c r="M101" s="100">
        <v>50.055999999999997</v>
      </c>
      <c r="N101" s="100">
        <v>50.02</v>
      </c>
      <c r="O101" s="100">
        <v>50.02</v>
      </c>
      <c r="P101" s="100">
        <v>50.021999999999998</v>
      </c>
      <c r="Q101" s="100">
        <v>49.91</v>
      </c>
      <c r="R101" s="100">
        <v>50.036000000000001</v>
      </c>
      <c r="S101" s="100">
        <v>50.05</v>
      </c>
      <c r="T101" s="100"/>
      <c r="U101" s="100">
        <v>50</v>
      </c>
      <c r="V101" s="100">
        <v>50.01</v>
      </c>
      <c r="W101" s="100">
        <v>49.95</v>
      </c>
      <c r="X101" s="100">
        <v>50.03</v>
      </c>
      <c r="Y101" s="100">
        <v>49.97</v>
      </c>
      <c r="Z101" s="100">
        <v>49.84</v>
      </c>
      <c r="AA101" s="100">
        <v>49.548999999999999</v>
      </c>
      <c r="AB101" s="100">
        <v>49.968000000000004</v>
      </c>
      <c r="AC101" s="100">
        <v>49.847000000000001</v>
      </c>
      <c r="AD101" s="100">
        <v>50.064</v>
      </c>
      <c r="AE101" s="100">
        <v>49.996000000000002</v>
      </c>
      <c r="AF101" s="100">
        <v>50.005000000000003</v>
      </c>
      <c r="AG101" s="101"/>
      <c r="AH101" s="47">
        <f t="shared" si="29"/>
        <v>50.064</v>
      </c>
      <c r="AI101" s="48">
        <f t="shared" si="30"/>
        <v>49.548999999999999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29"/>
        <v>0</v>
      </c>
      <c r="AI102" s="48">
        <f t="shared" si="30"/>
        <v>0</v>
      </c>
    </row>
    <row r="103" spans="1:37" x14ac:dyDescent="0.25">
      <c r="A103" s="102" t="s">
        <v>111</v>
      </c>
      <c r="B103" s="64">
        <v>130.1</v>
      </c>
      <c r="C103" s="64">
        <v>129.6</v>
      </c>
      <c r="D103" s="64">
        <v>130.1</v>
      </c>
      <c r="E103" s="64">
        <v>130.5</v>
      </c>
      <c r="F103" s="64">
        <v>130</v>
      </c>
      <c r="G103" s="64">
        <v>130.19999999999999</v>
      </c>
      <c r="H103" s="64">
        <v>129</v>
      </c>
      <c r="I103" s="64">
        <v>129</v>
      </c>
      <c r="J103" s="64">
        <v>127.4</v>
      </c>
      <c r="K103" s="64">
        <v>127.3</v>
      </c>
      <c r="L103" s="64">
        <v>124.7</v>
      </c>
      <c r="M103" s="64">
        <v>126.5</v>
      </c>
      <c r="N103" s="64">
        <v>126.5</v>
      </c>
      <c r="O103" s="64">
        <v>126.5</v>
      </c>
      <c r="P103" s="64">
        <v>125</v>
      </c>
      <c r="Q103" s="64">
        <v>125.4</v>
      </c>
      <c r="R103" s="64">
        <v>126.4</v>
      </c>
      <c r="S103" s="64">
        <v>126.4</v>
      </c>
      <c r="T103" s="64"/>
      <c r="U103" s="64">
        <v>128.19999999999999</v>
      </c>
      <c r="V103" s="64">
        <v>126</v>
      </c>
      <c r="W103" s="64">
        <v>126.3</v>
      </c>
      <c r="X103" s="64">
        <v>126.8</v>
      </c>
      <c r="Y103" s="64">
        <v>126</v>
      </c>
      <c r="Z103" s="64">
        <v>126</v>
      </c>
      <c r="AA103" s="64">
        <v>125.4</v>
      </c>
      <c r="AB103" s="64">
        <v>126.9</v>
      </c>
      <c r="AC103" s="64">
        <v>126.9</v>
      </c>
      <c r="AD103" s="64">
        <v>126.9</v>
      </c>
      <c r="AE103" s="64">
        <v>126.9</v>
      </c>
      <c r="AF103" s="64">
        <v>128.1</v>
      </c>
      <c r="AG103" s="103"/>
      <c r="AH103" s="47">
        <f t="shared" si="29"/>
        <v>130.5</v>
      </c>
      <c r="AI103" s="48">
        <f t="shared" si="30"/>
        <v>124.7</v>
      </c>
    </row>
    <row r="104" spans="1:37" x14ac:dyDescent="0.25">
      <c r="A104" s="102" t="s">
        <v>112</v>
      </c>
      <c r="B104" s="64">
        <v>129.19999999999999</v>
      </c>
      <c r="C104" s="64">
        <v>130.9</v>
      </c>
      <c r="D104" s="64">
        <v>130.30000000000001</v>
      </c>
      <c r="E104" s="64">
        <v>131.5</v>
      </c>
      <c r="F104" s="64">
        <v>131.19999999999999</v>
      </c>
      <c r="G104" s="64">
        <v>131.1</v>
      </c>
      <c r="H104" s="64">
        <v>130.19999999999999</v>
      </c>
      <c r="I104" s="64">
        <v>129.5</v>
      </c>
      <c r="J104" s="64">
        <v>126.8</v>
      </c>
      <c r="K104" s="64">
        <v>128.80000000000001</v>
      </c>
      <c r="L104" s="64">
        <v>128.1</v>
      </c>
      <c r="M104" s="64">
        <v>129.69999999999999</v>
      </c>
      <c r="N104" s="64">
        <v>128.6</v>
      </c>
      <c r="O104" s="64">
        <v>128.6</v>
      </c>
      <c r="P104" s="64">
        <v>127.1</v>
      </c>
      <c r="Q104" s="64">
        <v>127.8</v>
      </c>
      <c r="R104" s="64">
        <v>128.1</v>
      </c>
      <c r="S104" s="64">
        <v>129.6</v>
      </c>
      <c r="T104" s="64"/>
      <c r="U104" s="64">
        <v>125.4</v>
      </c>
      <c r="V104" s="64">
        <v>125.4</v>
      </c>
      <c r="W104" s="64">
        <v>125.4</v>
      </c>
      <c r="X104" s="64">
        <v>131.1</v>
      </c>
      <c r="Y104" s="64">
        <v>127.5</v>
      </c>
      <c r="Z104" s="64">
        <v>128.5</v>
      </c>
      <c r="AA104" s="64">
        <v>127.7</v>
      </c>
      <c r="AB104" s="64">
        <v>130</v>
      </c>
      <c r="AC104" s="64">
        <v>130</v>
      </c>
      <c r="AD104" s="64">
        <v>130</v>
      </c>
      <c r="AE104" s="64">
        <v>130</v>
      </c>
      <c r="AF104" s="64">
        <v>128</v>
      </c>
      <c r="AG104" s="103"/>
      <c r="AH104" s="47">
        <f t="shared" si="29"/>
        <v>131.5</v>
      </c>
      <c r="AI104" s="48">
        <f t="shared" si="30"/>
        <v>125.4</v>
      </c>
    </row>
    <row r="105" spans="1:37" x14ac:dyDescent="0.25">
      <c r="A105" s="104" t="s">
        <v>113</v>
      </c>
      <c r="B105" s="64">
        <v>131.19999999999999</v>
      </c>
      <c r="C105" s="64">
        <v>132.69999999999999</v>
      </c>
      <c r="D105" s="64">
        <v>132.4</v>
      </c>
      <c r="E105" s="64">
        <v>133.1</v>
      </c>
      <c r="F105" s="64">
        <v>133.4</v>
      </c>
      <c r="G105" s="64">
        <v>133.5</v>
      </c>
      <c r="H105" s="64">
        <v>132.6</v>
      </c>
      <c r="I105" s="64">
        <v>131.80000000000001</v>
      </c>
      <c r="J105" s="64">
        <v>129.80000000000001</v>
      </c>
      <c r="K105" s="64">
        <v>130.4</v>
      </c>
      <c r="L105" s="64">
        <v>131.19999999999999</v>
      </c>
      <c r="M105" s="64">
        <v>131.19999999999999</v>
      </c>
      <c r="N105" s="64">
        <v>130.5</v>
      </c>
      <c r="O105" s="64">
        <v>130.5</v>
      </c>
      <c r="P105" s="64">
        <v>128.69999999999999</v>
      </c>
      <c r="Q105" s="64">
        <v>129.9</v>
      </c>
      <c r="R105" s="64">
        <v>129</v>
      </c>
      <c r="S105" s="64">
        <v>130.19999999999999</v>
      </c>
      <c r="T105" s="64"/>
      <c r="U105" s="64">
        <v>127</v>
      </c>
      <c r="V105" s="64">
        <v>127</v>
      </c>
      <c r="W105" s="64">
        <v>127</v>
      </c>
      <c r="X105" s="64">
        <v>131.4</v>
      </c>
      <c r="Y105" s="64">
        <v>128.80000000000001</v>
      </c>
      <c r="Z105" s="64">
        <v>129.5</v>
      </c>
      <c r="AA105" s="64">
        <v>128</v>
      </c>
      <c r="AB105" s="64">
        <v>131.80000000000001</v>
      </c>
      <c r="AC105" s="64">
        <v>131.80000000000001</v>
      </c>
      <c r="AD105" s="64">
        <v>131.80000000000001</v>
      </c>
      <c r="AE105" s="64">
        <v>131.80000000000001</v>
      </c>
      <c r="AF105" s="64">
        <v>130.4</v>
      </c>
      <c r="AG105" s="103"/>
      <c r="AH105" s="47">
        <f t="shared" si="29"/>
        <v>133.5</v>
      </c>
      <c r="AI105" s="48">
        <f t="shared" si="30"/>
        <v>127</v>
      </c>
    </row>
    <row r="106" spans="1:37" x14ac:dyDescent="0.25">
      <c r="A106" s="104" t="s">
        <v>114</v>
      </c>
      <c r="B106" s="105">
        <v>133.1</v>
      </c>
      <c r="C106" s="105">
        <v>132.6</v>
      </c>
      <c r="D106" s="105">
        <v>134</v>
      </c>
      <c r="E106" s="105">
        <v>134</v>
      </c>
      <c r="F106" s="105">
        <v>133.80000000000001</v>
      </c>
      <c r="G106" s="105">
        <v>135.19999999999999</v>
      </c>
      <c r="H106" s="105">
        <v>133.80000000000001</v>
      </c>
      <c r="I106" s="105">
        <v>134.80000000000001</v>
      </c>
      <c r="J106" s="105">
        <v>132.19999999999999</v>
      </c>
      <c r="K106" s="105">
        <v>132</v>
      </c>
      <c r="L106" s="105">
        <v>129.6</v>
      </c>
      <c r="M106" s="105">
        <v>133.4</v>
      </c>
      <c r="N106" s="105">
        <v>134</v>
      </c>
      <c r="O106" s="105">
        <v>134</v>
      </c>
      <c r="P106" s="105">
        <v>129.1</v>
      </c>
      <c r="Q106" s="105">
        <v>127.5</v>
      </c>
      <c r="R106" s="105">
        <v>133</v>
      </c>
      <c r="S106" s="105">
        <v>133.5</v>
      </c>
      <c r="T106" s="105"/>
      <c r="U106" s="105">
        <v>137.69999999999999</v>
      </c>
      <c r="V106" s="105">
        <v>137.69999999999999</v>
      </c>
      <c r="W106" s="105">
        <v>137.69999999999999</v>
      </c>
      <c r="X106" s="105">
        <v>133.30000000000001</v>
      </c>
      <c r="Y106" s="105">
        <v>128.9</v>
      </c>
      <c r="Z106" s="105">
        <v>130.6</v>
      </c>
      <c r="AA106" s="105">
        <v>132</v>
      </c>
      <c r="AB106" s="105">
        <v>130.5</v>
      </c>
      <c r="AC106" s="105">
        <v>130.5</v>
      </c>
      <c r="AD106" s="105">
        <v>130.5</v>
      </c>
      <c r="AE106" s="105">
        <v>130.5</v>
      </c>
      <c r="AF106" s="105">
        <v>129.9</v>
      </c>
      <c r="AG106" s="106"/>
      <c r="AH106" s="47">
        <f t="shared" si="29"/>
        <v>137.69999999999999</v>
      </c>
      <c r="AI106" s="48">
        <f t="shared" si="30"/>
        <v>127.5</v>
      </c>
    </row>
    <row r="107" spans="1:37" x14ac:dyDescent="0.25">
      <c r="A107" s="102" t="s">
        <v>115</v>
      </c>
      <c r="B107" s="64">
        <v>130.69999999999999</v>
      </c>
      <c r="C107" s="64">
        <v>132.6</v>
      </c>
      <c r="D107" s="64">
        <v>131.4</v>
      </c>
      <c r="E107" s="64">
        <v>132.4</v>
      </c>
      <c r="F107" s="64">
        <v>133.19999999999999</v>
      </c>
      <c r="G107" s="64">
        <v>132.1</v>
      </c>
      <c r="H107" s="64">
        <v>132.30000000000001</v>
      </c>
      <c r="I107" s="64">
        <v>134.19999999999999</v>
      </c>
      <c r="J107" s="64">
        <v>130.5</v>
      </c>
      <c r="K107" s="64">
        <v>133.5</v>
      </c>
      <c r="L107" s="64">
        <v>133.9</v>
      </c>
      <c r="M107" s="64">
        <v>128.4</v>
      </c>
      <c r="N107" s="64">
        <v>127.8</v>
      </c>
      <c r="O107" s="64">
        <v>127.8</v>
      </c>
      <c r="P107" s="64">
        <v>130.80000000000001</v>
      </c>
      <c r="Q107" s="64">
        <v>125</v>
      </c>
      <c r="R107" s="64">
        <v>130.6</v>
      </c>
      <c r="S107" s="64">
        <v>132.4</v>
      </c>
      <c r="T107" s="64"/>
      <c r="U107" s="64">
        <v>131.4</v>
      </c>
      <c r="V107" s="64">
        <v>131.4</v>
      </c>
      <c r="W107" s="64">
        <v>131.4</v>
      </c>
      <c r="X107" s="64">
        <v>130.69999999999999</v>
      </c>
      <c r="Y107" s="64">
        <v>130.30000000000001</v>
      </c>
      <c r="Z107" s="64">
        <v>133.69999999999999</v>
      </c>
      <c r="AA107" s="64">
        <v>126</v>
      </c>
      <c r="AB107" s="64">
        <v>128.6</v>
      </c>
      <c r="AC107" s="64">
        <v>128.6</v>
      </c>
      <c r="AD107" s="64">
        <v>128.6</v>
      </c>
      <c r="AE107" s="64">
        <v>128.6</v>
      </c>
      <c r="AF107" s="64">
        <v>127.2</v>
      </c>
      <c r="AG107" s="103"/>
      <c r="AH107" s="47">
        <f t="shared" si="29"/>
        <v>134.19999999999999</v>
      </c>
      <c r="AI107" s="48">
        <f t="shared" si="30"/>
        <v>125</v>
      </c>
    </row>
    <row r="108" spans="1:37" ht="15.75" thickBot="1" x14ac:dyDescent="0.3">
      <c r="A108" s="102" t="s">
        <v>116</v>
      </c>
      <c r="B108" s="91">
        <v>65.5</v>
      </c>
      <c r="C108" s="91">
        <v>65.2</v>
      </c>
      <c r="D108" s="91">
        <v>65.3</v>
      </c>
      <c r="E108" s="91">
        <v>65.3</v>
      </c>
      <c r="F108" s="91">
        <v>65.3</v>
      </c>
      <c r="G108" s="91">
        <v>65.5</v>
      </c>
      <c r="H108" s="91">
        <v>64.7</v>
      </c>
      <c r="I108" s="91">
        <v>64.8</v>
      </c>
      <c r="J108" s="91">
        <v>63.9</v>
      </c>
      <c r="K108" s="91">
        <v>64</v>
      </c>
      <c r="L108" s="91">
        <v>62.6</v>
      </c>
      <c r="M108" s="91">
        <v>63.6</v>
      </c>
      <c r="N108" s="91">
        <v>63.4</v>
      </c>
      <c r="O108" s="91">
        <v>63.4</v>
      </c>
      <c r="P108" s="91">
        <v>62.6</v>
      </c>
      <c r="Q108" s="91">
        <v>62.6</v>
      </c>
      <c r="R108" s="91">
        <v>63.2</v>
      </c>
      <c r="S108" s="91">
        <v>63.1</v>
      </c>
      <c r="T108" s="91"/>
      <c r="U108" s="91">
        <v>64.099999999999994</v>
      </c>
      <c r="V108" s="91">
        <v>64.099999999999994</v>
      </c>
      <c r="W108" s="91">
        <v>62.5</v>
      </c>
      <c r="X108" s="91">
        <v>63</v>
      </c>
      <c r="Y108" s="91">
        <v>63.2</v>
      </c>
      <c r="Z108" s="91">
        <v>63.2</v>
      </c>
      <c r="AA108" s="91">
        <v>63.1</v>
      </c>
      <c r="AB108" s="91">
        <v>64</v>
      </c>
      <c r="AC108" s="91">
        <v>64</v>
      </c>
      <c r="AD108" s="91">
        <v>64</v>
      </c>
      <c r="AE108" s="91">
        <v>64</v>
      </c>
      <c r="AF108" s="91">
        <v>64.599999999999994</v>
      </c>
      <c r="AG108" s="107"/>
      <c r="AH108" s="47">
        <f t="shared" si="29"/>
        <v>65.5</v>
      </c>
      <c r="AI108" s="48">
        <f t="shared" si="30"/>
        <v>62.5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 t="s">
        <v>272</v>
      </c>
      <c r="AB109" s="91"/>
      <c r="AC109" s="91"/>
      <c r="AD109" s="91"/>
      <c r="AE109" s="91"/>
      <c r="AF109" s="91"/>
      <c r="AG109" s="107"/>
      <c r="AH109" s="47">
        <f t="shared" si="29"/>
        <v>0</v>
      </c>
      <c r="AI109" s="48">
        <f t="shared" si="30"/>
        <v>0</v>
      </c>
    </row>
    <row r="110" spans="1:37" ht="15.75" thickBot="1" x14ac:dyDescent="0.3">
      <c r="A110" s="109" t="s">
        <v>118</v>
      </c>
      <c r="B110" s="110">
        <f t="shared" ref="B110:N110" si="59">SUM(B20,B26,B29:B30,B58,B60:B61,B63,B65,B111:B115,B138,B144,B150,B159,B161,B173,B180,B183:B184,B191,B193,B195,B199:B201,B203:B205,B210,B216:B217,B219:B221,B229,B234)</f>
        <v>38.000000000000014</v>
      </c>
      <c r="C110" s="110">
        <f t="shared" si="59"/>
        <v>38.840000000000003</v>
      </c>
      <c r="D110" s="110">
        <f t="shared" si="59"/>
        <v>33.340000000000011</v>
      </c>
      <c r="E110" s="110">
        <f t="shared" si="59"/>
        <v>23.039999999999992</v>
      </c>
      <c r="F110" s="110">
        <f t="shared" si="59"/>
        <v>18.240000000000013</v>
      </c>
      <c r="G110" s="110">
        <f t="shared" si="59"/>
        <v>36.74</v>
      </c>
      <c r="H110" s="110">
        <f t="shared" si="59"/>
        <v>50.840000000000032</v>
      </c>
      <c r="I110" s="110">
        <f t="shared" si="59"/>
        <v>83.340000000000018</v>
      </c>
      <c r="J110" s="110">
        <f t="shared" si="59"/>
        <v>118.94000000000003</v>
      </c>
      <c r="K110" s="110">
        <f t="shared" si="59"/>
        <v>145.94000000000003</v>
      </c>
      <c r="L110" s="110">
        <f t="shared" si="59"/>
        <v>186.04</v>
      </c>
      <c r="M110" s="110">
        <f t="shared" si="59"/>
        <v>186.04000000000002</v>
      </c>
      <c r="N110" s="110">
        <f t="shared" si="59"/>
        <v>160.44000000000003</v>
      </c>
      <c r="O110" s="110">
        <f t="shared" ref="O110:P110" si="60">SUM(O20,O26,O29:O30,O58,O60:O61,O63,O65,O111:O115,O138,O144,O150,O159,O161,O173,O180,O183:O184,O191,O193,O195,O199:O201,O203:O205,O210,O216:O217,O219:O221,O229,O234)</f>
        <v>160.44000000000003</v>
      </c>
      <c r="P110" s="110">
        <f t="shared" si="60"/>
        <v>198.74</v>
      </c>
      <c r="Q110" s="110">
        <f t="shared" ref="Q110" si="61">SUM(Q20,Q26,Q29:Q30,Q58,Q60:Q61,Q63,Q65,Q111:Q115,Q138,Q144,Q150,Q159,Q161,Q173,Q180,Q183:Q184,Q191,Q193,Q195,Q199:Q201,Q203:Q205,Q210,Q216:Q217,Q219:Q221,Q229,Q234)</f>
        <v>196.39999999999998</v>
      </c>
      <c r="R110" s="110">
        <f t="shared" ref="R110:AC110" si="62">SUM(R20,R26,R29:R30,R58,R60:R61,R63,R65,R111:R115,R138,R144,R150,R159,R161,R173,R180,R183:R184,R191,R193,R195,R199:R201,R203:R205,R210,R216:R217,R219:R221,R229,R234)</f>
        <v>188.49999999999997</v>
      </c>
      <c r="S110" s="110">
        <f t="shared" si="62"/>
        <v>180.80000000000004</v>
      </c>
      <c r="T110" s="110"/>
      <c r="U110" s="110">
        <f t="shared" ref="U110" si="63">SUM(U20,U26,U29:U30,U58,U60:U61,U63,U65,U111:U115,U138,U144,U150,U159,U161,U173,U180,U183:U184,U191,U193,U195,U199:U201,U203:U205,U210,U216:U217,U219:U221,U229,U234)</f>
        <v>448.2</v>
      </c>
      <c r="V110" s="110">
        <f t="shared" si="62"/>
        <v>207.6</v>
      </c>
      <c r="W110" s="110">
        <f t="shared" si="62"/>
        <v>261.39999999999998</v>
      </c>
      <c r="X110" s="110">
        <f t="shared" si="62"/>
        <v>278.5</v>
      </c>
      <c r="Y110" s="110">
        <f t="shared" si="62"/>
        <v>254.20000000000002</v>
      </c>
      <c r="Z110" s="110">
        <f t="shared" si="62"/>
        <v>229.79999999999998</v>
      </c>
      <c r="AA110" s="110">
        <v>282.83999999999997</v>
      </c>
      <c r="AB110" s="110">
        <f t="shared" si="62"/>
        <v>198.60000000000002</v>
      </c>
      <c r="AC110" s="110">
        <f t="shared" si="62"/>
        <v>191.79999999999998</v>
      </c>
      <c r="AD110" s="110">
        <f t="shared" ref="AD110:AE110" si="64">SUM(AD20,AD26,AD29:AD30,AD58,AD60:AD61,AD63,AD65,AD111:AD115,AD138,AD144,AD150,AD159,AD161,AD173,AD180,AD183:AD184,AD191,AD193,AD195,AD199:AD201,AD203:AD205,AD210,AD216:AD217,AD219:AD221,AD229,AD234)</f>
        <v>183</v>
      </c>
      <c r="AE110" s="110">
        <f t="shared" si="64"/>
        <v>117.39999999999999</v>
      </c>
      <c r="AF110" s="110">
        <f t="shared" ref="AF110" si="65">SUM(AF20,AF26,AF29:AF30,AF58,AF60:AF61,AF63,AF65,AF111:AF115,AF138,AF144,AF150,AF159,AF161,AF173,AF180,AF183:AF184,AF191,AF193,AF195,AF199:AF201,AF203:AF205,AF210,AF216:AF217,AF219:AF221,AF229,AF234)</f>
        <v>81.599999999999994</v>
      </c>
      <c r="AG110" s="111"/>
      <c r="AH110" s="47">
        <f t="shared" si="29"/>
        <v>448.2</v>
      </c>
      <c r="AI110" s="48">
        <f t="shared" si="30"/>
        <v>18.240000000000013</v>
      </c>
    </row>
    <row r="111" spans="1:37" x14ac:dyDescent="0.25">
      <c r="A111" s="99" t="s">
        <v>119</v>
      </c>
      <c r="B111" s="112">
        <v>20.3</v>
      </c>
      <c r="C111" s="112">
        <v>18.600000000000001</v>
      </c>
      <c r="D111" s="112">
        <v>20.8</v>
      </c>
      <c r="E111" s="112">
        <v>16</v>
      </c>
      <c r="F111" s="112">
        <v>18.3</v>
      </c>
      <c r="G111" s="112">
        <v>23</v>
      </c>
      <c r="H111" s="112">
        <v>27.8</v>
      </c>
      <c r="I111" s="112">
        <v>30</v>
      </c>
      <c r="J111" s="112">
        <v>34.9</v>
      </c>
      <c r="K111" s="112">
        <v>36</v>
      </c>
      <c r="L111" s="112">
        <v>53</v>
      </c>
      <c r="M111" s="112">
        <v>42.5</v>
      </c>
      <c r="N111" s="112">
        <v>32.299999999999997</v>
      </c>
      <c r="O111" s="112">
        <v>32.299999999999997</v>
      </c>
      <c r="P111" s="112">
        <v>39.9</v>
      </c>
      <c r="Q111" s="112">
        <v>35.9</v>
      </c>
      <c r="R111" s="112">
        <v>35.200000000000003</v>
      </c>
      <c r="S111" s="112">
        <v>36.700000000000003</v>
      </c>
      <c r="T111" s="112"/>
      <c r="U111" s="112">
        <v>75.3</v>
      </c>
      <c r="V111" s="112">
        <v>31.3</v>
      </c>
      <c r="W111" s="112">
        <v>35.299999999999997</v>
      </c>
      <c r="X111" s="112">
        <v>34.5</v>
      </c>
      <c r="Y111" s="112">
        <v>54.3</v>
      </c>
      <c r="Z111" s="112">
        <v>55.3</v>
      </c>
      <c r="AA111" s="112">
        <v>56.5</v>
      </c>
      <c r="AB111" s="112">
        <v>48.6</v>
      </c>
      <c r="AC111" s="112">
        <v>43.6</v>
      </c>
      <c r="AD111" s="112">
        <v>47.6</v>
      </c>
      <c r="AE111" s="112">
        <v>33.299999999999997</v>
      </c>
      <c r="AF111" s="112">
        <v>28.2</v>
      </c>
      <c r="AG111" s="113">
        <v>75</v>
      </c>
      <c r="AH111" s="47">
        <f t="shared" si="29"/>
        <v>75.3</v>
      </c>
      <c r="AI111" s="48">
        <f t="shared" si="30"/>
        <v>16</v>
      </c>
    </row>
    <row r="112" spans="1:37" x14ac:dyDescent="0.25">
      <c r="A112" s="102" t="s">
        <v>120</v>
      </c>
      <c r="B112" s="114">
        <v>28</v>
      </c>
      <c r="C112" s="114">
        <v>25.9</v>
      </c>
      <c r="D112" s="114">
        <v>28.6</v>
      </c>
      <c r="E112" s="114">
        <v>21</v>
      </c>
      <c r="F112" s="114">
        <v>25.3</v>
      </c>
      <c r="G112" s="114">
        <v>31.1</v>
      </c>
      <c r="H112" s="114">
        <v>36.5</v>
      </c>
      <c r="I112" s="114">
        <v>39.299999999999997</v>
      </c>
      <c r="J112" s="114">
        <v>46.6</v>
      </c>
      <c r="K112" s="114">
        <v>46.8</v>
      </c>
      <c r="L112" s="114">
        <v>75</v>
      </c>
      <c r="M112" s="114">
        <v>56.4</v>
      </c>
      <c r="N112" s="114">
        <v>40.299999999999997</v>
      </c>
      <c r="O112" s="114">
        <v>40.299999999999997</v>
      </c>
      <c r="P112" s="114">
        <v>53.1</v>
      </c>
      <c r="Q112" s="114">
        <v>48.1</v>
      </c>
      <c r="R112" s="114">
        <v>45</v>
      </c>
      <c r="S112" s="114">
        <v>46.7</v>
      </c>
      <c r="T112" s="114"/>
      <c r="U112" s="114">
        <v>105.5</v>
      </c>
      <c r="V112" s="114">
        <v>42</v>
      </c>
      <c r="W112" s="114">
        <v>44.7</v>
      </c>
      <c r="X112" s="114">
        <v>42.9</v>
      </c>
      <c r="Y112" s="114">
        <v>74.3</v>
      </c>
      <c r="Z112" s="114">
        <v>78</v>
      </c>
      <c r="AA112" s="114">
        <v>82.5</v>
      </c>
      <c r="AB112" s="114">
        <v>70</v>
      </c>
      <c r="AC112" s="114">
        <v>61.3</v>
      </c>
      <c r="AD112" s="114">
        <v>68.400000000000006</v>
      </c>
      <c r="AE112" s="114">
        <v>47.6</v>
      </c>
      <c r="AF112" s="114">
        <v>42.5</v>
      </c>
      <c r="AG112" s="113">
        <v>240</v>
      </c>
      <c r="AH112" s="47">
        <f t="shared" si="29"/>
        <v>105.5</v>
      </c>
      <c r="AI112" s="48">
        <f t="shared" si="30"/>
        <v>21</v>
      </c>
    </row>
    <row r="113" spans="1:37" x14ac:dyDescent="0.25">
      <c r="A113" s="102" t="s">
        <v>121</v>
      </c>
      <c r="B113" s="114">
        <v>-140</v>
      </c>
      <c r="C113" s="114">
        <v>-135</v>
      </c>
      <c r="D113" s="114">
        <v>-140</v>
      </c>
      <c r="E113" s="114">
        <f>-66.4-71.9</f>
        <v>-138.30000000000001</v>
      </c>
      <c r="F113" s="114">
        <f>-70.7-75.6</f>
        <v>-146.30000000000001</v>
      </c>
      <c r="G113" s="114">
        <f>-64-68.2</f>
        <v>-132.19999999999999</v>
      </c>
      <c r="H113" s="114">
        <f>-59.3-64.1</f>
        <v>-123.39999999999999</v>
      </c>
      <c r="I113" s="114">
        <f>-54-57.9</f>
        <v>-111.9</v>
      </c>
      <c r="J113" s="114">
        <f>-48.8-53.9</f>
        <v>-102.69999999999999</v>
      </c>
      <c r="K113" s="114">
        <f>-40.2-43.4</f>
        <v>-83.6</v>
      </c>
      <c r="L113" s="114">
        <f>-47.4-51</f>
        <v>-98.4</v>
      </c>
      <c r="M113" s="114">
        <v>-72.599999999999994</v>
      </c>
      <c r="N113" s="114">
        <v>-63</v>
      </c>
      <c r="O113" s="114">
        <v>-63</v>
      </c>
      <c r="P113" s="114">
        <v>-70.8</v>
      </c>
      <c r="Q113" s="114">
        <v>-65.900000000000006</v>
      </c>
      <c r="R113" s="114">
        <v>-60</v>
      </c>
      <c r="S113" s="114">
        <f>-30-32.2</f>
        <v>-62.2</v>
      </c>
      <c r="T113" s="114"/>
      <c r="U113" s="114">
        <v>124.5</v>
      </c>
      <c r="V113" s="114" t="s">
        <v>297</v>
      </c>
      <c r="W113" s="114">
        <f>23.8+24.9</f>
        <v>48.7</v>
      </c>
      <c r="X113" s="114">
        <f>16.5+18.1</f>
        <v>34.6</v>
      </c>
      <c r="Y113" s="114">
        <f>-19.2-21</f>
        <v>-40.200000000000003</v>
      </c>
      <c r="Z113" s="114">
        <f>-31.2-33.6</f>
        <v>-64.8</v>
      </c>
      <c r="AA113" s="114">
        <v>-87</v>
      </c>
      <c r="AB113" s="114">
        <v>-102</v>
      </c>
      <c r="AC113" s="114">
        <v>-95</v>
      </c>
      <c r="AD113" s="114">
        <v>-107.6</v>
      </c>
      <c r="AE113" s="114">
        <v>-120</v>
      </c>
      <c r="AF113" s="114">
        <v>-145</v>
      </c>
      <c r="AG113" s="113">
        <v>240</v>
      </c>
      <c r="AH113" s="47">
        <f t="shared" si="29"/>
        <v>124.5</v>
      </c>
      <c r="AI113" s="48">
        <f t="shared" si="30"/>
        <v>-146.30000000000001</v>
      </c>
    </row>
    <row r="114" spans="1:37" x14ac:dyDescent="0.25">
      <c r="A114" s="102" t="s">
        <v>122</v>
      </c>
      <c r="B114" s="114">
        <v>-6</v>
      </c>
      <c r="C114" s="114">
        <v>-7.5</v>
      </c>
      <c r="D114" s="114">
        <v>-8</v>
      </c>
      <c r="E114" s="114">
        <v>-7.7</v>
      </c>
      <c r="F114" s="114">
        <v>-9.6</v>
      </c>
      <c r="G114" s="114">
        <v>-6.6</v>
      </c>
      <c r="H114" s="114">
        <v>-11.8</v>
      </c>
      <c r="I114" s="114">
        <v>-8.3000000000000007</v>
      </c>
      <c r="J114" s="114">
        <v>-3.6</v>
      </c>
      <c r="K114" s="114">
        <v>3</v>
      </c>
      <c r="L114" s="114">
        <v>-13.4</v>
      </c>
      <c r="M114" s="114">
        <v>-6.9</v>
      </c>
      <c r="N114" s="114">
        <v>4.2</v>
      </c>
      <c r="O114" s="114">
        <v>4.2</v>
      </c>
      <c r="P114" s="114">
        <v>8.1</v>
      </c>
      <c r="Q114" s="114">
        <v>10</v>
      </c>
      <c r="R114" s="114">
        <v>5.7</v>
      </c>
      <c r="S114" s="114">
        <v>6.1</v>
      </c>
      <c r="T114" s="114"/>
      <c r="U114" s="114">
        <v>13.3</v>
      </c>
      <c r="V114" s="114">
        <v>15.9</v>
      </c>
      <c r="W114" s="114">
        <v>14.5</v>
      </c>
      <c r="X114" s="114">
        <v>14.7</v>
      </c>
      <c r="Y114" s="114">
        <v>15.2</v>
      </c>
      <c r="Z114" s="114">
        <v>10.6</v>
      </c>
      <c r="AA114" s="114">
        <v>6.9</v>
      </c>
      <c r="AB114" s="114">
        <v>6.5</v>
      </c>
      <c r="AC114" s="114">
        <v>6.4</v>
      </c>
      <c r="AD114" s="114">
        <v>0</v>
      </c>
      <c r="AE114" s="114">
        <v>-6.8</v>
      </c>
      <c r="AF114" s="114">
        <v>-7.4</v>
      </c>
      <c r="AG114" s="113">
        <v>60</v>
      </c>
      <c r="AH114" s="47">
        <f t="shared" si="29"/>
        <v>15.9</v>
      </c>
      <c r="AI114" s="48">
        <f t="shared" si="30"/>
        <v>-13.4</v>
      </c>
    </row>
    <row r="115" spans="1:37" x14ac:dyDescent="0.25">
      <c r="A115" s="115" t="s">
        <v>123</v>
      </c>
      <c r="B115" s="116">
        <v>1.8</v>
      </c>
      <c r="C115" s="116">
        <v>2</v>
      </c>
      <c r="D115" s="116">
        <v>2.1</v>
      </c>
      <c r="E115" s="116">
        <v>2.1</v>
      </c>
      <c r="F115" s="116">
        <v>2.1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8.9</v>
      </c>
      <c r="M115" s="116">
        <v>12</v>
      </c>
      <c r="N115" s="116">
        <v>11.4</v>
      </c>
      <c r="O115" s="116">
        <v>11.4</v>
      </c>
      <c r="P115" s="116">
        <v>12.6</v>
      </c>
      <c r="Q115" s="116">
        <v>12.5</v>
      </c>
      <c r="R115" s="116">
        <v>7.6</v>
      </c>
      <c r="S115" s="116">
        <v>7.8</v>
      </c>
      <c r="T115" s="116"/>
      <c r="U115" s="116">
        <v>18.399999999999999</v>
      </c>
      <c r="V115" s="116">
        <v>7.2</v>
      </c>
      <c r="W115" s="116">
        <v>7</v>
      </c>
      <c r="X115" s="116">
        <v>6.3</v>
      </c>
      <c r="Y115" s="116">
        <v>5.0999999999999996</v>
      </c>
      <c r="Z115" s="116">
        <v>5</v>
      </c>
      <c r="AA115" s="116">
        <v>19.600000000000001</v>
      </c>
      <c r="AB115" s="116">
        <v>6.5</v>
      </c>
      <c r="AC115" s="116">
        <v>6.5</v>
      </c>
      <c r="AD115" s="116">
        <v>5.6</v>
      </c>
      <c r="AE115" s="116">
        <v>6.4</v>
      </c>
      <c r="AF115" s="116">
        <v>6.4</v>
      </c>
      <c r="AG115" s="117">
        <v>120</v>
      </c>
      <c r="AH115" s="47">
        <f t="shared" si="29"/>
        <v>19.600000000000001</v>
      </c>
      <c r="AI115" s="48">
        <f t="shared" si="30"/>
        <v>0</v>
      </c>
    </row>
    <row r="116" spans="1:37" x14ac:dyDescent="0.25">
      <c r="A116" s="115" t="s">
        <v>124</v>
      </c>
      <c r="B116" s="116">
        <v>27</v>
      </c>
      <c r="C116" s="116">
        <v>43</v>
      </c>
      <c r="D116" s="116">
        <v>27</v>
      </c>
      <c r="E116" s="116">
        <v>39</v>
      </c>
      <c r="F116" s="116">
        <v>29.9</v>
      </c>
      <c r="G116" s="116">
        <v>27</v>
      </c>
      <c r="H116" s="116">
        <v>22.5</v>
      </c>
      <c r="I116" s="116">
        <v>30.4</v>
      </c>
      <c r="J116" s="116">
        <v>31.4</v>
      </c>
      <c r="K116" s="116">
        <v>40.5</v>
      </c>
      <c r="L116" s="116">
        <v>30.2</v>
      </c>
      <c r="M116" s="116">
        <v>49.5</v>
      </c>
      <c r="N116" s="116">
        <v>79.2</v>
      </c>
      <c r="O116" s="116">
        <v>79.2</v>
      </c>
      <c r="P116" s="116">
        <v>56.1</v>
      </c>
      <c r="Q116" s="116">
        <v>68.3</v>
      </c>
      <c r="R116" s="116">
        <v>72.400000000000006</v>
      </c>
      <c r="S116" s="116">
        <v>66.7</v>
      </c>
      <c r="T116" s="116"/>
      <c r="U116" s="116">
        <v>34.4</v>
      </c>
      <c r="V116" s="116">
        <v>83.4</v>
      </c>
      <c r="W116" s="116">
        <v>64</v>
      </c>
      <c r="X116" s="116">
        <v>77.599999999999994</v>
      </c>
      <c r="Y116" s="116">
        <v>73.400000000000006</v>
      </c>
      <c r="Z116" s="116">
        <v>39.6</v>
      </c>
      <c r="AA116" s="116">
        <v>33</v>
      </c>
      <c r="AB116" s="116">
        <v>30.9</v>
      </c>
      <c r="AC116" s="116">
        <v>44.3</v>
      </c>
      <c r="AD116" s="116">
        <v>33.5</v>
      </c>
      <c r="AE116" s="116">
        <v>40</v>
      </c>
      <c r="AF116" s="116">
        <v>40</v>
      </c>
      <c r="AG116" s="117"/>
      <c r="AH116" s="47">
        <f t="shared" si="29"/>
        <v>83.4</v>
      </c>
      <c r="AI116" s="48">
        <f t="shared" si="30"/>
        <v>22.5</v>
      </c>
    </row>
    <row r="117" spans="1:37" x14ac:dyDescent="0.25">
      <c r="A117" s="115" t="s">
        <v>125</v>
      </c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8"/>
      <c r="AH117" s="47">
        <f t="shared" si="29"/>
        <v>0</v>
      </c>
      <c r="AI117" s="48">
        <f t="shared" si="30"/>
        <v>0</v>
      </c>
    </row>
    <row r="118" spans="1:37" x14ac:dyDescent="0.25">
      <c r="A118" s="119" t="s">
        <v>126</v>
      </c>
      <c r="B118" s="105">
        <v>44</v>
      </c>
      <c r="C118" s="105">
        <v>45.2</v>
      </c>
      <c r="D118" s="105">
        <v>48</v>
      </c>
      <c r="E118" s="105">
        <v>47.7</v>
      </c>
      <c r="F118" s="105">
        <v>49.4</v>
      </c>
      <c r="G118" s="105">
        <v>51.8</v>
      </c>
      <c r="H118" s="105">
        <v>52.9</v>
      </c>
      <c r="I118" s="105">
        <v>54.6</v>
      </c>
      <c r="J118" s="105">
        <v>51.9</v>
      </c>
      <c r="K118" s="105">
        <v>50.2</v>
      </c>
      <c r="L118" s="105">
        <v>46</v>
      </c>
      <c r="M118" s="105">
        <v>31.5</v>
      </c>
      <c r="N118" s="105">
        <v>42.5</v>
      </c>
      <c r="O118" s="105">
        <v>42.5</v>
      </c>
      <c r="P118" s="105">
        <v>35</v>
      </c>
      <c r="Q118" s="105">
        <v>34.6</v>
      </c>
      <c r="R118" s="105">
        <v>29</v>
      </c>
      <c r="S118" s="105">
        <v>23.1</v>
      </c>
      <c r="T118" s="105"/>
      <c r="U118" s="105">
        <v>27.7</v>
      </c>
      <c r="V118" s="105">
        <v>24</v>
      </c>
      <c r="W118" s="105">
        <v>26</v>
      </c>
      <c r="X118" s="105">
        <v>29.4</v>
      </c>
      <c r="Y118" s="105">
        <v>17</v>
      </c>
      <c r="Z118" s="105">
        <v>28.2</v>
      </c>
      <c r="AA118" s="105">
        <v>21.6</v>
      </c>
      <c r="AB118" s="105">
        <v>26</v>
      </c>
      <c r="AC118" s="105">
        <v>21.4</v>
      </c>
      <c r="AD118" s="105">
        <v>34.5</v>
      </c>
      <c r="AE118" s="105">
        <v>37.1</v>
      </c>
      <c r="AF118" s="105">
        <v>40.4</v>
      </c>
      <c r="AG118" s="118"/>
      <c r="AH118" s="47">
        <f t="shared" si="29"/>
        <v>54.6</v>
      </c>
      <c r="AI118" s="48">
        <f t="shared" si="30"/>
        <v>17</v>
      </c>
    </row>
    <row r="119" spans="1:37" x14ac:dyDescent="0.25">
      <c r="A119" s="120" t="s">
        <v>127</v>
      </c>
      <c r="B119" s="105">
        <v>99.1</v>
      </c>
      <c r="C119" s="105">
        <v>92.7</v>
      </c>
      <c r="D119" s="105">
        <v>99</v>
      </c>
      <c r="E119" s="105">
        <v>96.8</v>
      </c>
      <c r="F119" s="105">
        <v>99.8</v>
      </c>
      <c r="G119" s="105">
        <v>98.7</v>
      </c>
      <c r="H119" s="105">
        <v>97.9</v>
      </c>
      <c r="I119" s="105">
        <v>87.6</v>
      </c>
      <c r="J119" s="105">
        <v>82.1</v>
      </c>
      <c r="K119" s="105">
        <v>73.8</v>
      </c>
      <c r="L119" s="105">
        <v>83.7</v>
      </c>
      <c r="M119" s="105">
        <v>111.4</v>
      </c>
      <c r="N119" s="105">
        <v>87.4</v>
      </c>
      <c r="O119" s="105">
        <v>87.4</v>
      </c>
      <c r="P119" s="105">
        <v>101.8</v>
      </c>
      <c r="Q119" s="105">
        <v>85.5</v>
      </c>
      <c r="R119" s="105">
        <v>82.2</v>
      </c>
      <c r="S119" s="105">
        <v>82.5</v>
      </c>
      <c r="T119" s="105"/>
      <c r="U119" s="105">
        <v>84.4</v>
      </c>
      <c r="V119" s="105">
        <v>28.7</v>
      </c>
      <c r="W119" s="105">
        <v>63.5</v>
      </c>
      <c r="X119" s="105">
        <v>25.4</v>
      </c>
      <c r="Y119" s="105">
        <v>24.1</v>
      </c>
      <c r="Z119" s="105">
        <v>63.3</v>
      </c>
      <c r="AA119" s="105">
        <v>78.099999999999994</v>
      </c>
      <c r="AB119" s="105">
        <v>91</v>
      </c>
      <c r="AC119" s="105">
        <v>73.5</v>
      </c>
      <c r="AD119" s="105">
        <v>85.5</v>
      </c>
      <c r="AE119" s="105">
        <v>93.2</v>
      </c>
      <c r="AF119" s="105">
        <v>105.2</v>
      </c>
      <c r="AG119" s="118"/>
      <c r="AH119" s="47">
        <f t="shared" si="29"/>
        <v>111.4</v>
      </c>
      <c r="AI119" s="48">
        <f t="shared" si="30"/>
        <v>24.1</v>
      </c>
    </row>
    <row r="120" spans="1:37" ht="15.75" thickBot="1" x14ac:dyDescent="0.3">
      <c r="A120" s="119" t="s">
        <v>128</v>
      </c>
      <c r="B120" s="105">
        <v>14.2</v>
      </c>
      <c r="C120" s="105">
        <v>14.1</v>
      </c>
      <c r="D120" s="105">
        <v>11</v>
      </c>
      <c r="E120" s="105">
        <v>7.8</v>
      </c>
      <c r="F120" s="105">
        <v>8.5</v>
      </c>
      <c r="G120" s="105">
        <v>-1.6</v>
      </c>
      <c r="H120" s="105">
        <v>-4.7</v>
      </c>
      <c r="I120" s="105">
        <v>-10.9</v>
      </c>
      <c r="J120" s="105">
        <v>-6.9</v>
      </c>
      <c r="K120" s="105">
        <v>-2</v>
      </c>
      <c r="L120" s="105">
        <v>-1.1000000000000001</v>
      </c>
      <c r="M120" s="105">
        <v>9</v>
      </c>
      <c r="N120" s="105">
        <v>-2.4</v>
      </c>
      <c r="O120" s="105">
        <v>-2.4</v>
      </c>
      <c r="P120" s="105">
        <v>20</v>
      </c>
      <c r="Q120" s="105">
        <v>20.9</v>
      </c>
      <c r="R120" s="105">
        <v>23</v>
      </c>
      <c r="S120" s="105">
        <v>28.1</v>
      </c>
      <c r="T120" s="105"/>
      <c r="U120" s="105">
        <v>32.700000000000003</v>
      </c>
      <c r="V120" s="105">
        <v>17.100000000000001</v>
      </c>
      <c r="W120" s="105">
        <v>12.8</v>
      </c>
      <c r="X120" s="105">
        <v>6.4</v>
      </c>
      <c r="Y120" s="105">
        <v>41.8</v>
      </c>
      <c r="Z120" s="105">
        <v>39</v>
      </c>
      <c r="AA120" s="105">
        <v>29</v>
      </c>
      <c r="AB120" s="105">
        <v>23.7</v>
      </c>
      <c r="AC120" s="105">
        <v>25.7</v>
      </c>
      <c r="AD120" s="105">
        <v>22</v>
      </c>
      <c r="AE120" s="105">
        <v>9</v>
      </c>
      <c r="AF120" s="105">
        <v>22</v>
      </c>
      <c r="AG120" s="118"/>
      <c r="AH120" s="47">
        <f t="shared" si="29"/>
        <v>41.8</v>
      </c>
      <c r="AI120" s="48">
        <f t="shared" si="30"/>
        <v>-10.9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66">SUM(B122:B226)</f>
        <v>0</v>
      </c>
      <c r="C227" s="136">
        <f t="shared" si="66"/>
        <v>0</v>
      </c>
      <c r="D227" s="136">
        <f t="shared" si="66"/>
        <v>0</v>
      </c>
      <c r="E227" s="136">
        <f t="shared" si="66"/>
        <v>0</v>
      </c>
      <c r="F227" s="136">
        <f t="shared" si="66"/>
        <v>0</v>
      </c>
      <c r="G227" s="136">
        <f t="shared" si="66"/>
        <v>0</v>
      </c>
      <c r="H227" s="136">
        <f t="shared" si="66"/>
        <v>0</v>
      </c>
      <c r="I227" s="136">
        <f t="shared" si="66"/>
        <v>0</v>
      </c>
      <c r="J227" s="136">
        <f t="shared" si="66"/>
        <v>0</v>
      </c>
      <c r="K227" s="136">
        <f t="shared" si="66"/>
        <v>0</v>
      </c>
      <c r="L227" s="136">
        <f t="shared" si="66"/>
        <v>0</v>
      </c>
      <c r="M227" s="136">
        <f t="shared" si="66"/>
        <v>0</v>
      </c>
      <c r="N227" s="136">
        <f t="shared" si="66"/>
        <v>0</v>
      </c>
      <c r="O227" s="136">
        <f t="shared" si="66"/>
        <v>0</v>
      </c>
      <c r="P227" s="136">
        <f t="shared" si="66"/>
        <v>0</v>
      </c>
      <c r="Q227" s="136">
        <f t="shared" si="66"/>
        <v>0</v>
      </c>
      <c r="R227" s="136">
        <f t="shared" si="66"/>
        <v>0</v>
      </c>
      <c r="S227" s="136">
        <f t="shared" si="66"/>
        <v>0</v>
      </c>
      <c r="T227" s="136">
        <f t="shared" si="66"/>
        <v>0</v>
      </c>
      <c r="U227" s="136">
        <f t="shared" si="66"/>
        <v>0</v>
      </c>
      <c r="V227" s="136">
        <f t="shared" si="66"/>
        <v>0</v>
      </c>
      <c r="W227" s="136">
        <f t="shared" si="66"/>
        <v>0</v>
      </c>
      <c r="X227" s="136">
        <f t="shared" si="66"/>
        <v>0</v>
      </c>
      <c r="Y227" s="136">
        <f t="shared" si="66"/>
        <v>0</v>
      </c>
      <c r="Z227" s="136">
        <f t="shared" si="66"/>
        <v>0</v>
      </c>
      <c r="AA227" s="136">
        <f t="shared" si="66"/>
        <v>0</v>
      </c>
      <c r="AB227" s="136">
        <f t="shared" si="66"/>
        <v>0</v>
      </c>
      <c r="AC227" s="136">
        <f t="shared" si="66"/>
        <v>0</v>
      </c>
      <c r="AD227" s="136">
        <f t="shared" si="66"/>
        <v>0</v>
      </c>
      <c r="AE227" s="136">
        <f t="shared" si="66"/>
        <v>0</v>
      </c>
      <c r="AF227" s="137">
        <f t="shared" si="66"/>
        <v>0</v>
      </c>
      <c r="AG227" s="138">
        <f t="shared" si="66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67">AF229</f>
        <v>0</v>
      </c>
      <c r="C229" s="140">
        <v>0.3</v>
      </c>
      <c r="D229" s="140">
        <f t="shared" ref="D229:P234" si="68">C229</f>
        <v>0.3</v>
      </c>
      <c r="E229" s="140">
        <f t="shared" si="68"/>
        <v>0.3</v>
      </c>
      <c r="F229" s="140">
        <f t="shared" si="68"/>
        <v>0.3</v>
      </c>
      <c r="G229" s="140">
        <f t="shared" si="68"/>
        <v>0.3</v>
      </c>
      <c r="H229" s="140">
        <f t="shared" si="68"/>
        <v>0.3</v>
      </c>
      <c r="I229" s="140">
        <f t="shared" si="68"/>
        <v>0.3</v>
      </c>
      <c r="J229" s="140">
        <f t="shared" si="68"/>
        <v>0.3</v>
      </c>
      <c r="K229" s="140">
        <f t="shared" si="68"/>
        <v>0.3</v>
      </c>
      <c r="L229" s="140">
        <f t="shared" si="68"/>
        <v>0.3</v>
      </c>
      <c r="M229" s="140">
        <f t="shared" si="68"/>
        <v>0.3</v>
      </c>
      <c r="N229" s="140">
        <f t="shared" si="68"/>
        <v>0.3</v>
      </c>
      <c r="O229" s="140">
        <f t="shared" si="68"/>
        <v>0.3</v>
      </c>
      <c r="P229" s="140">
        <f t="shared" si="68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67"/>
        <v>0</v>
      </c>
      <c r="C230" s="128">
        <v>0.4</v>
      </c>
      <c r="D230" s="128">
        <f t="shared" si="68"/>
        <v>0.4</v>
      </c>
      <c r="E230" s="128">
        <f t="shared" si="68"/>
        <v>0.4</v>
      </c>
      <c r="F230" s="128">
        <f t="shared" si="68"/>
        <v>0.4</v>
      </c>
      <c r="G230" s="128">
        <f t="shared" si="68"/>
        <v>0.4</v>
      </c>
      <c r="H230" s="128">
        <f t="shared" si="68"/>
        <v>0.4</v>
      </c>
      <c r="I230" s="128">
        <f t="shared" si="68"/>
        <v>0.4</v>
      </c>
      <c r="J230" s="128">
        <f t="shared" si="68"/>
        <v>0.4</v>
      </c>
      <c r="K230" s="128">
        <f t="shared" si="68"/>
        <v>0.4</v>
      </c>
      <c r="L230" s="128">
        <f t="shared" si="68"/>
        <v>0.4</v>
      </c>
      <c r="M230" s="128">
        <f t="shared" si="68"/>
        <v>0.4</v>
      </c>
      <c r="N230" s="128">
        <f t="shared" si="68"/>
        <v>0.4</v>
      </c>
      <c r="O230" s="128">
        <f t="shared" si="68"/>
        <v>0.4</v>
      </c>
      <c r="P230" s="128">
        <f t="shared" si="68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67"/>
        <v>0</v>
      </c>
      <c r="C231" s="128">
        <v>1.5</v>
      </c>
      <c r="D231" s="128">
        <f t="shared" si="68"/>
        <v>1.5</v>
      </c>
      <c r="E231" s="128">
        <f t="shared" si="68"/>
        <v>1.5</v>
      </c>
      <c r="F231" s="128">
        <f t="shared" si="68"/>
        <v>1.5</v>
      </c>
      <c r="G231" s="128">
        <f t="shared" si="68"/>
        <v>1.5</v>
      </c>
      <c r="H231" s="128">
        <f t="shared" si="68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68"/>
        <v>123.21900000000009</v>
      </c>
      <c r="K231" s="128">
        <f t="shared" ca="1" si="68"/>
        <v>123.21900000000009</v>
      </c>
      <c r="L231" s="128">
        <f t="shared" ca="1" si="68"/>
        <v>123.21900000000009</v>
      </c>
      <c r="M231" s="128">
        <f t="shared" ca="1" si="68"/>
        <v>119.19900000000008</v>
      </c>
      <c r="N231" s="128">
        <f t="shared" ca="1" si="68"/>
        <v>119.19900000000008</v>
      </c>
      <c r="O231" s="128">
        <f t="shared" ca="1" si="68"/>
        <v>119.19900000000008</v>
      </c>
      <c r="P231" s="128">
        <f t="shared" ca="1" si="68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67"/>
        <v>0</v>
      </c>
      <c r="C232" s="128">
        <v>0.3</v>
      </c>
      <c r="D232" s="128">
        <f t="shared" si="68"/>
        <v>0.3</v>
      </c>
      <c r="E232" s="128">
        <f t="shared" si="68"/>
        <v>0.3</v>
      </c>
      <c r="F232" s="128">
        <f t="shared" si="68"/>
        <v>0.3</v>
      </c>
      <c r="G232" s="128">
        <f t="shared" si="68"/>
        <v>0.3</v>
      </c>
      <c r="H232" s="128">
        <f t="shared" si="68"/>
        <v>0.3</v>
      </c>
      <c r="I232" s="128">
        <f t="shared" si="68"/>
        <v>0.3</v>
      </c>
      <c r="J232" s="128">
        <f t="shared" si="68"/>
        <v>0.3</v>
      </c>
      <c r="K232" s="128">
        <f t="shared" si="68"/>
        <v>0.3</v>
      </c>
      <c r="L232" s="128">
        <f t="shared" si="68"/>
        <v>0.3</v>
      </c>
      <c r="M232" s="128">
        <f t="shared" si="68"/>
        <v>0.3</v>
      </c>
      <c r="N232" s="128">
        <f t="shared" si="68"/>
        <v>0.3</v>
      </c>
      <c r="O232" s="128">
        <f t="shared" si="68"/>
        <v>0.3</v>
      </c>
      <c r="P232" s="128">
        <f t="shared" si="68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67"/>
        <v>0</v>
      </c>
      <c r="C233" s="128">
        <v>0.4</v>
      </c>
      <c r="D233" s="128">
        <f t="shared" si="68"/>
        <v>0.4</v>
      </c>
      <c r="E233" s="128">
        <f t="shared" si="68"/>
        <v>0.4</v>
      </c>
      <c r="F233" s="128">
        <f t="shared" si="68"/>
        <v>0.4</v>
      </c>
      <c r="G233" s="128">
        <f t="shared" si="68"/>
        <v>0.4</v>
      </c>
      <c r="H233" s="128">
        <f t="shared" si="68"/>
        <v>0.4</v>
      </c>
      <c r="I233" s="128">
        <f t="shared" si="68"/>
        <v>0.4</v>
      </c>
      <c r="J233" s="128">
        <f t="shared" si="68"/>
        <v>0.4</v>
      </c>
      <c r="K233" s="128">
        <f t="shared" si="68"/>
        <v>0.4</v>
      </c>
      <c r="L233" s="128">
        <f t="shared" si="68"/>
        <v>0.4</v>
      </c>
      <c r="M233" s="128">
        <f t="shared" si="68"/>
        <v>0.4</v>
      </c>
      <c r="N233" s="128">
        <f t="shared" si="68"/>
        <v>0.4</v>
      </c>
      <c r="O233" s="128">
        <f t="shared" si="68"/>
        <v>0.4</v>
      </c>
      <c r="P233" s="128">
        <f t="shared" si="68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67"/>
        <v>0</v>
      </c>
      <c r="C234" s="132">
        <v>0.64</v>
      </c>
      <c r="D234" s="132">
        <f t="shared" si="68"/>
        <v>0.64</v>
      </c>
      <c r="E234" s="132">
        <f t="shared" si="68"/>
        <v>0.64</v>
      </c>
      <c r="F234" s="132">
        <f t="shared" si="68"/>
        <v>0.64</v>
      </c>
      <c r="G234" s="132">
        <f t="shared" si="68"/>
        <v>0.64</v>
      </c>
      <c r="H234" s="132">
        <f t="shared" si="68"/>
        <v>0.64</v>
      </c>
      <c r="I234" s="132">
        <f t="shared" si="68"/>
        <v>0.64</v>
      </c>
      <c r="J234" s="132">
        <f t="shared" si="68"/>
        <v>0.64</v>
      </c>
      <c r="K234" s="132">
        <f t="shared" si="68"/>
        <v>0.64</v>
      </c>
      <c r="L234" s="132">
        <f t="shared" si="68"/>
        <v>0.64</v>
      </c>
      <c r="M234" s="132">
        <f t="shared" si="68"/>
        <v>0.64</v>
      </c>
      <c r="N234" s="132">
        <f t="shared" si="68"/>
        <v>0.64</v>
      </c>
      <c r="O234" s="132">
        <f t="shared" si="68"/>
        <v>0.64</v>
      </c>
      <c r="P234" s="132">
        <f t="shared" si="68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69">SUM(B229:B234)</f>
        <v>0</v>
      </c>
      <c r="C235" s="136">
        <f t="shared" si="69"/>
        <v>3.54</v>
      </c>
      <c r="D235" s="136">
        <f t="shared" si="69"/>
        <v>3.54</v>
      </c>
      <c r="E235" s="136">
        <f t="shared" si="69"/>
        <v>3.54</v>
      </c>
      <c r="F235" s="136">
        <f t="shared" si="69"/>
        <v>3.54</v>
      </c>
      <c r="G235" s="136">
        <f t="shared" si="69"/>
        <v>3.54</v>
      </c>
      <c r="H235" s="136">
        <f t="shared" si="69"/>
        <v>3.54</v>
      </c>
      <c r="I235" s="136">
        <f t="shared" ca="1" si="69"/>
        <v>121.23900000000009</v>
      </c>
      <c r="J235" s="136">
        <f t="shared" ca="1" si="69"/>
        <v>121.23900000000009</v>
      </c>
      <c r="K235" s="136">
        <f t="shared" ca="1" si="69"/>
        <v>121.23900000000009</v>
      </c>
      <c r="L235" s="136">
        <f t="shared" ca="1" si="69"/>
        <v>125.2590000000001</v>
      </c>
      <c r="M235" s="136">
        <f t="shared" ca="1" si="69"/>
        <v>121.23900000000009</v>
      </c>
      <c r="N235" s="136">
        <f t="shared" ca="1" si="69"/>
        <v>121.23900000000009</v>
      </c>
      <c r="O235" s="136">
        <f t="shared" ca="1" si="69"/>
        <v>121.23900000000009</v>
      </c>
      <c r="P235" s="136">
        <f t="shared" ca="1" si="69"/>
        <v>121.23900000000009</v>
      </c>
      <c r="Q235" s="136">
        <f t="shared" si="69"/>
        <v>0</v>
      </c>
      <c r="R235" s="136">
        <f t="shared" si="69"/>
        <v>0</v>
      </c>
      <c r="S235" s="136">
        <f t="shared" si="69"/>
        <v>0</v>
      </c>
      <c r="T235" s="136">
        <f t="shared" si="69"/>
        <v>0</v>
      </c>
      <c r="U235" s="136">
        <f t="shared" si="69"/>
        <v>0</v>
      </c>
      <c r="V235" s="136">
        <f t="shared" si="69"/>
        <v>0</v>
      </c>
      <c r="W235" s="136">
        <f t="shared" si="69"/>
        <v>0</v>
      </c>
      <c r="X235" s="136">
        <f t="shared" si="69"/>
        <v>0</v>
      </c>
      <c r="Y235" s="136">
        <f t="shared" si="69"/>
        <v>0</v>
      </c>
      <c r="Z235" s="136">
        <f t="shared" si="69"/>
        <v>0</v>
      </c>
      <c r="AA235" s="136">
        <f t="shared" si="69"/>
        <v>0</v>
      </c>
      <c r="AB235" s="136">
        <f t="shared" si="69"/>
        <v>0</v>
      </c>
      <c r="AC235" s="136">
        <f t="shared" si="69"/>
        <v>0</v>
      </c>
      <c r="AD235" s="136">
        <f t="shared" si="69"/>
        <v>0</v>
      </c>
      <c r="AE235" s="136">
        <f t="shared" si="69"/>
        <v>0</v>
      </c>
      <c r="AF235" s="136">
        <f t="shared" si="69"/>
        <v>0</v>
      </c>
      <c r="AG235" s="145">
        <f t="shared" si="69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2034.24</v>
      </c>
      <c r="C244" s="161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25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2080/04/25)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2080/04/25)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70">B91</f>
        <v>1880.94</v>
      </c>
      <c r="U249" s="170">
        <f t="shared" si="70"/>
        <v>1865.24</v>
      </c>
      <c r="V249" s="170">
        <f t="shared" si="70"/>
        <v>1856.24</v>
      </c>
      <c r="W249" s="170">
        <f t="shared" si="70"/>
        <v>1867.2400000000002</v>
      </c>
      <c r="X249" s="170">
        <f t="shared" si="70"/>
        <v>1870.2399999999998</v>
      </c>
      <c r="Y249" s="170">
        <f t="shared" si="70"/>
        <v>1862.2399999999998</v>
      </c>
      <c r="Z249" s="170">
        <f t="shared" si="70"/>
        <v>1874.7399999999998</v>
      </c>
      <c r="AA249" s="170">
        <f t="shared" si="70"/>
        <v>1886.5399999999997</v>
      </c>
      <c r="AB249" s="170">
        <f t="shared" si="70"/>
        <v>1938.24</v>
      </c>
      <c r="AC249" s="170">
        <f t="shared" si="70"/>
        <v>1949.24</v>
      </c>
      <c r="AD249" s="170">
        <f t="shared" si="70"/>
        <v>2034.24</v>
      </c>
      <c r="AE249" s="170">
        <f t="shared" si="70"/>
        <v>2013.5400000000002</v>
      </c>
      <c r="AF249" s="170">
        <f t="shared" si="70"/>
        <v>1919.6399999999999</v>
      </c>
      <c r="AG249" s="170">
        <f t="shared" si="70"/>
        <v>1915.6399999999999</v>
      </c>
      <c r="AH249" s="170">
        <f t="shared" si="70"/>
        <v>1986.2399999999998</v>
      </c>
      <c r="AI249" s="170">
        <f t="shared" si="70"/>
        <v>1967.2399999999998</v>
      </c>
      <c r="AJ249" s="170">
        <f t="shared" si="70"/>
        <v>1953.7399999999998</v>
      </c>
      <c r="AK249" s="170">
        <f t="shared" si="70"/>
        <v>1947.74</v>
      </c>
      <c r="AL249" s="170">
        <f t="shared" si="70"/>
        <v>0</v>
      </c>
      <c r="AM249" s="170">
        <f t="shared" si="70"/>
        <v>1713.34</v>
      </c>
      <c r="AN249" s="170">
        <f t="shared" si="70"/>
        <v>2077.44</v>
      </c>
      <c r="AO249" s="170">
        <f t="shared" si="70"/>
        <v>1759.54</v>
      </c>
      <c r="AP249" s="170">
        <f t="shared" si="70"/>
        <v>1868.44</v>
      </c>
      <c r="AQ249" s="170">
        <f t="shared" si="70"/>
        <v>1917.24</v>
      </c>
      <c r="AR249" s="170">
        <f t="shared" si="70"/>
        <v>1986.84</v>
      </c>
      <c r="AS249" s="170">
        <f t="shared" si="70"/>
        <v>2056.34</v>
      </c>
      <c r="AT249" s="170">
        <f t="shared" si="70"/>
        <v>2043.0399999999997</v>
      </c>
      <c r="AU249" s="170">
        <f t="shared" si="70"/>
        <v>2043.7399999999998</v>
      </c>
      <c r="AV249" s="170">
        <f t="shared" si="70"/>
        <v>2024.3399999999997</v>
      </c>
      <c r="AW249" s="170">
        <f t="shared" si="70"/>
        <v>1970.6399999999999</v>
      </c>
      <c r="AX249" s="170">
        <f t="shared" si="70"/>
        <v>1970.6399999999999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71">C234</f>
        <v>0.64</v>
      </c>
      <c r="C270" s="173">
        <f t="shared" si="71"/>
        <v>0.64</v>
      </c>
      <c r="D270" s="173">
        <f t="shared" si="71"/>
        <v>0.64</v>
      </c>
      <c r="E270" s="173">
        <f t="shared" si="71"/>
        <v>0.64</v>
      </c>
      <c r="F270" s="173">
        <f t="shared" si="71"/>
        <v>0.64</v>
      </c>
      <c r="G270" s="173">
        <f t="shared" si="71"/>
        <v>0.64</v>
      </c>
      <c r="H270" s="173">
        <f t="shared" si="71"/>
        <v>0.64</v>
      </c>
      <c r="I270" s="173">
        <f t="shared" si="71"/>
        <v>0.64</v>
      </c>
      <c r="J270" s="173">
        <f t="shared" si="71"/>
        <v>0.64</v>
      </c>
      <c r="K270" s="173">
        <f t="shared" si="71"/>
        <v>0.64</v>
      </c>
      <c r="L270" s="173">
        <f t="shared" si="71"/>
        <v>0.64</v>
      </c>
      <c r="M270" s="173">
        <f t="shared" si="71"/>
        <v>0.64</v>
      </c>
      <c r="N270" s="173">
        <f t="shared" si="71"/>
        <v>0.64</v>
      </c>
      <c r="O270" s="173">
        <f t="shared" si="71"/>
        <v>0.64</v>
      </c>
      <c r="P270" s="173">
        <f t="shared" si="71"/>
        <v>0</v>
      </c>
      <c r="Q270" s="173">
        <f t="shared" si="71"/>
        <v>0</v>
      </c>
      <c r="R270" s="173">
        <f t="shared" si="71"/>
        <v>0</v>
      </c>
      <c r="S270" s="173">
        <f t="shared" si="71"/>
        <v>0</v>
      </c>
      <c r="T270" s="173">
        <f t="shared" si="71"/>
        <v>0</v>
      </c>
      <c r="U270" s="173">
        <f t="shared" si="71"/>
        <v>0</v>
      </c>
      <c r="V270" s="173">
        <f t="shared" si="71"/>
        <v>0</v>
      </c>
      <c r="W270" s="173">
        <f t="shared" si="71"/>
        <v>0</v>
      </c>
      <c r="X270" s="173">
        <f t="shared" si="71"/>
        <v>0</v>
      </c>
      <c r="Y270" s="173">
        <f t="shared" si="71"/>
        <v>0</v>
      </c>
      <c r="Z270" s="173">
        <f t="shared" si="71"/>
        <v>0</v>
      </c>
      <c r="AA270" s="173">
        <f t="shared" si="71"/>
        <v>0</v>
      </c>
      <c r="AB270" s="173">
        <f t="shared" si="71"/>
        <v>0</v>
      </c>
      <c r="AC270" s="173">
        <f t="shared" si="71"/>
        <v>0</v>
      </c>
      <c r="AD270" s="173">
        <f t="shared" si="71"/>
        <v>0</v>
      </c>
      <c r="AE270" s="173">
        <f t="shared" si="71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72">IF(B238&lt;100,"",B238-520)</f>
        <v/>
      </c>
      <c r="C271" s="174" t="str">
        <f t="shared" si="72"/>
        <v/>
      </c>
      <c r="D271" s="174" t="str">
        <f t="shared" si="72"/>
        <v/>
      </c>
      <c r="E271" s="174" t="str">
        <f t="shared" si="72"/>
        <v/>
      </c>
      <c r="F271" s="174" t="str">
        <f t="shared" si="72"/>
        <v/>
      </c>
      <c r="G271" s="174" t="str">
        <f t="shared" si="72"/>
        <v/>
      </c>
      <c r="H271" s="174" t="str">
        <f t="shared" si="72"/>
        <v/>
      </c>
      <c r="I271" s="174" t="str">
        <f t="shared" si="72"/>
        <v/>
      </c>
      <c r="J271" s="174" t="str">
        <f t="shared" si="72"/>
        <v/>
      </c>
      <c r="K271" s="174" t="str">
        <f t="shared" si="72"/>
        <v/>
      </c>
      <c r="L271" s="174" t="str">
        <f t="shared" si="72"/>
        <v/>
      </c>
      <c r="M271" s="174" t="str">
        <f t="shared" si="72"/>
        <v/>
      </c>
      <c r="N271" s="174" t="str">
        <f t="shared" si="72"/>
        <v/>
      </c>
      <c r="O271" s="174" t="str">
        <f t="shared" si="72"/>
        <v/>
      </c>
      <c r="P271" s="174" t="str">
        <f t="shared" si="72"/>
        <v/>
      </c>
      <c r="Q271" s="174" t="str">
        <f t="shared" si="72"/>
        <v/>
      </c>
      <c r="R271" s="174" t="str">
        <f t="shared" si="72"/>
        <v/>
      </c>
      <c r="S271" s="174" t="str">
        <f t="shared" si="72"/>
        <v/>
      </c>
      <c r="T271" s="174" t="str">
        <f t="shared" si="72"/>
        <v/>
      </c>
      <c r="U271" s="174" t="str">
        <f t="shared" si="72"/>
        <v/>
      </c>
      <c r="V271" s="174" t="str">
        <f t="shared" si="72"/>
        <v/>
      </c>
      <c r="W271" s="174" t="str">
        <f t="shared" si="72"/>
        <v/>
      </c>
      <c r="X271" s="174" t="str">
        <f t="shared" si="72"/>
        <v/>
      </c>
      <c r="Y271" s="174" t="str">
        <f t="shared" si="72"/>
        <v/>
      </c>
      <c r="Z271" s="174" t="str">
        <f t="shared" si="72"/>
        <v/>
      </c>
      <c r="AA271" s="174" t="str">
        <f t="shared" si="72"/>
        <v/>
      </c>
      <c r="AB271" s="174" t="str">
        <f t="shared" si="72"/>
        <v/>
      </c>
      <c r="AC271" s="174" t="str">
        <f t="shared" si="72"/>
        <v/>
      </c>
      <c r="AD271" s="174" t="str">
        <f t="shared" si="72"/>
        <v/>
      </c>
      <c r="AE271" s="174" t="str">
        <f t="shared" si="72"/>
        <v/>
      </c>
      <c r="AF271" s="174" t="str">
        <f t="shared" si="72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73">IF(B239&lt;100,"",B239-620)</f>
        <v/>
      </c>
      <c r="C272" s="174" t="str">
        <f t="shared" si="73"/>
        <v/>
      </c>
      <c r="D272" s="174" t="str">
        <f t="shared" si="73"/>
        <v/>
      </c>
      <c r="E272" s="174" t="str">
        <f t="shared" si="73"/>
        <v/>
      </c>
      <c r="F272" s="174" t="str">
        <f t="shared" si="73"/>
        <v/>
      </c>
      <c r="G272" s="174" t="str">
        <f t="shared" si="73"/>
        <v/>
      </c>
      <c r="H272" s="174" t="str">
        <f t="shared" si="73"/>
        <v/>
      </c>
      <c r="I272" s="174" t="str">
        <f t="shared" si="73"/>
        <v/>
      </c>
      <c r="J272" s="174" t="str">
        <f t="shared" si="73"/>
        <v/>
      </c>
      <c r="K272" s="174" t="str">
        <f t="shared" si="73"/>
        <v/>
      </c>
      <c r="L272" s="174" t="str">
        <f t="shared" si="73"/>
        <v/>
      </c>
      <c r="M272" s="174" t="str">
        <f t="shared" si="73"/>
        <v/>
      </c>
      <c r="N272" s="174" t="str">
        <f t="shared" si="73"/>
        <v/>
      </c>
      <c r="O272" s="174" t="str">
        <f t="shared" si="73"/>
        <v/>
      </c>
      <c r="P272" s="174" t="str">
        <f t="shared" si="73"/>
        <v/>
      </c>
      <c r="Q272" s="174" t="str">
        <f t="shared" si="73"/>
        <v/>
      </c>
      <c r="R272" s="174" t="str">
        <f t="shared" si="73"/>
        <v/>
      </c>
      <c r="S272" s="174" t="str">
        <f t="shared" si="73"/>
        <v/>
      </c>
      <c r="T272" s="174" t="str">
        <f t="shared" si="73"/>
        <v/>
      </c>
      <c r="U272" s="174" t="str">
        <f t="shared" si="73"/>
        <v/>
      </c>
      <c r="V272" s="174" t="str">
        <f t="shared" si="73"/>
        <v/>
      </c>
      <c r="W272" s="174" t="str">
        <f t="shared" si="73"/>
        <v/>
      </c>
      <c r="X272" s="174" t="str">
        <f t="shared" si="73"/>
        <v/>
      </c>
      <c r="Y272" s="174" t="str">
        <f t="shared" si="73"/>
        <v/>
      </c>
      <c r="Z272" s="174" t="str">
        <f t="shared" si="73"/>
        <v/>
      </c>
      <c r="AA272" s="174" t="str">
        <f t="shared" si="73"/>
        <v/>
      </c>
      <c r="AB272" s="174" t="str">
        <f t="shared" si="73"/>
        <v/>
      </c>
      <c r="AC272" s="174" t="str">
        <f t="shared" si="73"/>
        <v/>
      </c>
      <c r="AD272" s="174" t="str">
        <f t="shared" si="73"/>
        <v/>
      </c>
      <c r="AE272" s="174" t="str">
        <f t="shared" si="73"/>
        <v/>
      </c>
      <c r="AF272" s="174" t="str">
        <f t="shared" si="73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74">IF(B240&lt;100,"",B240-330)</f>
        <v/>
      </c>
      <c r="C273" s="174" t="str">
        <f t="shared" si="74"/>
        <v/>
      </c>
      <c r="D273" s="174" t="str">
        <f t="shared" si="74"/>
        <v/>
      </c>
      <c r="E273" s="174" t="str">
        <f t="shared" si="74"/>
        <v/>
      </c>
      <c r="F273" s="174" t="str">
        <f t="shared" si="74"/>
        <v/>
      </c>
      <c r="G273" s="174" t="str">
        <f t="shared" si="74"/>
        <v/>
      </c>
      <c r="H273" s="174" t="str">
        <f t="shared" si="74"/>
        <v/>
      </c>
      <c r="I273" s="174" t="str">
        <f t="shared" si="74"/>
        <v/>
      </c>
      <c r="J273" s="174" t="str">
        <f t="shared" si="74"/>
        <v/>
      </c>
      <c r="K273" s="174" t="str">
        <f t="shared" si="74"/>
        <v/>
      </c>
      <c r="L273" s="174" t="str">
        <f t="shared" si="74"/>
        <v/>
      </c>
      <c r="M273" s="174" t="str">
        <f t="shared" si="74"/>
        <v/>
      </c>
      <c r="N273" s="174" t="str">
        <f t="shared" si="74"/>
        <v/>
      </c>
      <c r="O273" s="174" t="str">
        <f t="shared" si="74"/>
        <v/>
      </c>
      <c r="P273" s="174" t="str">
        <f t="shared" si="74"/>
        <v/>
      </c>
      <c r="Q273" s="174" t="str">
        <f t="shared" si="74"/>
        <v/>
      </c>
      <c r="R273" s="174" t="str">
        <f t="shared" si="74"/>
        <v/>
      </c>
      <c r="S273" s="174" t="str">
        <f t="shared" si="74"/>
        <v/>
      </c>
      <c r="T273" s="174" t="str">
        <f t="shared" si="74"/>
        <v/>
      </c>
      <c r="U273" s="174" t="str">
        <f t="shared" si="74"/>
        <v/>
      </c>
      <c r="V273" s="174" t="str">
        <f t="shared" si="74"/>
        <v/>
      </c>
      <c r="W273" s="174" t="str">
        <f t="shared" si="74"/>
        <v/>
      </c>
      <c r="X273" s="174" t="str">
        <f t="shared" si="74"/>
        <v/>
      </c>
      <c r="Y273" s="174" t="str">
        <f t="shared" si="74"/>
        <v/>
      </c>
      <c r="Z273" s="174" t="str">
        <f t="shared" si="74"/>
        <v/>
      </c>
      <c r="AA273" s="174" t="str">
        <f t="shared" si="74"/>
        <v/>
      </c>
      <c r="AB273" s="174" t="str">
        <f t="shared" si="74"/>
        <v/>
      </c>
      <c r="AC273" s="174" t="str">
        <f t="shared" si="74"/>
        <v/>
      </c>
      <c r="AD273" s="174" t="str">
        <f t="shared" si="74"/>
        <v/>
      </c>
      <c r="AE273" s="174" t="str">
        <f t="shared" si="74"/>
        <v/>
      </c>
      <c r="AF273" s="174" t="str">
        <f t="shared" si="74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75">IF(B241&lt;100,"",B241-1500)</f>
        <v/>
      </c>
      <c r="C274" s="174" t="str">
        <f t="shared" si="75"/>
        <v/>
      </c>
      <c r="D274" s="174" t="str">
        <f t="shared" si="75"/>
        <v/>
      </c>
      <c r="E274" s="174" t="str">
        <f t="shared" si="75"/>
        <v/>
      </c>
      <c r="F274" s="174" t="str">
        <f t="shared" si="75"/>
        <v/>
      </c>
      <c r="G274" s="174" t="str">
        <f t="shared" si="75"/>
        <v/>
      </c>
      <c r="H274" s="174" t="str">
        <f t="shared" si="75"/>
        <v/>
      </c>
      <c r="I274" s="174" t="str">
        <f t="shared" si="75"/>
        <v/>
      </c>
      <c r="J274" s="174" t="str">
        <f t="shared" si="75"/>
        <v/>
      </c>
      <c r="K274" s="174" t="str">
        <f t="shared" si="75"/>
        <v/>
      </c>
      <c r="L274" s="174" t="str">
        <f t="shared" si="75"/>
        <v/>
      </c>
      <c r="M274" s="174" t="str">
        <f t="shared" si="75"/>
        <v/>
      </c>
      <c r="N274" s="174" t="str">
        <f t="shared" si="75"/>
        <v/>
      </c>
      <c r="O274" s="174" t="str">
        <f t="shared" si="75"/>
        <v/>
      </c>
      <c r="P274" s="174" t="str">
        <f t="shared" si="75"/>
        <v/>
      </c>
      <c r="Q274" s="174" t="str">
        <f t="shared" si="75"/>
        <v/>
      </c>
      <c r="R274" s="174" t="str">
        <f t="shared" si="75"/>
        <v/>
      </c>
      <c r="S274" s="174" t="str">
        <f t="shared" si="75"/>
        <v/>
      </c>
      <c r="T274" s="174" t="str">
        <f t="shared" si="75"/>
        <v/>
      </c>
      <c r="U274" s="174" t="str">
        <f t="shared" si="75"/>
        <v/>
      </c>
      <c r="V274" s="174" t="str">
        <f t="shared" si="75"/>
        <v/>
      </c>
      <c r="W274" s="174" t="str">
        <f t="shared" si="75"/>
        <v/>
      </c>
      <c r="X274" s="174" t="str">
        <f t="shared" si="75"/>
        <v/>
      </c>
      <c r="Y274" s="174" t="str">
        <f t="shared" si="75"/>
        <v/>
      </c>
      <c r="Z274" s="174" t="str">
        <f t="shared" si="75"/>
        <v/>
      </c>
      <c r="AA274" s="174" t="str">
        <f t="shared" si="75"/>
        <v/>
      </c>
      <c r="AB274" s="174" t="str">
        <f t="shared" si="75"/>
        <v/>
      </c>
      <c r="AC274" s="174" t="str">
        <f t="shared" si="75"/>
        <v/>
      </c>
      <c r="AD274" s="174" t="str">
        <f t="shared" si="75"/>
        <v/>
      </c>
      <c r="AE274" s="174" t="str">
        <f t="shared" si="75"/>
        <v/>
      </c>
      <c r="AF274" s="174" t="str">
        <f t="shared" si="75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233" priority="64">
      <formula>$AH11=0</formula>
    </cfRule>
  </conditionalFormatting>
  <conditionalFormatting sqref="B8 M8 S8 AB8">
    <cfRule type="expression" dxfId="232" priority="116">
      <formula>AND(C$9&gt;=8/24,C$9&lt;14/24)</formula>
    </cfRule>
    <cfRule type="expression" dxfId="231" priority="115">
      <formula>AND(C$9&gt;=14/24,C$9&lt;20/24)</formula>
    </cfRule>
    <cfRule type="expression" dxfId="230" priority="117">
      <formula>C$9&lt;8/24</formula>
    </cfRule>
  </conditionalFormatting>
  <conditionalFormatting sqref="B54:C54 B72:AG72 Q73">
    <cfRule type="expression" dxfId="229" priority="40">
      <formula>AND(B$9&gt;=8/24,B$9&lt;14/24)</formula>
    </cfRule>
    <cfRule type="expression" dxfId="228" priority="39">
      <formula>AND(B$9&gt;=14/24,B$9&lt;20/24)</formula>
    </cfRule>
    <cfRule type="expression" dxfId="227" priority="38">
      <formula>B$9&gt;=20/24</formula>
    </cfRule>
    <cfRule type="expression" dxfId="226" priority="41">
      <formula>B$9&lt;8/24</formula>
    </cfRule>
  </conditionalFormatting>
  <conditionalFormatting sqref="B54:C66 B72:AG72">
    <cfRule type="expression" dxfId="225" priority="33">
      <formula>B54&gt;$AG54</formula>
    </cfRule>
  </conditionalFormatting>
  <conditionalFormatting sqref="B55:D59">
    <cfRule type="expression" dxfId="224" priority="63">
      <formula>B$9&lt;8/24</formula>
    </cfRule>
    <cfRule type="expression" dxfId="223" priority="62">
      <formula>AND(B$9&gt;=8/24,B$9&lt;14/24)</formula>
    </cfRule>
    <cfRule type="expression" dxfId="222" priority="61">
      <formula>AND(B$9&gt;=14/24,B$9&lt;20/24)</formula>
    </cfRule>
    <cfRule type="expression" dxfId="221" priority="60">
      <formula>B$9&gt;=20/24</formula>
    </cfRule>
  </conditionalFormatting>
  <conditionalFormatting sqref="B60:R60">
    <cfRule type="expression" dxfId="220" priority="54">
      <formula>B$9&lt;8/24</formula>
    </cfRule>
    <cfRule type="expression" dxfId="219" priority="52">
      <formula>AND(B$9&gt;=14/24,B$9&lt;20/24)</formula>
    </cfRule>
    <cfRule type="expression" dxfId="218" priority="51">
      <formula>B$9&gt;=20/24</formula>
    </cfRule>
    <cfRule type="expression" dxfId="217" priority="53">
      <formula>AND(B$9&gt;=8/24,B$9&lt;14/24)</formula>
    </cfRule>
  </conditionalFormatting>
  <conditionalFormatting sqref="B9:AF45">
    <cfRule type="expression" dxfId="216" priority="26">
      <formula>B$9&lt;8/24</formula>
    </cfRule>
    <cfRule type="expression" dxfId="215" priority="23">
      <formula>B$9&gt;=20/24</formula>
    </cfRule>
    <cfRule type="expression" dxfId="214" priority="24">
      <formula>AND(B$9&gt;=14/24,B$9&lt;20/24)</formula>
    </cfRule>
    <cfRule type="expression" dxfId="213" priority="25">
      <formula>AND(B$9&gt;=8/24,B$9&lt;14/24)</formula>
    </cfRule>
  </conditionalFormatting>
  <conditionalFormatting sqref="B11:AF46">
    <cfRule type="expression" dxfId="212" priority="22">
      <formula>B11&gt;$AG11</formula>
    </cfRule>
  </conditionalFormatting>
  <conditionalFormatting sqref="B46:AF46">
    <cfRule type="expression" dxfId="211" priority="21">
      <formula>B$9&lt;8/24</formula>
    </cfRule>
    <cfRule type="expression" dxfId="210" priority="20">
      <formula>AND(B$9&gt;=8/24,B$9&lt;14/24)</formula>
    </cfRule>
    <cfRule type="expression" dxfId="209" priority="19">
      <formula>AND(B$9&gt;=14/24,B$9&lt;20/24)</formula>
    </cfRule>
    <cfRule type="expression" dxfId="208" priority="18">
      <formula>B$9&gt;=20/24</formula>
    </cfRule>
  </conditionalFormatting>
  <conditionalFormatting sqref="B47:AF47">
    <cfRule type="expression" dxfId="207" priority="32">
      <formula>B47&gt;$AG47</formula>
    </cfRule>
  </conditionalFormatting>
  <conditionalFormatting sqref="B47:AF49">
    <cfRule type="expression" dxfId="206" priority="28">
      <formula>B$9&gt;=20/24</formula>
    </cfRule>
    <cfRule type="expression" dxfId="205" priority="29">
      <formula>AND(B$9&gt;=14/24,B$9&lt;20/24)</formula>
    </cfRule>
    <cfRule type="expression" dxfId="204" priority="30">
      <formula>AND(B$9&gt;=8/24,B$9&lt;14/24)</formula>
    </cfRule>
    <cfRule type="expression" dxfId="203" priority="31">
      <formula>B$9&lt;8/24</formula>
    </cfRule>
  </conditionalFormatting>
  <conditionalFormatting sqref="B48:AF53">
    <cfRule type="expression" dxfId="202" priority="27">
      <formula>B48&gt;$AG48</formula>
    </cfRule>
  </conditionalFormatting>
  <conditionalFormatting sqref="B51:AF53">
    <cfRule type="expression" dxfId="201" priority="48">
      <formula>AND(B$9&gt;=14/24,B$9&lt;20/24)</formula>
    </cfRule>
    <cfRule type="expression" dxfId="200" priority="47">
      <formula>B$9&gt;=20/24</formula>
    </cfRule>
    <cfRule type="expression" dxfId="199" priority="49">
      <formula>AND(B$9&gt;=8/24,B$9&lt;14/24)</formula>
    </cfRule>
    <cfRule type="expression" dxfId="198" priority="50">
      <formula>B$9&lt;8/24</formula>
    </cfRule>
  </conditionalFormatting>
  <conditionalFormatting sqref="B61:AF66">
    <cfRule type="expression" dxfId="197" priority="37">
      <formula>B$9&lt;8/24</formula>
    </cfRule>
    <cfRule type="expression" dxfId="196" priority="34">
      <formula>B$9&gt;=20/24</formula>
    </cfRule>
    <cfRule type="expression" dxfId="195" priority="36">
      <formula>AND(B$9&gt;=8/24,B$9&lt;14/24)</formula>
    </cfRule>
    <cfRule type="expression" dxfId="194" priority="35">
      <formula>AND(B$9&gt;=14/24,B$9&lt;20/24)</formula>
    </cfRule>
  </conditionalFormatting>
  <conditionalFormatting sqref="B69:AF71">
    <cfRule type="expression" dxfId="193" priority="55">
      <formula>B69&gt;$AG69</formula>
    </cfRule>
    <cfRule type="expression" dxfId="192" priority="56">
      <formula>B$9&gt;=20/24</formula>
    </cfRule>
    <cfRule type="expression" dxfId="191" priority="57">
      <formula>AND(B$9&gt;=14/24,B$9&lt;20/24)</formula>
    </cfRule>
    <cfRule type="expression" dxfId="190" priority="58">
      <formula>AND(B$9&gt;=8/24,B$9&lt;14/24)</formula>
    </cfRule>
    <cfRule type="expression" dxfId="189" priority="59">
      <formula>B$9&lt;8/24</formula>
    </cfRule>
  </conditionalFormatting>
  <conditionalFormatting sqref="B73:AF91">
    <cfRule type="expression" dxfId="188" priority="1">
      <formula>B$9&gt;=20/24</formula>
    </cfRule>
    <cfRule type="expression" dxfId="187" priority="4">
      <formula>B$9&lt;8/24</formula>
    </cfRule>
    <cfRule type="expression" dxfId="186" priority="3">
      <formula>AND(B$9&gt;=8/24,B$9&lt;14/24)</formula>
    </cfRule>
    <cfRule type="expression" dxfId="185" priority="2">
      <formula>AND(B$9&gt;=14/24,B$9&lt;20/24)</formula>
    </cfRule>
  </conditionalFormatting>
  <conditionalFormatting sqref="B93:AF109">
    <cfRule type="expression" dxfId="184" priority="45">
      <formula>AND(B$9&gt;=8/24,B$9&lt;14/24)</formula>
    </cfRule>
    <cfRule type="expression" dxfId="183" priority="46">
      <formula>B$9&lt;8/24</formula>
    </cfRule>
    <cfRule type="expression" dxfId="182" priority="43">
      <formula>B$9&gt;=20/24</formula>
    </cfRule>
    <cfRule type="expression" dxfId="181" priority="44">
      <formula>AND(B$9&gt;=14/24,B$9&lt;20/24)</formula>
    </cfRule>
  </conditionalFormatting>
  <conditionalFormatting sqref="B111:AF120">
    <cfRule type="expression" dxfId="180" priority="14">
      <formula>B$9&gt;=20/24</formula>
    </cfRule>
    <cfRule type="expression" dxfId="179" priority="17">
      <formula>B$9&lt;8/24</formula>
    </cfRule>
    <cfRule type="expression" dxfId="178" priority="16">
      <formula>AND(B$9&gt;=8/24,B$9&lt;14/24)</formula>
    </cfRule>
    <cfRule type="expression" dxfId="177" priority="15">
      <formula>AND(B$9&gt;=14/24,B$9&lt;20/24)</formula>
    </cfRule>
  </conditionalFormatting>
  <conditionalFormatting sqref="B227:AF227 D229:AF230 B229:B235 D231:H231 J231:AF231 D232:AF235 U248:AF248">
    <cfRule type="expression" dxfId="176" priority="110">
      <formula>AND(B$9&gt;=8/24,B$9&lt;14/24)</formula>
    </cfRule>
    <cfRule type="expression" dxfId="175" priority="109">
      <formula>AND(B$9&gt;=14/24,B$9&lt;20/24)</formula>
    </cfRule>
    <cfRule type="expression" dxfId="174" priority="108">
      <formula>B$9&gt;=20/24</formula>
    </cfRule>
    <cfRule type="expression" dxfId="173" priority="111">
      <formula>B$9&lt;8/24</formula>
    </cfRule>
  </conditionalFormatting>
  <conditionalFormatting sqref="B67:AG68">
    <cfRule type="expression" dxfId="172" priority="42">
      <formula>B67&gt;$AG67</formula>
    </cfRule>
  </conditionalFormatting>
  <conditionalFormatting sqref="D55:AF66">
    <cfRule type="expression" dxfId="171" priority="5">
      <formula>D55&gt;$AG55</formula>
    </cfRule>
  </conditionalFormatting>
  <conditionalFormatting sqref="D54:AG54">
    <cfRule type="expression" dxfId="170" priority="77">
      <formula>D$9&gt;=20/24</formula>
    </cfRule>
    <cfRule type="expression" dxfId="169" priority="76">
      <formula>D54&gt;$AG54</formula>
    </cfRule>
    <cfRule type="expression" dxfId="168" priority="80">
      <formula>D$9&lt;8/24</formula>
    </cfRule>
    <cfRule type="expression" dxfId="167" priority="79">
      <formula>AND(D$9&gt;=8/24,D$9&lt;14/24)</formula>
    </cfRule>
    <cfRule type="expression" dxfId="166" priority="78">
      <formula>AND(D$9&gt;=14/24,D$9&lt;20/24)</formula>
    </cfRule>
  </conditionalFormatting>
  <conditionalFormatting sqref="E55:R57">
    <cfRule type="expression" dxfId="165" priority="91">
      <formula>AND(E$9&gt;=8/24,E$9&lt;14/24)</formula>
    </cfRule>
    <cfRule type="expression" dxfId="164" priority="90">
      <formula>AND(E$9&gt;=14/24,E$9&lt;20/24)</formula>
    </cfRule>
    <cfRule type="expression" dxfId="163" priority="89">
      <formula>E$9&gt;=20/24</formula>
    </cfRule>
    <cfRule type="expression" dxfId="162" priority="92">
      <formula>E$9&lt;8/24</formula>
    </cfRule>
  </conditionalFormatting>
  <conditionalFormatting sqref="M55:R59">
    <cfRule type="expression" dxfId="161" priority="93">
      <formula>M$9&gt;=20/24</formula>
    </cfRule>
    <cfRule type="expression" dxfId="160" priority="94">
      <formula>AND(M$9&gt;=14/24,M$9&lt;20/24)</formula>
    </cfRule>
    <cfRule type="expression" dxfId="159" priority="95">
      <formula>AND(M$9&gt;=8/24,M$9&lt;14/24)</formula>
    </cfRule>
    <cfRule type="expression" dxfId="158" priority="96">
      <formula>M$9&lt;8/24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Q73">
    <cfRule type="expression" dxfId="157" priority="498">
      <formula>Q73&gt;$AG72</formula>
    </cfRule>
  </conditionalFormatting>
  <conditionalFormatting sqref="S8 AB8 B8 M8">
    <cfRule type="expression" dxfId="156" priority="114">
      <formula>C$9&gt;=20/24</formula>
    </cfRule>
  </conditionalFormatting>
  <conditionalFormatting sqref="S8">
    <cfRule type="expression" dxfId="155" priority="102">
      <formula>AND(U$9&gt;=14/24,U$9&lt;20/24)</formula>
    </cfRule>
    <cfRule type="expression" dxfId="154" priority="103">
      <formula>AND(U$9&gt;=8/24,U$9&lt;14/24)</formula>
    </cfRule>
    <cfRule type="expression" dxfId="153" priority="104">
      <formula>U$9&lt;8/24</formula>
    </cfRule>
    <cfRule type="expression" dxfId="152" priority="101">
      <formula>U$9&gt;=20/24</formula>
    </cfRule>
  </conditionalFormatting>
  <conditionalFormatting sqref="S55:AF60">
    <cfRule type="expression" dxfId="151" priority="13">
      <formula>S$9&lt;8/24</formula>
    </cfRule>
    <cfRule type="expression" dxfId="150" priority="12">
      <formula>AND(S$9&gt;=8/24,S$9&lt;14/24)</formula>
    </cfRule>
    <cfRule type="expression" dxfId="149" priority="11">
      <formula>AND(S$9&gt;=14/24,S$9&lt;20/24)</formula>
    </cfRule>
    <cfRule type="expression" dxfId="148" priority="10">
      <formula>S$9&gt;=20/24</formula>
    </cfRule>
  </conditionalFormatting>
  <conditionalFormatting sqref="T248">
    <cfRule type="expression" dxfId="147" priority="128">
      <formula>AND(AX$9&gt;=8/24,AX$9&lt;14/24)</formula>
    </cfRule>
    <cfRule type="expression" dxfId="146" priority="127">
      <formula>AND(AX$9&gt;=14/24,AX$9&lt;20/24)</formula>
    </cfRule>
    <cfRule type="expression" dxfId="145" priority="126">
      <formula>AX$9&gt;=20/24</formula>
    </cfRule>
    <cfRule type="expression" dxfId="144" priority="129">
      <formula>AX$9&lt;8/24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43" priority="100">
      <formula>AD$9&lt;8/24</formula>
    </cfRule>
    <cfRule type="expression" dxfId="142" priority="97">
      <formula>AD$9&gt;=20/24</formula>
    </cfRule>
    <cfRule type="expression" dxfId="141" priority="98">
      <formula>AND(AD$9&gt;=14/24,AD$9&lt;20/24)</formula>
    </cfRule>
    <cfRule type="expression" dxfId="140" priority="99">
      <formula>AND(AD$9&gt;=8/24,AD$9&lt;14/24)</formula>
    </cfRule>
  </conditionalFormatting>
  <conditionalFormatting sqref="AG50">
    <cfRule type="expression" dxfId="139" priority="84">
      <formula>AG50&gt;$AG50</formula>
    </cfRule>
  </conditionalFormatting>
  <conditionalFormatting sqref="AG89">
    <cfRule type="expression" dxfId="138" priority="88">
      <formula>AG$9&lt;8/24</formula>
    </cfRule>
    <cfRule type="expression" dxfId="137" priority="86">
      <formula>AND(AG$9&gt;=14/24,AG$9&lt;20/24)</formula>
    </cfRule>
    <cfRule type="expression" dxfId="136" priority="87">
      <formula>AND(AG$9&gt;=8/24,AG$9&lt;14/24)</formula>
    </cfRule>
    <cfRule type="expression" dxfId="135" priority="85">
      <formula>AG$9&gt;=20/24</formula>
    </cfRule>
  </conditionalFormatting>
  <conditionalFormatting sqref="AG248">
    <cfRule type="expression" dxfId="134" priority="121">
      <formula>B$9&lt;8/24</formula>
    </cfRule>
    <cfRule type="expression" dxfId="133" priority="118">
      <formula>B$9&gt;=20/24</formula>
    </cfRule>
    <cfRule type="expression" dxfId="132" priority="119">
      <formula>AND(B$9&gt;=14/24,B$9&lt;20/24)</formula>
    </cfRule>
    <cfRule type="expression" dxfId="131" priority="120">
      <formula>AND(B$9&gt;=8/24,B$9&lt;14/24)</formula>
    </cfRule>
  </conditionalFormatting>
  <conditionalFormatting sqref="AH248:AX248">
    <cfRule type="expression" dxfId="130" priority="122">
      <formula>AG$9&gt;=20/24</formula>
    </cfRule>
    <cfRule type="expression" dxfId="129" priority="124">
      <formula>AND(AG$9&gt;=8/24,AG$9&lt;14/24)</formula>
    </cfRule>
    <cfRule type="expression" dxfId="128" priority="125">
      <formula>AG$9&lt;8/24</formula>
    </cfRule>
    <cfRule type="expression" dxfId="127" priority="123">
      <formula>AND(AG$9&gt;=14/24,AG$9&lt;20/24)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26" priority="131">
      <formula>AJ$9&gt;=20/24</formula>
    </cfRule>
    <cfRule type="expression" dxfId="125" priority="132">
      <formula>AND(AJ$9&gt;=14/24,AJ$9&lt;20/24)</formula>
    </cfRule>
    <cfRule type="expression" dxfId="124" priority="133">
      <formula>AND(AJ$9&gt;=8/24,AJ$9&lt;14/24)</formula>
    </cfRule>
    <cfRule type="expression" dxfId="123" priority="134">
      <formula>AJ$9&lt;8/24</formula>
    </cfRule>
  </conditionalFormatting>
  <conditionalFormatting sqref="AL80:AN80 AL86:AN86">
    <cfRule type="expression" dxfId="122" priority="73">
      <formula>AND(AL$9&gt;=14/24,AL$9&lt;20/24)</formula>
    </cfRule>
    <cfRule type="expression" dxfId="121" priority="74">
      <formula>AND(AL$9&gt;=8/24,AL$9&lt;14/24)</formula>
    </cfRule>
    <cfRule type="expression" dxfId="120" priority="72">
      <formula>AL$9&gt;=20/24</formula>
    </cfRule>
    <cfRule type="expression" dxfId="119" priority="75">
      <formula>AL$9&lt;8/24</formula>
    </cfRule>
  </conditionalFormatting>
  <conditionalFormatting sqref="AN81:AN84">
    <cfRule type="expression" dxfId="118" priority="71">
      <formula>AN$9&lt;8/24</formula>
    </cfRule>
    <cfRule type="expression" dxfId="117" priority="70">
      <formula>AND(AN$9&gt;=8/24,AN$9&lt;14/24)</formula>
    </cfRule>
    <cfRule type="expression" dxfId="116" priority="68">
      <formula>AN$9&gt;=20/24</formula>
    </cfRule>
    <cfRule type="expression" dxfId="115" priority="69">
      <formula>AND(AN$9&gt;=14/24,AN$9&lt;20/24)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803E-5A01-4461-BFA6-88F68DCE48C4}">
  <dimension ref="A1:CJ281"/>
  <sheetViews>
    <sheetView zoomScaleNormal="100" workbookViewId="0">
      <pane xSplit="1" ySplit="10" topLeftCell="B73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C75" sqref="C75:G7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7" style="1" customWidth="1"/>
    <col min="22" max="22" width="8.140625" style="1" customWidth="1"/>
    <col min="23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2080/04/26</v>
      </c>
      <c r="C4" s="203"/>
      <c r="D4" s="203"/>
      <c r="E4" s="204" t="str">
        <f ca="1">"2079/"&amp;"12/"&amp;INT(MID(CELL("filename",G6),FIND("]",CELL("filename",G6))+1,200))</f>
        <v>2079/12/26</v>
      </c>
      <c r="F4" s="204"/>
      <c r="G4" s="204"/>
      <c r="H4" s="204" t="str">
        <f ca="1">TEXT(E4,"dddd")</f>
        <v>Tuesday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7.3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6.6</v>
      </c>
      <c r="T5" s="30">
        <f t="shared" si="0"/>
        <v>9.8000000000000007</v>
      </c>
      <c r="U5" s="30">
        <f t="shared" si="0"/>
        <v>9.8000000000000007</v>
      </c>
      <c r="V5" s="30">
        <f t="shared" si="0"/>
        <v>0</v>
      </c>
      <c r="W5" s="30">
        <f t="shared" si="0"/>
        <v>0</v>
      </c>
      <c r="X5" s="30">
        <f t="shared" si="0"/>
        <v>2.9</v>
      </c>
      <c r="Y5" s="30">
        <f t="shared" si="0"/>
        <v>8.9</v>
      </c>
      <c r="Z5" s="30">
        <f t="shared" si="0"/>
        <v>31.5</v>
      </c>
      <c r="AA5" s="30">
        <f t="shared" si="0"/>
        <v>42.4</v>
      </c>
      <c r="AB5" s="30">
        <f t="shared" si="0"/>
        <v>47</v>
      </c>
      <c r="AC5" s="30">
        <f t="shared" si="0"/>
        <v>10.199999999999999</v>
      </c>
      <c r="AD5" s="30">
        <f t="shared" si="0"/>
        <v>3.4</v>
      </c>
      <c r="AE5" s="30">
        <f t="shared" si="0"/>
        <v>0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2041MW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Load=1879</v>
      </c>
      <c r="B7" s="35">
        <f t="shared" ref="B7:AF7" si="1">B91</f>
        <v>1879.44</v>
      </c>
      <c r="C7" s="35">
        <f t="shared" si="1"/>
        <v>1922.54</v>
      </c>
      <c r="D7" s="35">
        <f t="shared" si="1"/>
        <v>1923.14</v>
      </c>
      <c r="E7" s="35">
        <f t="shared" si="1"/>
        <v>1916.24</v>
      </c>
      <c r="F7" s="35">
        <f t="shared" si="1"/>
        <v>1905.1399999999999</v>
      </c>
      <c r="G7" s="35">
        <f t="shared" si="1"/>
        <v>1903.84</v>
      </c>
      <c r="H7" s="35">
        <f t="shared" si="1"/>
        <v>1928.54</v>
      </c>
      <c r="I7" s="35">
        <f t="shared" si="1"/>
        <v>1935.84</v>
      </c>
      <c r="J7" s="35">
        <f t="shared" si="1"/>
        <v>1950.04</v>
      </c>
      <c r="K7" s="35">
        <f t="shared" si="1"/>
        <v>1946.74</v>
      </c>
      <c r="L7" s="35">
        <f t="shared" si="1"/>
        <v>2040.94</v>
      </c>
      <c r="M7" s="35">
        <f t="shared" si="1"/>
        <v>2013.74</v>
      </c>
      <c r="N7" s="35">
        <f>N91</f>
        <v>1940.8400000000001</v>
      </c>
      <c r="O7" s="35">
        <f t="shared" si="1"/>
        <v>1953.24</v>
      </c>
      <c r="P7" s="35">
        <f t="shared" si="1"/>
        <v>1956.54</v>
      </c>
      <c r="Q7" s="35">
        <f t="shared" si="1"/>
        <v>1994.47</v>
      </c>
      <c r="R7" s="35">
        <f t="shared" si="1"/>
        <v>1994.47</v>
      </c>
      <c r="S7" s="35">
        <f t="shared" si="1"/>
        <v>1997.24</v>
      </c>
      <c r="T7" s="35">
        <f t="shared" si="1"/>
        <v>1977.0399999999997</v>
      </c>
      <c r="U7" s="35">
        <f t="shared" si="1"/>
        <v>1915.2399999999998</v>
      </c>
      <c r="V7" s="35">
        <f t="shared" si="1"/>
        <v>1906.9399999999998</v>
      </c>
      <c r="W7" s="35">
        <f t="shared" si="1"/>
        <v>1900.0400000000002</v>
      </c>
      <c r="X7" s="35">
        <f t="shared" si="1"/>
        <v>1893.94</v>
      </c>
      <c r="Y7" s="35">
        <f t="shared" si="1"/>
        <v>1913.5400000000002</v>
      </c>
      <c r="Z7" s="35">
        <f t="shared" si="1"/>
        <v>1929.6400000000003</v>
      </c>
      <c r="AA7" s="35">
        <f t="shared" si="1"/>
        <v>1958.8500000000001</v>
      </c>
      <c r="AB7" s="35">
        <f t="shared" si="1"/>
        <v>2012.0400000000002</v>
      </c>
      <c r="AC7" s="35">
        <f t="shared" si="1"/>
        <v>2094.94</v>
      </c>
      <c r="AD7" s="35">
        <f t="shared" si="1"/>
        <v>1978.0400000000002</v>
      </c>
      <c r="AE7" s="35">
        <f t="shared" si="1"/>
        <v>1946.8400000000001</v>
      </c>
      <c r="AF7" s="35">
        <f t="shared" si="1"/>
        <v>1923.54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</v>
      </c>
      <c r="C11" s="45">
        <v>90</v>
      </c>
      <c r="D11" s="45">
        <v>90</v>
      </c>
      <c r="E11" s="45">
        <v>90</v>
      </c>
      <c r="F11" s="45">
        <v>90</v>
      </c>
      <c r="G11" s="45">
        <v>90</v>
      </c>
      <c r="H11" s="45">
        <v>90</v>
      </c>
      <c r="I11" s="45">
        <v>90</v>
      </c>
      <c r="J11" s="45">
        <v>90</v>
      </c>
      <c r="K11" s="45">
        <v>90</v>
      </c>
      <c r="L11" s="45">
        <v>90</v>
      </c>
      <c r="M11" s="45">
        <v>90.2</v>
      </c>
      <c r="N11" s="45">
        <v>90.3</v>
      </c>
      <c r="O11" s="45">
        <v>90.3</v>
      </c>
      <c r="P11" s="45">
        <v>90.3</v>
      </c>
      <c r="Q11" s="45">
        <v>90.3</v>
      </c>
      <c r="R11" s="45">
        <v>90.3</v>
      </c>
      <c r="S11" s="45">
        <v>90.3</v>
      </c>
      <c r="T11" s="45">
        <v>90.3</v>
      </c>
      <c r="U11" s="45">
        <v>90.3</v>
      </c>
      <c r="V11" s="45">
        <v>90.3</v>
      </c>
      <c r="W11" s="45">
        <v>89.9</v>
      </c>
      <c r="X11" s="45">
        <v>89.9</v>
      </c>
      <c r="Y11" s="45">
        <v>89.9</v>
      </c>
      <c r="Z11" s="45">
        <v>89.9</v>
      </c>
      <c r="AA11" s="45">
        <v>90.2</v>
      </c>
      <c r="AB11" s="45">
        <v>90.2</v>
      </c>
      <c r="AC11" s="45">
        <v>90.2</v>
      </c>
      <c r="AD11" s="45">
        <v>90.2</v>
      </c>
      <c r="AE11" s="45">
        <v>90.2</v>
      </c>
      <c r="AF11" s="45">
        <v>90.2</v>
      </c>
      <c r="AG11" s="46">
        <v>86</v>
      </c>
      <c r="AH11" s="47">
        <f t="shared" ref="AH11:AH76" si="2">MAX(B11:AF11)</f>
        <v>90.3</v>
      </c>
      <c r="AI11" s="48">
        <f t="shared" ref="AI11:AI76" si="3">MIN(B11:AF11)</f>
        <v>89.9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>
        <f t="shared" si="2"/>
        <v>0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55</v>
      </c>
      <c r="C13" s="45">
        <v>55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>
        <v>55</v>
      </c>
      <c r="K13" s="45">
        <v>55</v>
      </c>
      <c r="L13" s="45">
        <v>55</v>
      </c>
      <c r="M13" s="45">
        <v>54.8</v>
      </c>
      <c r="N13" s="45">
        <v>54.8</v>
      </c>
      <c r="O13" s="45">
        <v>54.8</v>
      </c>
      <c r="P13" s="45">
        <v>54.8</v>
      </c>
      <c r="Q13" s="45">
        <v>54.8</v>
      </c>
      <c r="R13" s="45">
        <v>54.8</v>
      </c>
      <c r="S13" s="45">
        <v>54.9</v>
      </c>
      <c r="T13" s="45">
        <v>54.9</v>
      </c>
      <c r="U13" s="45">
        <v>54.9</v>
      </c>
      <c r="V13" s="45">
        <v>54.9</v>
      </c>
      <c r="W13" s="45">
        <v>54.9</v>
      </c>
      <c r="X13" s="45">
        <v>54.9</v>
      </c>
      <c r="Y13" s="45">
        <v>54.9</v>
      </c>
      <c r="Z13" s="45">
        <v>54.9</v>
      </c>
      <c r="AA13" s="45">
        <v>54.9</v>
      </c>
      <c r="AB13" s="45">
        <v>54.9</v>
      </c>
      <c r="AC13" s="45">
        <v>54.9</v>
      </c>
      <c r="AD13" s="45">
        <v>54.9</v>
      </c>
      <c r="AE13" s="45">
        <v>54.9</v>
      </c>
      <c r="AF13" s="45">
        <v>54.9</v>
      </c>
      <c r="AG13" s="46">
        <v>52.4</v>
      </c>
      <c r="AH13" s="47">
        <f t="shared" si="2"/>
        <v>55</v>
      </c>
      <c r="AI13" s="48">
        <f t="shared" si="3"/>
        <v>54.8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50.4</v>
      </c>
      <c r="C14" s="45">
        <v>50.4</v>
      </c>
      <c r="D14" s="45">
        <v>50.4</v>
      </c>
      <c r="E14" s="45">
        <v>50.4</v>
      </c>
      <c r="F14" s="45">
        <v>50.4</v>
      </c>
      <c r="G14" s="45">
        <v>50.4</v>
      </c>
      <c r="H14" s="45">
        <v>50.4</v>
      </c>
      <c r="I14" s="45">
        <v>50.4</v>
      </c>
      <c r="J14" s="45">
        <v>50.4</v>
      </c>
      <c r="K14" s="45">
        <v>50.4</v>
      </c>
      <c r="L14" s="45">
        <v>50.4</v>
      </c>
      <c r="M14" s="45">
        <v>50.1</v>
      </c>
      <c r="N14" s="45">
        <v>50.1</v>
      </c>
      <c r="O14" s="45">
        <v>50.1</v>
      </c>
      <c r="P14" s="45">
        <v>50.1</v>
      </c>
      <c r="Q14" s="45">
        <v>50.1</v>
      </c>
      <c r="R14" s="45">
        <v>50.1</v>
      </c>
      <c r="S14" s="45">
        <v>50.1</v>
      </c>
      <c r="T14" s="45">
        <v>50.1</v>
      </c>
      <c r="U14" s="45">
        <v>50.1</v>
      </c>
      <c r="V14" s="45">
        <v>50.1</v>
      </c>
      <c r="W14" s="58">
        <v>50.4</v>
      </c>
      <c r="X14" s="58">
        <v>50.4</v>
      </c>
      <c r="Y14" s="58">
        <v>50.4</v>
      </c>
      <c r="Z14" s="58">
        <v>50.4</v>
      </c>
      <c r="AA14" s="45">
        <v>50.5</v>
      </c>
      <c r="AB14" s="45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49">
        <v>50</v>
      </c>
      <c r="AH14" s="47">
        <f t="shared" si="2"/>
        <v>50.5</v>
      </c>
      <c r="AI14" s="48">
        <f t="shared" si="3"/>
        <v>50.1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23</v>
      </c>
      <c r="C15" s="45">
        <v>23</v>
      </c>
      <c r="D15" s="45">
        <v>23</v>
      </c>
      <c r="E15" s="45">
        <v>23</v>
      </c>
      <c r="F15" s="45">
        <v>23</v>
      </c>
      <c r="G15" s="45">
        <v>23</v>
      </c>
      <c r="H15" s="45">
        <v>23</v>
      </c>
      <c r="I15" s="45">
        <v>23</v>
      </c>
      <c r="J15" s="45">
        <v>23</v>
      </c>
      <c r="K15" s="45">
        <v>23</v>
      </c>
      <c r="L15" s="45">
        <v>23</v>
      </c>
      <c r="M15" s="45">
        <v>24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23.8</v>
      </c>
      <c r="X15" s="45">
        <v>23.8</v>
      </c>
      <c r="Y15" s="45">
        <v>23.8</v>
      </c>
      <c r="Z15" s="45">
        <v>23.8</v>
      </c>
      <c r="AA15" s="45">
        <v>46</v>
      </c>
      <c r="AB15" s="45">
        <v>36.5</v>
      </c>
      <c r="AC15" s="45">
        <v>26</v>
      </c>
      <c r="AD15" s="45">
        <v>26</v>
      </c>
      <c r="AE15" s="45">
        <v>37</v>
      </c>
      <c r="AF15" s="45">
        <v>37</v>
      </c>
      <c r="AG15" s="49">
        <v>45</v>
      </c>
      <c r="AH15" s="47">
        <f t="shared" si="2"/>
        <v>46</v>
      </c>
      <c r="AI15" s="48">
        <f t="shared" si="3"/>
        <v>23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30</v>
      </c>
      <c r="O16" s="45">
        <v>30</v>
      </c>
      <c r="P16" s="45">
        <v>30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30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29</v>
      </c>
      <c r="C17" s="45">
        <v>29</v>
      </c>
      <c r="D17" s="45">
        <v>29</v>
      </c>
      <c r="E17" s="45">
        <v>29</v>
      </c>
      <c r="F17" s="45">
        <v>29</v>
      </c>
      <c r="G17" s="45">
        <v>29</v>
      </c>
      <c r="H17" s="45">
        <v>29</v>
      </c>
      <c r="I17" s="45">
        <v>29</v>
      </c>
      <c r="J17" s="45">
        <v>29</v>
      </c>
      <c r="K17" s="45">
        <v>29</v>
      </c>
      <c r="L17" s="45">
        <v>29</v>
      </c>
      <c r="M17" s="45">
        <v>29</v>
      </c>
      <c r="N17" s="45">
        <v>29</v>
      </c>
      <c r="O17" s="45">
        <v>29</v>
      </c>
      <c r="P17" s="45">
        <v>29</v>
      </c>
      <c r="Q17" s="45">
        <v>29</v>
      </c>
      <c r="R17" s="45">
        <v>29</v>
      </c>
      <c r="S17" s="45">
        <v>29</v>
      </c>
      <c r="T17" s="45">
        <v>29</v>
      </c>
      <c r="U17" s="45">
        <v>29</v>
      </c>
      <c r="V17" s="45">
        <v>29</v>
      </c>
      <c r="W17" s="45">
        <v>29.5</v>
      </c>
      <c r="X17" s="45">
        <v>29.5</v>
      </c>
      <c r="Y17" s="45">
        <v>29.5</v>
      </c>
      <c r="Z17" s="45">
        <v>29.5</v>
      </c>
      <c r="AA17" s="45">
        <v>29.9</v>
      </c>
      <c r="AB17" s="45">
        <v>29.9</v>
      </c>
      <c r="AC17" s="45">
        <v>29.9</v>
      </c>
      <c r="AD17" s="45">
        <v>29.9</v>
      </c>
      <c r="AE17" s="45">
        <v>29.9</v>
      </c>
      <c r="AF17" s="45">
        <v>29.9</v>
      </c>
      <c r="AG17" s="49">
        <v>42</v>
      </c>
      <c r="AH17" s="47">
        <f t="shared" si="2"/>
        <v>29.9</v>
      </c>
      <c r="AI17" s="48">
        <f t="shared" si="3"/>
        <v>29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39</v>
      </c>
      <c r="C18" s="45">
        <v>39</v>
      </c>
      <c r="D18" s="45">
        <v>39</v>
      </c>
      <c r="E18" s="45">
        <v>39</v>
      </c>
      <c r="F18" s="45">
        <v>39</v>
      </c>
      <c r="G18" s="45">
        <v>39</v>
      </c>
      <c r="H18" s="45">
        <v>39</v>
      </c>
      <c r="I18" s="45">
        <v>39</v>
      </c>
      <c r="J18" s="45">
        <v>39</v>
      </c>
      <c r="K18" s="45">
        <v>39</v>
      </c>
      <c r="L18" s="45">
        <v>39</v>
      </c>
      <c r="M18" s="45">
        <v>39</v>
      </c>
      <c r="N18" s="45">
        <v>39</v>
      </c>
      <c r="O18" s="45">
        <v>39</v>
      </c>
      <c r="P18" s="45">
        <v>39</v>
      </c>
      <c r="Q18" s="45">
        <v>39</v>
      </c>
      <c r="R18" s="45">
        <v>39</v>
      </c>
      <c r="S18" s="45">
        <v>39</v>
      </c>
      <c r="T18" s="45">
        <v>39</v>
      </c>
      <c r="U18" s="45">
        <v>39</v>
      </c>
      <c r="V18" s="45">
        <v>39</v>
      </c>
      <c r="W18" s="45">
        <v>39</v>
      </c>
      <c r="X18" s="45">
        <v>39</v>
      </c>
      <c r="Y18" s="45">
        <v>39</v>
      </c>
      <c r="Z18" s="45">
        <v>39</v>
      </c>
      <c r="AA18" s="45">
        <v>39</v>
      </c>
      <c r="AB18" s="45">
        <v>39</v>
      </c>
      <c r="AC18" s="45">
        <v>39</v>
      </c>
      <c r="AD18" s="45">
        <v>39</v>
      </c>
      <c r="AE18" s="45">
        <v>39</v>
      </c>
      <c r="AF18" s="45">
        <v>39</v>
      </c>
      <c r="AG18" s="49">
        <v>38.46</v>
      </c>
      <c r="AH18" s="47">
        <f t="shared" si="2"/>
        <v>39</v>
      </c>
      <c r="AI18" s="48">
        <f t="shared" si="3"/>
        <v>39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5.2</v>
      </c>
      <c r="C20" s="45">
        <v>5.2</v>
      </c>
      <c r="D20" s="45">
        <v>5.2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5</v>
      </c>
      <c r="K20" s="45">
        <v>10</v>
      </c>
      <c r="L20" s="45">
        <v>29.9</v>
      </c>
      <c r="M20" s="45">
        <v>15</v>
      </c>
      <c r="N20" s="45">
        <v>6</v>
      </c>
      <c r="O20" s="45">
        <v>6</v>
      </c>
      <c r="P20" s="45">
        <v>6</v>
      </c>
      <c r="Q20" s="45">
        <v>20.8</v>
      </c>
      <c r="R20" s="45">
        <v>20.8</v>
      </c>
      <c r="S20" s="45">
        <v>20.8</v>
      </c>
      <c r="T20" s="45">
        <v>6.9</v>
      </c>
      <c r="U20" s="45">
        <v>6.9</v>
      </c>
      <c r="V20" s="45">
        <v>6.9</v>
      </c>
      <c r="W20" s="45">
        <v>6.9</v>
      </c>
      <c r="X20" s="45">
        <v>6.9</v>
      </c>
      <c r="Y20" s="45">
        <v>6.9</v>
      </c>
      <c r="Z20" s="45">
        <v>6.9</v>
      </c>
      <c r="AA20" s="45">
        <v>29.9</v>
      </c>
      <c r="AB20" s="45">
        <v>29.9</v>
      </c>
      <c r="AC20" s="45">
        <v>29.9</v>
      </c>
      <c r="AD20" s="45">
        <v>29.9</v>
      </c>
      <c r="AE20" s="45">
        <v>29.9</v>
      </c>
      <c r="AF20" s="45">
        <v>10</v>
      </c>
      <c r="AG20" s="51">
        <v>30</v>
      </c>
      <c r="AH20" s="47">
        <f t="shared" si="2"/>
        <v>29.9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</v>
      </c>
      <c r="C21" s="45">
        <v>20</v>
      </c>
      <c r="D21" s="45">
        <v>20</v>
      </c>
      <c r="E21" s="45">
        <v>20</v>
      </c>
      <c r="F21" s="45">
        <v>20</v>
      </c>
      <c r="G21" s="45">
        <v>20</v>
      </c>
      <c r="H21" s="45">
        <v>20</v>
      </c>
      <c r="I21" s="45">
        <v>20</v>
      </c>
      <c r="J21" s="45">
        <v>20</v>
      </c>
      <c r="K21" s="45">
        <v>20</v>
      </c>
      <c r="L21" s="45">
        <v>20</v>
      </c>
      <c r="M21" s="45">
        <v>20.9</v>
      </c>
      <c r="N21" s="45">
        <v>20.9</v>
      </c>
      <c r="O21" s="45">
        <v>20.9</v>
      </c>
      <c r="P21" s="45">
        <v>20.9</v>
      </c>
      <c r="Q21" s="45">
        <v>20.9</v>
      </c>
      <c r="R21" s="45">
        <v>20.9</v>
      </c>
      <c r="S21" s="45">
        <v>20.9</v>
      </c>
      <c r="T21" s="45">
        <v>20.9</v>
      </c>
      <c r="U21" s="45">
        <v>20.9</v>
      </c>
      <c r="V21" s="45">
        <v>20.9</v>
      </c>
      <c r="W21" s="45">
        <v>20.9</v>
      </c>
      <c r="X21" s="45">
        <v>20.9</v>
      </c>
      <c r="Y21" s="45">
        <v>20.9</v>
      </c>
      <c r="Z21" s="45">
        <v>20.9</v>
      </c>
      <c r="AA21" s="45">
        <v>20.9</v>
      </c>
      <c r="AB21" s="45">
        <v>20.9</v>
      </c>
      <c r="AC21" s="45">
        <v>20.9</v>
      </c>
      <c r="AD21" s="45">
        <v>20.9</v>
      </c>
      <c r="AE21" s="45">
        <v>20.9</v>
      </c>
      <c r="AF21" s="45">
        <v>20.9</v>
      </c>
      <c r="AG21" s="49">
        <v>24.2</v>
      </c>
      <c r="AH21" s="47">
        <f t="shared" si="2"/>
        <v>20.9</v>
      </c>
      <c r="AI21" s="48">
        <f t="shared" si="3"/>
        <v>20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21.2</v>
      </c>
      <c r="X22" s="45">
        <v>21.2</v>
      </c>
      <c r="Y22" s="45">
        <v>21.2</v>
      </c>
      <c r="Z22" s="45">
        <v>21.2</v>
      </c>
      <c r="AA22" s="45">
        <v>21.2</v>
      </c>
      <c r="AB22" s="45">
        <v>21.2</v>
      </c>
      <c r="AC22" s="45">
        <v>21.2</v>
      </c>
      <c r="AD22" s="45">
        <v>21.2</v>
      </c>
      <c r="AE22" s="45">
        <v>21.2</v>
      </c>
      <c r="AF22" s="45">
        <v>21.2</v>
      </c>
      <c r="AG22" s="49">
        <v>28</v>
      </c>
      <c r="AH22" s="47">
        <f t="shared" si="2"/>
        <v>21.2</v>
      </c>
      <c r="AI22" s="48">
        <f t="shared" si="3"/>
        <v>20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4.5</v>
      </c>
      <c r="C23" s="45">
        <v>4.5</v>
      </c>
      <c r="D23" s="45">
        <v>4.5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5</v>
      </c>
      <c r="K23" s="45">
        <v>5</v>
      </c>
      <c r="L23" s="45">
        <v>27</v>
      </c>
      <c r="M23" s="45">
        <v>13.5</v>
      </c>
      <c r="N23" s="45">
        <f>27*0.2</f>
        <v>5.4</v>
      </c>
      <c r="O23" s="45">
        <f>27*0.2</f>
        <v>5.4</v>
      </c>
      <c r="P23" s="45">
        <f>27*0.2</f>
        <v>5.4</v>
      </c>
      <c r="Q23" s="45">
        <v>18</v>
      </c>
      <c r="R23" s="45">
        <v>18</v>
      </c>
      <c r="S23" s="45">
        <v>18</v>
      </c>
      <c r="T23" s="45">
        <v>4.5</v>
      </c>
      <c r="U23" s="45">
        <v>4.5</v>
      </c>
      <c r="V23" s="45">
        <v>4.5</v>
      </c>
      <c r="W23" s="45">
        <v>4.5</v>
      </c>
      <c r="X23" s="45">
        <v>4.5</v>
      </c>
      <c r="Y23" s="45">
        <v>4.5</v>
      </c>
      <c r="Z23" s="45">
        <v>4.5</v>
      </c>
      <c r="AA23" s="45">
        <v>27</v>
      </c>
      <c r="AB23" s="45">
        <v>27</v>
      </c>
      <c r="AC23" s="45">
        <v>27</v>
      </c>
      <c r="AD23" s="45">
        <v>27</v>
      </c>
      <c r="AE23" s="45">
        <v>27</v>
      </c>
      <c r="AF23" s="45">
        <v>9</v>
      </c>
      <c r="AG23" s="51">
        <v>30</v>
      </c>
      <c r="AH23" s="47">
        <f t="shared" si="2"/>
        <v>27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25</v>
      </c>
      <c r="C24" s="45">
        <v>25</v>
      </c>
      <c r="D24" s="45">
        <v>25</v>
      </c>
      <c r="E24" s="45">
        <v>25</v>
      </c>
      <c r="F24" s="45">
        <v>25</v>
      </c>
      <c r="G24" s="45">
        <v>25</v>
      </c>
      <c r="H24" s="45">
        <v>25</v>
      </c>
      <c r="I24" s="45">
        <v>25</v>
      </c>
      <c r="J24" s="45">
        <v>25</v>
      </c>
      <c r="K24" s="45">
        <v>25</v>
      </c>
      <c r="L24" s="45">
        <v>25</v>
      </c>
      <c r="M24" s="45">
        <v>25</v>
      </c>
      <c r="N24" s="45">
        <v>25</v>
      </c>
      <c r="O24" s="45">
        <v>25</v>
      </c>
      <c r="P24" s="45">
        <v>25</v>
      </c>
      <c r="Q24" s="45">
        <v>25</v>
      </c>
      <c r="R24" s="45">
        <v>25</v>
      </c>
      <c r="S24" s="45">
        <v>25</v>
      </c>
      <c r="T24" s="45">
        <v>25</v>
      </c>
      <c r="U24" s="45">
        <v>25</v>
      </c>
      <c r="V24" s="45">
        <v>25</v>
      </c>
      <c r="W24" s="45">
        <v>24.8</v>
      </c>
      <c r="X24" s="45">
        <v>24.8</v>
      </c>
      <c r="Y24" s="45">
        <v>24.8</v>
      </c>
      <c r="Z24" s="45">
        <v>24.8</v>
      </c>
      <c r="AA24" s="45">
        <v>24.8</v>
      </c>
      <c r="AB24" s="45">
        <v>24.8</v>
      </c>
      <c r="AC24" s="45">
        <v>24.8</v>
      </c>
      <c r="AD24" s="45">
        <v>24.8</v>
      </c>
      <c r="AE24" s="45">
        <v>24.8</v>
      </c>
      <c r="AF24" s="45">
        <v>24.8</v>
      </c>
      <c r="AG24" s="49">
        <v>25</v>
      </c>
      <c r="AH24" s="47">
        <f t="shared" si="2"/>
        <v>25</v>
      </c>
      <c r="AI24" s="48">
        <f t="shared" si="3"/>
        <v>24.8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4.5</v>
      </c>
      <c r="C27" s="45">
        <v>4.5</v>
      </c>
      <c r="D27" s="45">
        <v>4.5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5</v>
      </c>
      <c r="K27" s="45">
        <v>5</v>
      </c>
      <c r="L27" s="45">
        <v>25</v>
      </c>
      <c r="M27" s="45">
        <v>25</v>
      </c>
      <c r="N27" s="45">
        <v>5</v>
      </c>
      <c r="O27" s="45">
        <v>5</v>
      </c>
      <c r="P27" s="45">
        <v>5</v>
      </c>
      <c r="Q27" s="45">
        <v>18</v>
      </c>
      <c r="R27" s="45">
        <v>18</v>
      </c>
      <c r="S27" s="45">
        <v>18</v>
      </c>
      <c r="T27" s="45">
        <v>18</v>
      </c>
      <c r="U27" s="45">
        <v>4.5</v>
      </c>
      <c r="V27" s="45">
        <v>4.5</v>
      </c>
      <c r="W27" s="45">
        <v>4.5</v>
      </c>
      <c r="X27" s="45">
        <v>4.5</v>
      </c>
      <c r="Y27" s="45">
        <v>4.5</v>
      </c>
      <c r="Z27" s="45">
        <v>4.5</v>
      </c>
      <c r="AA27" s="45">
        <v>4.5</v>
      </c>
      <c r="AB27" s="45">
        <v>4.5</v>
      </c>
      <c r="AC27" s="45">
        <v>25</v>
      </c>
      <c r="AD27" s="45">
        <v>25</v>
      </c>
      <c r="AE27" s="45">
        <v>25</v>
      </c>
      <c r="AF27" s="45">
        <v>10</v>
      </c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24.9</v>
      </c>
      <c r="C28" s="45">
        <v>24.9</v>
      </c>
      <c r="D28" s="45">
        <v>24.9</v>
      </c>
      <c r="E28" s="45">
        <v>24.9</v>
      </c>
      <c r="F28" s="45">
        <v>24.9</v>
      </c>
      <c r="G28" s="45">
        <v>24.9</v>
      </c>
      <c r="H28" s="45">
        <v>24.9</v>
      </c>
      <c r="I28" s="45">
        <v>24.9</v>
      </c>
      <c r="J28" s="45">
        <v>24.9</v>
      </c>
      <c r="K28" s="45">
        <v>24.9</v>
      </c>
      <c r="L28" s="45">
        <v>24.9</v>
      </c>
      <c r="M28" s="45">
        <v>24.8</v>
      </c>
      <c r="N28" s="45">
        <v>24.8</v>
      </c>
      <c r="O28" s="45">
        <v>24.8</v>
      </c>
      <c r="P28" s="45">
        <v>24.8</v>
      </c>
      <c r="Q28" s="45">
        <v>24.8</v>
      </c>
      <c r="R28" s="45">
        <v>24.8</v>
      </c>
      <c r="S28" s="45">
        <v>24.8</v>
      </c>
      <c r="T28" s="45">
        <v>24.8</v>
      </c>
      <c r="U28" s="45">
        <v>24.8</v>
      </c>
      <c r="V28" s="45">
        <v>24.8</v>
      </c>
      <c r="W28" s="45">
        <v>24.9</v>
      </c>
      <c r="X28" s="45">
        <v>24.9</v>
      </c>
      <c r="Y28" s="45">
        <v>24.9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24.9</v>
      </c>
      <c r="AF28" s="45">
        <v>24.9</v>
      </c>
      <c r="AG28" s="49">
        <v>23.5</v>
      </c>
      <c r="AH28" s="47">
        <f t="shared" si="2"/>
        <v>24.9</v>
      </c>
      <c r="AI28" s="48">
        <f t="shared" si="3"/>
        <v>24.8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26</v>
      </c>
      <c r="AB32" s="45">
        <v>26</v>
      </c>
      <c r="AC32" s="45">
        <v>26</v>
      </c>
      <c r="AD32" s="45">
        <v>26</v>
      </c>
      <c r="AE32" s="45">
        <v>26</v>
      </c>
      <c r="AF32" s="45">
        <v>26</v>
      </c>
      <c r="AG32" s="49">
        <v>22</v>
      </c>
      <c r="AH32" s="47">
        <f t="shared" si="2"/>
        <v>26</v>
      </c>
      <c r="AI32" s="48">
        <f t="shared" si="3"/>
        <v>22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49">
        <v>20</v>
      </c>
      <c r="AH33" s="47">
        <f t="shared" si="2"/>
        <v>5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5</v>
      </c>
      <c r="M34" s="45">
        <v>5</v>
      </c>
      <c r="N34" s="45">
        <v>5</v>
      </c>
      <c r="O34" s="45">
        <v>5</v>
      </c>
      <c r="P34" s="45">
        <v>5</v>
      </c>
      <c r="Q34" s="45">
        <v>5</v>
      </c>
      <c r="R34" s="45">
        <v>5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5</v>
      </c>
      <c r="Y34" s="45">
        <v>5</v>
      </c>
      <c r="Z34" s="45">
        <v>5</v>
      </c>
      <c r="AA34" s="45">
        <v>5</v>
      </c>
      <c r="AB34" s="45">
        <v>5</v>
      </c>
      <c r="AC34" s="45">
        <v>5</v>
      </c>
      <c r="AD34" s="45">
        <v>5</v>
      </c>
      <c r="AE34" s="45">
        <v>0</v>
      </c>
      <c r="AF34" s="45">
        <v>0</v>
      </c>
      <c r="AG34" s="49">
        <v>18</v>
      </c>
      <c r="AH34" s="47">
        <f t="shared" si="2"/>
        <v>5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2</v>
      </c>
      <c r="C39" s="45">
        <v>2</v>
      </c>
      <c r="D39" s="45">
        <v>2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6</v>
      </c>
      <c r="M39" s="45">
        <v>6</v>
      </c>
      <c r="N39" s="45">
        <v>2.4</v>
      </c>
      <c r="O39" s="45">
        <v>2.4</v>
      </c>
      <c r="P39" s="45">
        <v>2.4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12</v>
      </c>
      <c r="X39" s="45">
        <v>12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6</v>
      </c>
      <c r="AF39" s="45">
        <v>3</v>
      </c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0</v>
      </c>
      <c r="C40" s="45">
        <v>0</v>
      </c>
      <c r="D40" s="45">
        <v>0</v>
      </c>
      <c r="E40" s="45">
        <v>8.5</v>
      </c>
      <c r="F40" s="45">
        <v>8.5</v>
      </c>
      <c r="G40" s="45">
        <v>8.5</v>
      </c>
      <c r="H40" s="45">
        <v>8.5</v>
      </c>
      <c r="I40" s="45">
        <v>8.5</v>
      </c>
      <c r="J40" s="45">
        <v>8.5</v>
      </c>
      <c r="K40" s="45">
        <v>8.5</v>
      </c>
      <c r="L40" s="45">
        <v>8.5</v>
      </c>
      <c r="M40" s="45">
        <v>8.5</v>
      </c>
      <c r="N40" s="45">
        <v>8.5</v>
      </c>
      <c r="O40" s="45">
        <v>8.5</v>
      </c>
      <c r="P40" s="45">
        <v>8.5</v>
      </c>
      <c r="Q40" s="45">
        <v>8.5</v>
      </c>
      <c r="R40" s="45">
        <v>8.5</v>
      </c>
      <c r="S40" s="45">
        <v>8.5</v>
      </c>
      <c r="T40" s="45">
        <v>8.5</v>
      </c>
      <c r="U40" s="45">
        <v>8.5</v>
      </c>
      <c r="V40" s="45">
        <v>8.5</v>
      </c>
      <c r="W40" s="45">
        <v>8.5</v>
      </c>
      <c r="X40" s="45">
        <v>8.5</v>
      </c>
      <c r="Y40" s="45">
        <v>8.5</v>
      </c>
      <c r="Z40" s="45">
        <v>8.5</v>
      </c>
      <c r="AA40" s="45">
        <v>8.5</v>
      </c>
      <c r="AB40" s="45">
        <v>8.5</v>
      </c>
      <c r="AC40" s="45">
        <v>8.5</v>
      </c>
      <c r="AD40" s="45">
        <v>8.5</v>
      </c>
      <c r="AE40" s="45">
        <v>8.5</v>
      </c>
      <c r="AF40" s="45">
        <v>8.5</v>
      </c>
      <c r="AG40" s="49">
        <v>12</v>
      </c>
      <c r="AH40" s="47">
        <f t="shared" si="2"/>
        <v>8.5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3</v>
      </c>
      <c r="C41" s="45">
        <v>3</v>
      </c>
      <c r="D41" s="45">
        <v>3</v>
      </c>
      <c r="E41" s="45">
        <v>3</v>
      </c>
      <c r="F41" s="45">
        <v>3</v>
      </c>
      <c r="G41" s="45">
        <v>3</v>
      </c>
      <c r="H41" s="45">
        <v>3</v>
      </c>
      <c r="I41" s="45">
        <v>3</v>
      </c>
      <c r="J41" s="45">
        <v>3</v>
      </c>
      <c r="K41" s="45">
        <v>3</v>
      </c>
      <c r="L41" s="45">
        <v>3</v>
      </c>
      <c r="M41" s="45">
        <v>3</v>
      </c>
      <c r="N41" s="45">
        <v>3</v>
      </c>
      <c r="O41" s="45">
        <v>3</v>
      </c>
      <c r="P41" s="45">
        <v>3</v>
      </c>
      <c r="Q41" s="45">
        <v>3</v>
      </c>
      <c r="R41" s="45">
        <v>3</v>
      </c>
      <c r="S41" s="45">
        <v>3</v>
      </c>
      <c r="T41" s="45">
        <v>3</v>
      </c>
      <c r="U41" s="45">
        <v>3</v>
      </c>
      <c r="V41" s="45">
        <v>3</v>
      </c>
      <c r="W41" s="45">
        <v>3</v>
      </c>
      <c r="X41" s="45">
        <v>3</v>
      </c>
      <c r="Y41" s="45">
        <v>3</v>
      </c>
      <c r="Z41" s="45">
        <v>3</v>
      </c>
      <c r="AA41" s="45">
        <v>3</v>
      </c>
      <c r="AB41" s="45">
        <v>3</v>
      </c>
      <c r="AC41" s="45">
        <v>3</v>
      </c>
      <c r="AD41" s="45">
        <v>3</v>
      </c>
      <c r="AE41" s="45">
        <v>3</v>
      </c>
      <c r="AF41" s="45">
        <v>3</v>
      </c>
      <c r="AG41" s="49">
        <v>12</v>
      </c>
      <c r="AH41" s="47">
        <f t="shared" si="2"/>
        <v>3</v>
      </c>
      <c r="AI41" s="48">
        <f t="shared" si="3"/>
        <v>3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0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52">
        <v>22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6</v>
      </c>
      <c r="C43" s="45">
        <v>6</v>
      </c>
      <c r="D43" s="45">
        <v>6</v>
      </c>
      <c r="E43" s="45">
        <v>6</v>
      </c>
      <c r="F43" s="45">
        <v>6</v>
      </c>
      <c r="G43" s="45">
        <v>6</v>
      </c>
      <c r="H43" s="45">
        <v>6</v>
      </c>
      <c r="I43" s="45">
        <v>6</v>
      </c>
      <c r="J43" s="45">
        <v>6</v>
      </c>
      <c r="K43" s="45">
        <v>6</v>
      </c>
      <c r="L43" s="45">
        <v>6</v>
      </c>
      <c r="M43" s="45">
        <v>6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0</v>
      </c>
      <c r="V43" s="45">
        <v>0</v>
      </c>
      <c r="W43" s="45">
        <v>0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51">
        <v>11.88</v>
      </c>
      <c r="AH43" s="47">
        <f t="shared" si="2"/>
        <v>6</v>
      </c>
      <c r="AI43" s="48">
        <f t="shared" si="3"/>
        <v>0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370</v>
      </c>
      <c r="C48" s="56">
        <v>370</v>
      </c>
      <c r="D48" s="56">
        <v>370</v>
      </c>
      <c r="E48" s="56">
        <v>370</v>
      </c>
      <c r="F48" s="56">
        <v>370</v>
      </c>
      <c r="G48" s="56">
        <v>370</v>
      </c>
      <c r="H48" s="56">
        <v>370</v>
      </c>
      <c r="I48" s="56">
        <v>370</v>
      </c>
      <c r="J48" s="56">
        <v>370</v>
      </c>
      <c r="K48" s="56">
        <v>370</v>
      </c>
      <c r="L48" s="56">
        <v>370</v>
      </c>
      <c r="M48" s="56">
        <v>370</v>
      </c>
      <c r="N48" s="56">
        <v>370</v>
      </c>
      <c r="O48" s="56">
        <v>370</v>
      </c>
      <c r="P48" s="56">
        <v>370</v>
      </c>
      <c r="Q48" s="56">
        <v>370</v>
      </c>
      <c r="R48" s="56">
        <v>370</v>
      </c>
      <c r="S48" s="56">
        <v>370</v>
      </c>
      <c r="T48" s="56">
        <v>370</v>
      </c>
      <c r="U48" s="56">
        <v>370</v>
      </c>
      <c r="V48" s="56">
        <v>370</v>
      </c>
      <c r="W48" s="56">
        <v>370</v>
      </c>
      <c r="X48" s="56">
        <v>370</v>
      </c>
      <c r="Y48" s="56">
        <v>370</v>
      </c>
      <c r="Z48" s="56">
        <v>370</v>
      </c>
      <c r="AA48" s="56">
        <v>370</v>
      </c>
      <c r="AB48" s="56">
        <v>370</v>
      </c>
      <c r="AC48" s="56">
        <v>370</v>
      </c>
      <c r="AD48" s="56">
        <v>370</v>
      </c>
      <c r="AE48" s="56">
        <v>370</v>
      </c>
      <c r="AF48" s="56">
        <v>370</v>
      </c>
      <c r="AG48" s="54">
        <v>85</v>
      </c>
      <c r="AH48" s="47">
        <f t="shared" si="2"/>
        <v>370</v>
      </c>
      <c r="AI48" s="48">
        <f t="shared" si="3"/>
        <v>370</v>
      </c>
      <c r="AK48" s="50"/>
    </row>
    <row r="49" spans="1:41" ht="15.75" thickBot="1" x14ac:dyDescent="0.3">
      <c r="A49" s="57" t="s">
        <v>57</v>
      </c>
      <c r="B49" s="56">
        <v>113.1</v>
      </c>
      <c r="C49" s="56">
        <v>113.1</v>
      </c>
      <c r="D49" s="56">
        <v>114</v>
      </c>
      <c r="E49" s="56">
        <v>114</v>
      </c>
      <c r="F49" s="56">
        <v>114</v>
      </c>
      <c r="G49" s="56">
        <v>114</v>
      </c>
      <c r="H49" s="56">
        <v>114</v>
      </c>
      <c r="I49" s="56">
        <v>116</v>
      </c>
      <c r="J49" s="56">
        <v>116</v>
      </c>
      <c r="K49" s="56">
        <v>116</v>
      </c>
      <c r="L49" s="56">
        <v>116</v>
      </c>
      <c r="M49" s="56">
        <v>116</v>
      </c>
      <c r="N49" s="56">
        <v>116</v>
      </c>
      <c r="O49" s="56">
        <v>116</v>
      </c>
      <c r="P49" s="56">
        <v>116</v>
      </c>
      <c r="Q49" s="56">
        <v>116</v>
      </c>
      <c r="R49" s="58">
        <v>112.5</v>
      </c>
      <c r="S49" s="58">
        <v>112.5</v>
      </c>
      <c r="T49" s="58">
        <v>112.5</v>
      </c>
      <c r="U49" s="58">
        <v>112.5</v>
      </c>
      <c r="V49" s="58">
        <v>112.5</v>
      </c>
      <c r="W49" s="58">
        <v>112.5</v>
      </c>
      <c r="X49" s="58">
        <v>112.5</v>
      </c>
      <c r="Y49" s="58">
        <v>112.5</v>
      </c>
      <c r="Z49" s="58">
        <v>112.5</v>
      </c>
      <c r="AA49" s="58">
        <v>112.5</v>
      </c>
      <c r="AB49" s="56">
        <v>112.5</v>
      </c>
      <c r="AC49" s="56">
        <v>112.5</v>
      </c>
      <c r="AD49" s="56">
        <v>112.5</v>
      </c>
      <c r="AE49" s="56">
        <v>112.5</v>
      </c>
      <c r="AF49" s="56">
        <v>112.5</v>
      </c>
      <c r="AG49" s="54">
        <v>240</v>
      </c>
      <c r="AH49" s="47">
        <f t="shared" si="2"/>
        <v>116</v>
      </c>
      <c r="AI49" s="48">
        <f t="shared" si="3"/>
        <v>112.5</v>
      </c>
      <c r="AK49" s="50"/>
    </row>
    <row r="50" spans="1:41" ht="15.75" thickBot="1" x14ac:dyDescent="0.3">
      <c r="A50" s="59" t="s">
        <v>58</v>
      </c>
      <c r="B50" s="60">
        <f t="shared" ref="B50:AF50" si="4">SUM(B11:B48)</f>
        <v>999.2</v>
      </c>
      <c r="C50" s="60">
        <f t="shared" ref="C50:D50" si="5">SUM(C11:C48)</f>
        <v>999.2</v>
      </c>
      <c r="D50" s="60">
        <f t="shared" si="5"/>
        <v>999.2</v>
      </c>
      <c r="E50" s="60">
        <f t="shared" ref="E50" si="6">SUM(E11:E48)</f>
        <v>991.5</v>
      </c>
      <c r="F50" s="60">
        <f t="shared" si="4"/>
        <v>991.5</v>
      </c>
      <c r="G50" s="60">
        <f t="shared" si="4"/>
        <v>986.5</v>
      </c>
      <c r="H50" s="60">
        <f t="shared" si="4"/>
        <v>986.5</v>
      </c>
      <c r="I50" s="60">
        <f t="shared" si="4"/>
        <v>986.5</v>
      </c>
      <c r="J50" s="60">
        <f t="shared" si="4"/>
        <v>1001.5</v>
      </c>
      <c r="K50" s="60">
        <f t="shared" si="4"/>
        <v>1006.5</v>
      </c>
      <c r="L50" s="60">
        <f t="shared" si="4"/>
        <v>1084.4000000000001</v>
      </c>
      <c r="M50" s="60">
        <f t="shared" ref="M50:N50" si="7">SUM(M11:M48)</f>
        <v>1057.5</v>
      </c>
      <c r="N50" s="60">
        <f t="shared" si="7"/>
        <v>996.9</v>
      </c>
      <c r="O50" s="60">
        <f t="shared" si="4"/>
        <v>996.9</v>
      </c>
      <c r="P50" s="60">
        <f t="shared" ref="P50:Q50" si="8">SUM(P11:P48)</f>
        <v>996.9</v>
      </c>
      <c r="Q50" s="60">
        <f t="shared" si="8"/>
        <v>1060.9000000000001</v>
      </c>
      <c r="R50" s="60">
        <f t="shared" si="4"/>
        <v>1060.9000000000001</v>
      </c>
      <c r="S50" s="60">
        <f t="shared" si="4"/>
        <v>1061</v>
      </c>
      <c r="T50" s="60">
        <f t="shared" si="4"/>
        <v>1033.5999999999999</v>
      </c>
      <c r="U50" s="60">
        <f t="shared" si="4"/>
        <v>984.09999999999991</v>
      </c>
      <c r="V50" s="60">
        <f t="shared" si="4"/>
        <v>984.09999999999991</v>
      </c>
      <c r="W50" s="60">
        <f t="shared" si="4"/>
        <v>985.4</v>
      </c>
      <c r="X50" s="60">
        <f t="shared" si="4"/>
        <v>985.4</v>
      </c>
      <c r="Y50" s="60">
        <f t="shared" si="4"/>
        <v>985.4</v>
      </c>
      <c r="Z50" s="60">
        <f t="shared" si="4"/>
        <v>985.4</v>
      </c>
      <c r="AA50" s="60">
        <f t="shared" si="4"/>
        <v>1057.9000000000001</v>
      </c>
      <c r="AB50" s="60">
        <f t="shared" si="4"/>
        <v>1048.4000000000001</v>
      </c>
      <c r="AC50" s="60">
        <f t="shared" si="4"/>
        <v>1058.4000000000001</v>
      </c>
      <c r="AD50" s="60">
        <f t="shared" si="4"/>
        <v>1058.4000000000001</v>
      </c>
      <c r="AE50" s="60">
        <f t="shared" si="4"/>
        <v>1058.4000000000001</v>
      </c>
      <c r="AF50" s="60">
        <f t="shared" si="4"/>
        <v>1038.5</v>
      </c>
      <c r="AG50" s="61">
        <f>SUM(AG13:AG48)</f>
        <v>922.14</v>
      </c>
      <c r="AH50" s="47">
        <f t="shared" si="2"/>
        <v>1084.4000000000001</v>
      </c>
      <c r="AI50" s="48">
        <f t="shared" si="3"/>
        <v>984.09999999999991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</v>
      </c>
      <c r="C53" s="66">
        <v>22</v>
      </c>
      <c r="D53" s="66">
        <v>22</v>
      </c>
      <c r="E53" s="66">
        <v>22</v>
      </c>
      <c r="F53" s="66">
        <v>22</v>
      </c>
      <c r="G53" s="66">
        <v>22</v>
      </c>
      <c r="H53" s="66">
        <v>22</v>
      </c>
      <c r="I53" s="66">
        <v>22</v>
      </c>
      <c r="J53" s="66">
        <v>22</v>
      </c>
      <c r="K53" s="66">
        <v>22</v>
      </c>
      <c r="L53" s="66">
        <v>22</v>
      </c>
      <c r="M53" s="66">
        <v>22</v>
      </c>
      <c r="N53" s="66">
        <v>22.5</v>
      </c>
      <c r="O53" s="66">
        <v>22.5</v>
      </c>
      <c r="P53" s="66">
        <v>22.5</v>
      </c>
      <c r="Q53" s="66">
        <v>0</v>
      </c>
      <c r="R53" s="66">
        <v>0</v>
      </c>
      <c r="S53" s="66">
        <v>22</v>
      </c>
      <c r="T53" s="66">
        <v>22</v>
      </c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66">
        <v>22</v>
      </c>
      <c r="AB53" s="66">
        <v>22</v>
      </c>
      <c r="AC53" s="66">
        <v>22</v>
      </c>
      <c r="AD53" s="66">
        <v>22</v>
      </c>
      <c r="AE53" s="66">
        <v>22</v>
      </c>
      <c r="AF53" s="66">
        <v>22</v>
      </c>
      <c r="AG53" s="67">
        <v>22.1</v>
      </c>
      <c r="AH53" s="47">
        <f t="shared" si="2"/>
        <v>22.5</v>
      </c>
      <c r="AI53" s="48">
        <f t="shared" si="3"/>
        <v>0</v>
      </c>
      <c r="AK53" s="50"/>
    </row>
    <row r="54" spans="1:41" ht="15.75" thickBot="1" x14ac:dyDescent="0.3">
      <c r="A54" s="68" t="s">
        <v>62</v>
      </c>
      <c r="B54" s="60">
        <f t="shared" ref="B54:C54" si="9">SUM(B51:B53)</f>
        <v>533</v>
      </c>
      <c r="C54" s="60">
        <f t="shared" si="9"/>
        <v>533</v>
      </c>
      <c r="D54" s="60">
        <f t="shared" ref="D54:E54" si="10">SUM(D51:D53)</f>
        <v>533</v>
      </c>
      <c r="E54" s="60">
        <f t="shared" si="10"/>
        <v>533</v>
      </c>
      <c r="F54" s="60">
        <f t="shared" ref="F54:AG54" si="11">SUM(F51:F53)</f>
        <v>533</v>
      </c>
      <c r="G54" s="60">
        <f t="shared" si="11"/>
        <v>533</v>
      </c>
      <c r="H54" s="60">
        <f t="shared" si="11"/>
        <v>533</v>
      </c>
      <c r="I54" s="60">
        <f t="shared" si="11"/>
        <v>533</v>
      </c>
      <c r="J54" s="60">
        <f t="shared" si="11"/>
        <v>533</v>
      </c>
      <c r="K54" s="60">
        <f t="shared" si="11"/>
        <v>533</v>
      </c>
      <c r="L54" s="60">
        <f t="shared" si="11"/>
        <v>533</v>
      </c>
      <c r="M54" s="60">
        <f t="shared" ref="M54:N54" si="12">SUM(M51:M53)</f>
        <v>533</v>
      </c>
      <c r="N54" s="60">
        <f t="shared" si="12"/>
        <v>533.5</v>
      </c>
      <c r="O54" s="60">
        <f t="shared" si="11"/>
        <v>533.5</v>
      </c>
      <c r="P54" s="60">
        <f t="shared" ref="P54:Q54" si="13">SUM(P51:P53)</f>
        <v>533.5</v>
      </c>
      <c r="Q54" s="60">
        <f t="shared" si="13"/>
        <v>511</v>
      </c>
      <c r="R54" s="60">
        <f t="shared" si="11"/>
        <v>511</v>
      </c>
      <c r="S54" s="60">
        <f t="shared" si="11"/>
        <v>533</v>
      </c>
      <c r="T54" s="60">
        <f t="shared" si="11"/>
        <v>533</v>
      </c>
      <c r="U54" s="60">
        <f t="shared" si="11"/>
        <v>533</v>
      </c>
      <c r="V54" s="60">
        <f t="shared" si="11"/>
        <v>533</v>
      </c>
      <c r="W54" s="60">
        <f t="shared" si="11"/>
        <v>533</v>
      </c>
      <c r="X54" s="60">
        <f t="shared" si="11"/>
        <v>533</v>
      </c>
      <c r="Y54" s="60">
        <f t="shared" ref="Y54" si="14">SUM(Y51:Y53)</f>
        <v>533</v>
      </c>
      <c r="Z54" s="60">
        <f t="shared" si="11"/>
        <v>533</v>
      </c>
      <c r="AA54" s="60">
        <f t="shared" si="11"/>
        <v>533</v>
      </c>
      <c r="AB54" s="60">
        <f t="shared" si="11"/>
        <v>533</v>
      </c>
      <c r="AC54" s="60">
        <f t="shared" si="11"/>
        <v>533</v>
      </c>
      <c r="AD54" s="60">
        <f t="shared" si="11"/>
        <v>533</v>
      </c>
      <c r="AE54" s="60">
        <f t="shared" si="11"/>
        <v>533</v>
      </c>
      <c r="AF54" s="60">
        <f t="shared" si="11"/>
        <v>533</v>
      </c>
      <c r="AG54" s="61">
        <f t="shared" si="11"/>
        <v>538.1</v>
      </c>
      <c r="AH54" s="47">
        <f t="shared" si="2"/>
        <v>533.5</v>
      </c>
      <c r="AI54" s="48">
        <f t="shared" si="3"/>
        <v>511</v>
      </c>
      <c r="AK54" s="50"/>
    </row>
    <row r="55" spans="1:41" x14ac:dyDescent="0.25">
      <c r="A55" s="44" t="s">
        <v>63</v>
      </c>
      <c r="B55" s="45">
        <v>133.80000000000001</v>
      </c>
      <c r="C55" s="45">
        <v>127.6</v>
      </c>
      <c r="D55" s="45">
        <v>127.6</v>
      </c>
      <c r="E55" s="45">
        <v>121.4</v>
      </c>
      <c r="F55" s="45">
        <v>121.4</v>
      </c>
      <c r="G55" s="45">
        <v>121.4</v>
      </c>
      <c r="H55" s="45">
        <v>129.4</v>
      </c>
      <c r="I55" s="45">
        <v>131.80000000000001</v>
      </c>
      <c r="J55" s="45">
        <v>131.80000000000001</v>
      </c>
      <c r="K55" s="45">
        <v>123.5</v>
      </c>
      <c r="L55" s="45">
        <v>132.5</v>
      </c>
      <c r="M55" s="45">
        <v>132.5</v>
      </c>
      <c r="N55" s="45">
        <v>127.6</v>
      </c>
      <c r="O55" s="45">
        <v>127.6</v>
      </c>
      <c r="P55" s="45">
        <v>132.9</v>
      </c>
      <c r="Q55" s="45">
        <v>133.33000000000001</v>
      </c>
      <c r="R55" s="45">
        <v>133.33000000000001</v>
      </c>
      <c r="S55" s="45">
        <v>132.4</v>
      </c>
      <c r="T55" s="45">
        <v>131.30000000000001</v>
      </c>
      <c r="U55" s="45">
        <v>113.3</v>
      </c>
      <c r="V55" s="45">
        <v>113.3</v>
      </c>
      <c r="W55" s="45">
        <v>127.4</v>
      </c>
      <c r="X55" s="45">
        <v>121.3</v>
      </c>
      <c r="Y55" s="45">
        <v>121.4</v>
      </c>
      <c r="Z55" s="45">
        <v>121.2</v>
      </c>
      <c r="AA55" s="45">
        <v>125</v>
      </c>
      <c r="AB55" s="45">
        <v>121</v>
      </c>
      <c r="AC55" s="45">
        <v>131</v>
      </c>
      <c r="AD55" s="45">
        <v>131</v>
      </c>
      <c r="AE55" s="45">
        <v>131</v>
      </c>
      <c r="AF55" s="45">
        <v>131</v>
      </c>
      <c r="AG55" s="51">
        <v>144</v>
      </c>
      <c r="AH55" s="47">
        <f t="shared" si="2"/>
        <v>133.80000000000001</v>
      </c>
      <c r="AI55" s="48">
        <f t="shared" si="3"/>
        <v>113.3</v>
      </c>
      <c r="AK55" s="50"/>
    </row>
    <row r="56" spans="1:41" x14ac:dyDescent="0.25">
      <c r="A56" s="53" t="s">
        <v>64</v>
      </c>
      <c r="B56" s="45"/>
      <c r="C56" s="45">
        <v>60.3</v>
      </c>
      <c r="D56" s="45">
        <v>60</v>
      </c>
      <c r="E56" s="45">
        <v>65</v>
      </c>
      <c r="F56" s="64">
        <v>60</v>
      </c>
      <c r="G56" s="64">
        <v>60</v>
      </c>
      <c r="H56" s="64">
        <v>66.400000000000006</v>
      </c>
      <c r="I56" s="64">
        <v>69.7</v>
      </c>
      <c r="J56" s="64">
        <v>69.7</v>
      </c>
      <c r="K56" s="64">
        <v>69.7</v>
      </c>
      <c r="L56" s="64">
        <v>70</v>
      </c>
      <c r="M56" s="64">
        <v>70</v>
      </c>
      <c r="N56" s="64">
        <v>68</v>
      </c>
      <c r="O56" s="64">
        <v>68</v>
      </c>
      <c r="P56" s="64">
        <v>60.8</v>
      </c>
      <c r="Q56" s="64">
        <v>70.7</v>
      </c>
      <c r="R56" s="64">
        <v>70.7</v>
      </c>
      <c r="S56" s="64">
        <v>70.7</v>
      </c>
      <c r="T56" s="45">
        <v>60</v>
      </c>
      <c r="U56" s="45">
        <v>59.7</v>
      </c>
      <c r="V56" s="45">
        <v>59.7</v>
      </c>
      <c r="W56" s="45">
        <v>59.2</v>
      </c>
      <c r="X56" s="45">
        <v>59.2</v>
      </c>
      <c r="Y56" s="45">
        <v>59.8</v>
      </c>
      <c r="Z56" s="45">
        <v>70.3</v>
      </c>
      <c r="AA56" s="45">
        <v>71.7</v>
      </c>
      <c r="AB56" s="45">
        <v>71.7</v>
      </c>
      <c r="AC56" s="45">
        <v>71.7</v>
      </c>
      <c r="AD56" s="45">
        <v>71.7</v>
      </c>
      <c r="AE56" s="45">
        <v>71.7</v>
      </c>
      <c r="AF56" s="45">
        <v>71.7</v>
      </c>
      <c r="AG56" s="54">
        <v>70</v>
      </c>
      <c r="AH56" s="47">
        <f t="shared" si="2"/>
        <v>71.7</v>
      </c>
      <c r="AI56" s="48">
        <f t="shared" si="3"/>
        <v>59.2</v>
      </c>
      <c r="AK56" s="50"/>
    </row>
    <row r="57" spans="1:41" x14ac:dyDescent="0.25">
      <c r="A57" s="53" t="s">
        <v>65</v>
      </c>
      <c r="B57" s="45">
        <v>65.099999999999994</v>
      </c>
      <c r="C57" s="45">
        <v>54.1</v>
      </c>
      <c r="D57" s="45">
        <v>55</v>
      </c>
      <c r="E57" s="45">
        <v>61</v>
      </c>
      <c r="F57" s="64">
        <v>55.2</v>
      </c>
      <c r="G57" s="64">
        <v>62.4</v>
      </c>
      <c r="H57" s="64">
        <v>64</v>
      </c>
      <c r="I57" s="64">
        <v>64.3</v>
      </c>
      <c r="J57" s="64">
        <v>64.3</v>
      </c>
      <c r="K57" s="64">
        <v>64.3</v>
      </c>
      <c r="L57" s="64">
        <v>64.3</v>
      </c>
      <c r="M57" s="64">
        <v>64.3</v>
      </c>
      <c r="N57" s="64">
        <v>63.6</v>
      </c>
      <c r="O57" s="64">
        <v>63.6</v>
      </c>
      <c r="P57" s="64">
        <v>63.8</v>
      </c>
      <c r="Q57" s="64">
        <v>63.2</v>
      </c>
      <c r="R57" s="64">
        <v>63.2</v>
      </c>
      <c r="S57" s="64">
        <v>54.4</v>
      </c>
      <c r="T57" s="45">
        <v>64.5</v>
      </c>
      <c r="U57" s="45">
        <v>64.3</v>
      </c>
      <c r="V57" s="45">
        <v>64.3</v>
      </c>
      <c r="W57" s="45">
        <v>52.3</v>
      </c>
      <c r="X57" s="45">
        <v>52.3</v>
      </c>
      <c r="Y57" s="45">
        <v>65.3</v>
      </c>
      <c r="Z57" s="45">
        <v>65.099999999999994</v>
      </c>
      <c r="AA57" s="45">
        <v>55.41</v>
      </c>
      <c r="AB57" s="45">
        <v>64</v>
      </c>
      <c r="AC57" s="45">
        <v>64</v>
      </c>
      <c r="AD57" s="45">
        <v>65</v>
      </c>
      <c r="AE57" s="45">
        <v>65</v>
      </c>
      <c r="AF57" s="45">
        <v>65</v>
      </c>
      <c r="AG57" s="54">
        <v>69</v>
      </c>
      <c r="AH57" s="47">
        <f t="shared" si="2"/>
        <v>65.3</v>
      </c>
      <c r="AI57" s="48">
        <f t="shared" si="3"/>
        <v>52.3</v>
      </c>
      <c r="AK57" s="50"/>
    </row>
    <row r="58" spans="1:41" x14ac:dyDescent="0.25">
      <c r="A58" s="53" t="s">
        <v>66</v>
      </c>
      <c r="B58" s="45">
        <v>60</v>
      </c>
      <c r="C58" s="45">
        <v>60</v>
      </c>
      <c r="D58" s="45">
        <v>60</v>
      </c>
      <c r="E58" s="45">
        <v>56</v>
      </c>
      <c r="F58" s="56">
        <v>55.7</v>
      </c>
      <c r="G58" s="56">
        <v>55.9</v>
      </c>
      <c r="H58" s="56">
        <v>60.9</v>
      </c>
      <c r="I58" s="56">
        <v>62</v>
      </c>
      <c r="J58" s="56">
        <v>61.4</v>
      </c>
      <c r="K58" s="56">
        <v>61.4</v>
      </c>
      <c r="L58" s="56">
        <v>61.4</v>
      </c>
      <c r="M58" s="56">
        <v>60</v>
      </c>
      <c r="N58" s="56">
        <v>55</v>
      </c>
      <c r="O58" s="56">
        <v>60.9</v>
      </c>
      <c r="P58" s="56">
        <v>60.9</v>
      </c>
      <c r="Q58" s="56">
        <v>61.2</v>
      </c>
      <c r="R58" s="56">
        <v>61.2</v>
      </c>
      <c r="S58" s="56">
        <v>51.6</v>
      </c>
      <c r="T58" s="45">
        <v>50.4</v>
      </c>
      <c r="U58" s="45">
        <v>61.7</v>
      </c>
      <c r="V58" s="45">
        <v>61.7</v>
      </c>
      <c r="W58" s="45">
        <v>57.4</v>
      </c>
      <c r="X58" s="45">
        <v>57.4</v>
      </c>
      <c r="Y58" s="45">
        <v>60.4</v>
      </c>
      <c r="Z58" s="45">
        <v>60.4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54">
        <v>60</v>
      </c>
      <c r="AH58" s="47">
        <f t="shared" si="2"/>
        <v>62</v>
      </c>
      <c r="AI58" s="48">
        <f t="shared" si="3"/>
        <v>0</v>
      </c>
      <c r="AK58" s="50"/>
    </row>
    <row r="59" spans="1:41" x14ac:dyDescent="0.25">
      <c r="A59" s="53" t="s">
        <v>67</v>
      </c>
      <c r="B59" s="45">
        <v>30</v>
      </c>
      <c r="C59" s="45">
        <v>30</v>
      </c>
      <c r="D59" s="45">
        <v>30</v>
      </c>
      <c r="E59" s="45">
        <v>30</v>
      </c>
      <c r="F59" s="45">
        <v>30</v>
      </c>
      <c r="G59" s="45">
        <v>30</v>
      </c>
      <c r="H59" s="45">
        <v>30</v>
      </c>
      <c r="I59" s="45">
        <v>30</v>
      </c>
      <c r="J59" s="45">
        <v>30</v>
      </c>
      <c r="K59" s="45">
        <v>30</v>
      </c>
      <c r="L59" s="45">
        <v>30</v>
      </c>
      <c r="M59" s="45">
        <v>30</v>
      </c>
      <c r="N59" s="45">
        <v>30</v>
      </c>
      <c r="O59" s="45">
        <v>30</v>
      </c>
      <c r="P59" s="45">
        <v>30</v>
      </c>
      <c r="Q59" s="45">
        <v>25</v>
      </c>
      <c r="R59" s="45">
        <v>25</v>
      </c>
      <c r="S59" s="45">
        <v>25</v>
      </c>
      <c r="T59" s="45">
        <v>25</v>
      </c>
      <c r="U59" s="45">
        <v>25</v>
      </c>
      <c r="V59" s="45">
        <v>25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25</v>
      </c>
      <c r="AK59" s="50"/>
    </row>
    <row r="60" spans="1:41" x14ac:dyDescent="0.25">
      <c r="A60" s="53" t="s">
        <v>68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7</v>
      </c>
      <c r="M60" s="45">
        <v>8.5</v>
      </c>
      <c r="N60" s="45">
        <v>7.8</v>
      </c>
      <c r="O60" s="45">
        <v>14.3</v>
      </c>
      <c r="P60" s="45">
        <v>16</v>
      </c>
      <c r="Q60" s="45">
        <v>14.7</v>
      </c>
      <c r="R60" s="45">
        <v>14.7</v>
      </c>
      <c r="S60" s="45">
        <v>14.7</v>
      </c>
      <c r="T60" s="45">
        <v>14.7</v>
      </c>
      <c r="U60" s="45">
        <v>6.4</v>
      </c>
      <c r="V60" s="45">
        <v>4.5</v>
      </c>
      <c r="W60" s="45">
        <v>1</v>
      </c>
      <c r="X60" s="45">
        <v>1</v>
      </c>
      <c r="Y60" s="45">
        <v>1</v>
      </c>
      <c r="Z60" s="45">
        <v>1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16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16</v>
      </c>
      <c r="C61" s="64">
        <v>16</v>
      </c>
      <c r="D61" s="64">
        <v>16</v>
      </c>
      <c r="E61" s="64">
        <v>16</v>
      </c>
      <c r="F61" s="64">
        <v>16</v>
      </c>
      <c r="G61" s="64">
        <v>16</v>
      </c>
      <c r="H61" s="64">
        <v>16</v>
      </c>
      <c r="I61" s="64">
        <v>16</v>
      </c>
      <c r="J61" s="64">
        <v>16</v>
      </c>
      <c r="K61" s="64">
        <v>16</v>
      </c>
      <c r="L61" s="64">
        <v>16</v>
      </c>
      <c r="M61" s="64">
        <v>16</v>
      </c>
      <c r="N61" s="64">
        <v>16</v>
      </c>
      <c r="O61" s="64">
        <v>16</v>
      </c>
      <c r="P61" s="64">
        <v>12</v>
      </c>
      <c r="Q61" s="64">
        <v>12</v>
      </c>
      <c r="R61" s="64">
        <v>12</v>
      </c>
      <c r="S61" s="64">
        <v>12</v>
      </c>
      <c r="T61" s="64">
        <v>15.5</v>
      </c>
      <c r="U61" s="64">
        <v>15.5</v>
      </c>
      <c r="V61" s="64">
        <v>15.5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16</v>
      </c>
      <c r="AI61" s="48">
        <f t="shared" si="3"/>
        <v>12</v>
      </c>
      <c r="AK61" s="50"/>
    </row>
    <row r="62" spans="1:41" x14ac:dyDescent="0.25">
      <c r="A62" s="53" t="s">
        <v>70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54">
        <v>15</v>
      </c>
      <c r="AH62" s="47">
        <f t="shared" si="2"/>
        <v>0</v>
      </c>
      <c r="AI62" s="48">
        <f t="shared" si="3"/>
        <v>0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10</v>
      </c>
      <c r="C63" s="64">
        <v>10</v>
      </c>
      <c r="D63" s="64">
        <v>10</v>
      </c>
      <c r="E63" s="64">
        <v>10</v>
      </c>
      <c r="F63" s="64">
        <v>10</v>
      </c>
      <c r="G63" s="64">
        <v>10</v>
      </c>
      <c r="H63" s="64">
        <v>10</v>
      </c>
      <c r="I63" s="64">
        <v>10</v>
      </c>
      <c r="J63" s="64">
        <v>10</v>
      </c>
      <c r="K63" s="64">
        <v>10</v>
      </c>
      <c r="L63" s="64">
        <v>10</v>
      </c>
      <c r="M63" s="64">
        <v>9.5</v>
      </c>
      <c r="N63" s="64">
        <v>10</v>
      </c>
      <c r="O63" s="64">
        <v>10</v>
      </c>
      <c r="P63" s="64">
        <v>10</v>
      </c>
      <c r="Q63" s="64">
        <v>10</v>
      </c>
      <c r="R63" s="64">
        <v>10</v>
      </c>
      <c r="S63" s="64">
        <v>10</v>
      </c>
      <c r="T63" s="64">
        <v>10</v>
      </c>
      <c r="U63" s="64">
        <v>10</v>
      </c>
      <c r="V63" s="64">
        <v>10</v>
      </c>
      <c r="W63" s="64">
        <v>10</v>
      </c>
      <c r="X63" s="64">
        <v>10</v>
      </c>
      <c r="Y63" s="64">
        <v>10</v>
      </c>
      <c r="Z63" s="64">
        <v>10</v>
      </c>
      <c r="AA63" s="64">
        <v>10</v>
      </c>
      <c r="AB63" s="64">
        <v>10</v>
      </c>
      <c r="AC63" s="64">
        <v>10</v>
      </c>
      <c r="AD63" s="64">
        <v>10</v>
      </c>
      <c r="AE63" s="64">
        <v>10</v>
      </c>
      <c r="AF63" s="64">
        <v>10</v>
      </c>
      <c r="AG63" s="54">
        <v>14.1</v>
      </c>
      <c r="AH63" s="47">
        <f t="shared" si="2"/>
        <v>10</v>
      </c>
      <c r="AI63" s="48">
        <f t="shared" si="3"/>
        <v>9.5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13.7</v>
      </c>
      <c r="C64" s="64">
        <v>13.7</v>
      </c>
      <c r="D64" s="64">
        <v>13.7</v>
      </c>
      <c r="E64" s="64">
        <v>13.7</v>
      </c>
      <c r="F64" s="64">
        <v>13.7</v>
      </c>
      <c r="G64" s="64">
        <v>10</v>
      </c>
      <c r="H64" s="64">
        <v>13.7</v>
      </c>
      <c r="I64" s="64">
        <v>13.9</v>
      </c>
      <c r="J64" s="64">
        <v>13.7</v>
      </c>
      <c r="K64" s="64">
        <v>13.7</v>
      </c>
      <c r="L64" s="64">
        <v>13.7</v>
      </c>
      <c r="M64" s="64">
        <v>13.8</v>
      </c>
      <c r="N64" s="64">
        <v>13.8</v>
      </c>
      <c r="O64" s="64">
        <v>13.8</v>
      </c>
      <c r="P64" s="64">
        <v>13.8</v>
      </c>
      <c r="Q64" s="64">
        <v>13.8</v>
      </c>
      <c r="R64" s="64">
        <v>13.8</v>
      </c>
      <c r="S64" s="64">
        <v>13.8</v>
      </c>
      <c r="T64" s="64">
        <v>13.8</v>
      </c>
      <c r="U64" s="64">
        <v>13.8</v>
      </c>
      <c r="V64" s="64">
        <v>7.4</v>
      </c>
      <c r="W64" s="64">
        <v>13.5</v>
      </c>
      <c r="X64" s="64">
        <v>13.5</v>
      </c>
      <c r="Y64" s="64">
        <v>13.5</v>
      </c>
      <c r="Z64" s="64">
        <v>13.5</v>
      </c>
      <c r="AA64" s="64">
        <v>13.5</v>
      </c>
      <c r="AB64" s="64">
        <v>13.5</v>
      </c>
      <c r="AC64" s="64">
        <v>13.5</v>
      </c>
      <c r="AD64" s="64">
        <v>13.5</v>
      </c>
      <c r="AE64" s="64">
        <v>13.5</v>
      </c>
      <c r="AF64" s="64">
        <v>13.5</v>
      </c>
      <c r="AG64" s="54">
        <v>14</v>
      </c>
      <c r="AH64" s="47">
        <f t="shared" si="2"/>
        <v>13.9</v>
      </c>
      <c r="AI64" s="48">
        <f t="shared" si="3"/>
        <v>7.4</v>
      </c>
      <c r="AK64" s="50"/>
    </row>
    <row r="65" spans="1:40" x14ac:dyDescent="0.25">
      <c r="A65" s="53" t="s">
        <v>73</v>
      </c>
      <c r="B65" s="64">
        <v>8.9</v>
      </c>
      <c r="C65" s="64">
        <v>8.9</v>
      </c>
      <c r="D65" s="64">
        <v>8.9</v>
      </c>
      <c r="E65" s="64">
        <v>8.9</v>
      </c>
      <c r="F65" s="64">
        <v>8.9</v>
      </c>
      <c r="G65" s="64">
        <v>8.9</v>
      </c>
      <c r="H65" s="64">
        <v>8.9</v>
      </c>
      <c r="I65" s="64">
        <v>8.9</v>
      </c>
      <c r="J65" s="64">
        <v>8.9</v>
      </c>
      <c r="K65" s="64">
        <v>8.9</v>
      </c>
      <c r="L65" s="64">
        <v>8.9</v>
      </c>
      <c r="M65" s="64">
        <v>8.9</v>
      </c>
      <c r="N65" s="64">
        <v>8.9</v>
      </c>
      <c r="O65" s="64">
        <v>8.9</v>
      </c>
      <c r="P65" s="64">
        <v>8.9</v>
      </c>
      <c r="Q65" s="64">
        <v>8.9</v>
      </c>
      <c r="R65" s="64">
        <v>8.9</v>
      </c>
      <c r="S65" s="64">
        <v>8.9</v>
      </c>
      <c r="T65" s="64">
        <v>8.9</v>
      </c>
      <c r="U65" s="64">
        <v>8.9</v>
      </c>
      <c r="V65" s="64">
        <v>8.9</v>
      </c>
      <c r="W65" s="64">
        <v>6.1</v>
      </c>
      <c r="X65" s="64">
        <v>6.1</v>
      </c>
      <c r="Y65" s="64">
        <v>6.1</v>
      </c>
      <c r="Z65" s="64">
        <v>6.1</v>
      </c>
      <c r="AA65" s="64">
        <v>6.1</v>
      </c>
      <c r="AB65" s="64">
        <v>6.1</v>
      </c>
      <c r="AC65" s="64">
        <v>6.1</v>
      </c>
      <c r="AD65" s="64">
        <v>6.1</v>
      </c>
      <c r="AE65" s="64">
        <v>6.1</v>
      </c>
      <c r="AF65" s="64">
        <v>6.1</v>
      </c>
      <c r="AG65" s="54">
        <v>10.050000000000001</v>
      </c>
      <c r="AH65" s="47">
        <f t="shared" si="2"/>
        <v>8.9</v>
      </c>
      <c r="AI65" s="48">
        <f t="shared" si="3"/>
        <v>6.1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C68" si="15">SUM(B55:B67)</f>
        <v>347.23999999999995</v>
      </c>
      <c r="C68" s="60">
        <f t="shared" si="15"/>
        <v>390.34</v>
      </c>
      <c r="D68" s="60">
        <f t="shared" ref="D68:E68" si="16">SUM(D55:D67)</f>
        <v>390.94</v>
      </c>
      <c r="E68" s="60">
        <f t="shared" si="16"/>
        <v>391.73999999999995</v>
      </c>
      <c r="F68" s="60">
        <f t="shared" ref="F68:AG68" si="17">SUM(F55:F67)</f>
        <v>380.64</v>
      </c>
      <c r="G68" s="60">
        <f t="shared" si="17"/>
        <v>384.34</v>
      </c>
      <c r="H68" s="60">
        <f t="shared" si="17"/>
        <v>409.03999999999996</v>
      </c>
      <c r="I68" s="60">
        <f t="shared" si="17"/>
        <v>416.34</v>
      </c>
      <c r="J68" s="60">
        <f t="shared" si="17"/>
        <v>415.53999999999996</v>
      </c>
      <c r="K68" s="60">
        <f t="shared" si="17"/>
        <v>407.23999999999995</v>
      </c>
      <c r="L68" s="60">
        <f t="shared" si="17"/>
        <v>423.53999999999996</v>
      </c>
      <c r="M68" s="60">
        <f t="shared" si="17"/>
        <v>423.24</v>
      </c>
      <c r="N68" s="60">
        <f t="shared" ref="N68" si="18">SUM(N55:N67)</f>
        <v>410.44</v>
      </c>
      <c r="O68" s="60">
        <f t="shared" si="17"/>
        <v>422.84</v>
      </c>
      <c r="P68" s="60">
        <f t="shared" ref="P68:Q68" si="19">SUM(P55:P67)</f>
        <v>418.84</v>
      </c>
      <c r="Q68" s="60">
        <f t="shared" si="19"/>
        <v>422.57</v>
      </c>
      <c r="R68" s="60">
        <f t="shared" si="17"/>
        <v>422.57</v>
      </c>
      <c r="S68" s="60">
        <f t="shared" si="17"/>
        <v>403.24</v>
      </c>
      <c r="T68" s="60">
        <f t="shared" si="17"/>
        <v>403.84</v>
      </c>
      <c r="U68" s="60">
        <f t="shared" si="17"/>
        <v>388.34</v>
      </c>
      <c r="V68" s="60">
        <f t="shared" si="17"/>
        <v>380.03999999999996</v>
      </c>
      <c r="W68" s="60">
        <f t="shared" si="17"/>
        <v>381.64000000000004</v>
      </c>
      <c r="X68" s="60">
        <f t="shared" si="17"/>
        <v>375.54</v>
      </c>
      <c r="Y68" s="60">
        <f t="shared" si="17"/>
        <v>392.24</v>
      </c>
      <c r="Z68" s="60">
        <f t="shared" si="17"/>
        <v>402.34000000000003</v>
      </c>
      <c r="AA68" s="60">
        <f t="shared" si="17"/>
        <v>336.45000000000005</v>
      </c>
      <c r="AB68" s="60">
        <f t="shared" si="17"/>
        <v>341.04</v>
      </c>
      <c r="AC68" s="60">
        <f t="shared" si="17"/>
        <v>351.04</v>
      </c>
      <c r="AD68" s="60">
        <f t="shared" si="17"/>
        <v>352.04</v>
      </c>
      <c r="AE68" s="60">
        <f t="shared" si="17"/>
        <v>352.04</v>
      </c>
      <c r="AF68" s="60">
        <f t="shared" si="17"/>
        <v>352.04</v>
      </c>
      <c r="AG68" s="61">
        <f t="shared" si="17"/>
        <v>489.91</v>
      </c>
      <c r="AH68" s="47">
        <f t="shared" si="2"/>
        <v>423.53999999999996</v>
      </c>
      <c r="AI68" s="48">
        <f t="shared" si="3"/>
        <v>336.45000000000005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29</v>
      </c>
      <c r="AC69" s="45">
        <v>60</v>
      </c>
      <c r="AD69" s="45">
        <v>14</v>
      </c>
      <c r="AE69" s="45">
        <v>0</v>
      </c>
      <c r="AF69" s="45">
        <v>0</v>
      </c>
      <c r="AG69" s="51">
        <v>60</v>
      </c>
      <c r="AH69" s="47">
        <f t="shared" si="2"/>
        <v>60</v>
      </c>
      <c r="AI69" s="48">
        <f t="shared" si="3"/>
        <v>0</v>
      </c>
      <c r="AK69" s="50"/>
    </row>
    <row r="70" spans="1:40" x14ac:dyDescent="0.25">
      <c r="A70" s="53" t="s">
        <v>78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13.3</v>
      </c>
      <c r="AC70" s="64">
        <v>33.299999999999997</v>
      </c>
      <c r="AD70" s="64">
        <v>7.6</v>
      </c>
      <c r="AE70" s="45">
        <v>0</v>
      </c>
      <c r="AF70" s="45">
        <v>0</v>
      </c>
      <c r="AG70" s="54">
        <v>32</v>
      </c>
      <c r="AH70" s="47">
        <f t="shared" si="2"/>
        <v>33.299999999999997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4.9000000000000004</v>
      </c>
      <c r="AC71" s="66">
        <v>12.2</v>
      </c>
      <c r="AD71" s="66">
        <v>2.8</v>
      </c>
      <c r="AE71" s="45">
        <v>0</v>
      </c>
      <c r="AF71" s="45">
        <v>0</v>
      </c>
      <c r="AG71" s="67">
        <v>14</v>
      </c>
      <c r="AH71" s="47">
        <f t="shared" si="2"/>
        <v>12.2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 t="shared" ref="B72:C72" si="20">B69+B70+B71</f>
        <v>0</v>
      </c>
      <c r="C72" s="60">
        <f t="shared" si="20"/>
        <v>0</v>
      </c>
      <c r="D72" s="60">
        <f t="shared" ref="D72:E72" si="21">D69+D70+D71</f>
        <v>0</v>
      </c>
      <c r="E72" s="60">
        <f t="shared" si="21"/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22">M69+M70+M71</f>
        <v>0</v>
      </c>
      <c r="N72" s="60">
        <f t="shared" ref="N72" si="23">N69+N70+N71</f>
        <v>0</v>
      </c>
      <c r="O72" s="60">
        <f t="shared" si="22"/>
        <v>0</v>
      </c>
      <c r="P72" s="60">
        <f t="shared" ref="P72:Q72" si="24">P69+P70+P71</f>
        <v>0</v>
      </c>
      <c r="Q72" s="60">
        <f t="shared" si="24"/>
        <v>0</v>
      </c>
      <c r="R72" s="60">
        <f t="shared" si="22"/>
        <v>0</v>
      </c>
      <c r="S72" s="60">
        <f t="shared" si="22"/>
        <v>0</v>
      </c>
      <c r="T72" s="60">
        <f t="shared" si="22"/>
        <v>0</v>
      </c>
      <c r="U72" s="60">
        <f t="shared" si="22"/>
        <v>0</v>
      </c>
      <c r="V72" s="60">
        <f t="shared" si="22"/>
        <v>0</v>
      </c>
      <c r="W72" s="60">
        <f t="shared" si="22"/>
        <v>0</v>
      </c>
      <c r="X72" s="60">
        <f t="shared" si="22"/>
        <v>0</v>
      </c>
      <c r="Y72" s="60">
        <f t="shared" si="22"/>
        <v>0</v>
      </c>
      <c r="Z72" s="60">
        <f t="shared" si="22"/>
        <v>0</v>
      </c>
      <c r="AA72" s="60">
        <f t="shared" si="22"/>
        <v>0</v>
      </c>
      <c r="AB72" s="60">
        <f t="shared" si="22"/>
        <v>47.199999999999996</v>
      </c>
      <c r="AC72" s="60">
        <f t="shared" si="22"/>
        <v>105.5</v>
      </c>
      <c r="AD72" s="60">
        <f t="shared" si="22"/>
        <v>24.400000000000002</v>
      </c>
      <c r="AE72" s="60">
        <f t="shared" si="22"/>
        <v>0</v>
      </c>
      <c r="AF72" s="60">
        <f t="shared" si="22"/>
        <v>0</v>
      </c>
      <c r="AG72" s="61">
        <f>SUM(AG69:AG71)</f>
        <v>106</v>
      </c>
      <c r="AH72" s="47">
        <f t="shared" si="2"/>
        <v>105.5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-10.6</v>
      </c>
      <c r="C73" s="45">
        <v>-14.2</v>
      </c>
      <c r="D73" s="45">
        <v>-21.2</v>
      </c>
      <c r="E73" s="45">
        <v>-5.6</v>
      </c>
      <c r="F73" s="45">
        <v>-13.8</v>
      </c>
      <c r="G73" s="45">
        <v>-19</v>
      </c>
      <c r="H73" s="45">
        <v>-28</v>
      </c>
      <c r="I73" s="45">
        <v>-24.7</v>
      </c>
      <c r="J73" s="45">
        <v>-25</v>
      </c>
      <c r="K73" s="45">
        <v>-5</v>
      </c>
      <c r="L73" s="45">
        <v>-16</v>
      </c>
      <c r="M73" s="45">
        <v>-10</v>
      </c>
      <c r="N73" s="45">
        <v>-20</v>
      </c>
      <c r="O73" s="45">
        <v>-6.6</v>
      </c>
      <c r="P73" s="45">
        <v>7.3</v>
      </c>
      <c r="Q73" s="45">
        <v>-6.7</v>
      </c>
      <c r="R73" s="45">
        <v>-9.1999999999999993</v>
      </c>
      <c r="S73" s="45">
        <v>-8.6999999999999993</v>
      </c>
      <c r="T73" s="45">
        <v>6.6</v>
      </c>
      <c r="U73" s="45">
        <v>9.8000000000000007</v>
      </c>
      <c r="V73" s="45">
        <v>9.8000000000000007</v>
      </c>
      <c r="W73" s="45">
        <v>-6.2</v>
      </c>
      <c r="X73" s="45">
        <v>-12.4</v>
      </c>
      <c r="Y73" s="45">
        <v>2.9</v>
      </c>
      <c r="Z73" s="45">
        <v>8.9</v>
      </c>
      <c r="AA73" s="45">
        <v>31.5</v>
      </c>
      <c r="AB73" s="45">
        <v>42.4</v>
      </c>
      <c r="AC73" s="45">
        <v>47</v>
      </c>
      <c r="AD73" s="45">
        <v>10.199999999999999</v>
      </c>
      <c r="AE73" s="45">
        <v>3.4</v>
      </c>
      <c r="AF73" s="45">
        <v>0</v>
      </c>
      <c r="AG73" s="51"/>
      <c r="AH73" s="47">
        <f t="shared" si="2"/>
        <v>47</v>
      </c>
      <c r="AI73" s="48">
        <f t="shared" si="3"/>
        <v>-28</v>
      </c>
      <c r="AK73" s="50"/>
    </row>
    <row r="74" spans="1:40" x14ac:dyDescent="0.25">
      <c r="A74" s="53" t="s">
        <v>82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-337</v>
      </c>
      <c r="C75" s="64">
        <v>-355</v>
      </c>
      <c r="D75" s="64">
        <v>-380</v>
      </c>
      <c r="E75" s="64">
        <v>-372.8</v>
      </c>
      <c r="F75" s="64">
        <v>-394</v>
      </c>
      <c r="G75" s="64">
        <v>-421</v>
      </c>
      <c r="H75" s="64">
        <v>-458</v>
      </c>
      <c r="I75" s="64">
        <v>-470</v>
      </c>
      <c r="J75" s="64">
        <v>-452.7</v>
      </c>
      <c r="K75" s="64">
        <v>-453</v>
      </c>
      <c r="L75" s="64">
        <v>-458</v>
      </c>
      <c r="M75" s="64">
        <v>-460</v>
      </c>
      <c r="N75" s="64">
        <v>-412</v>
      </c>
      <c r="O75" s="64">
        <v>-383</v>
      </c>
      <c r="P75" s="64">
        <v>-364.4</v>
      </c>
      <c r="Q75" s="64">
        <v>-338.7</v>
      </c>
      <c r="R75" s="64">
        <v>-344</v>
      </c>
      <c r="S75" s="64">
        <v>-319</v>
      </c>
      <c r="T75" s="64">
        <v>-369</v>
      </c>
      <c r="U75" s="64">
        <v>-358</v>
      </c>
      <c r="V75" s="64">
        <v>-374</v>
      </c>
      <c r="W75" s="64">
        <v>-357.1</v>
      </c>
      <c r="X75" s="64">
        <v>-345.3</v>
      </c>
      <c r="Y75" s="64">
        <v>-308</v>
      </c>
      <c r="Z75" s="64">
        <v>-227</v>
      </c>
      <c r="AA75" s="64">
        <v>-238</v>
      </c>
      <c r="AB75" s="64">
        <v>-264</v>
      </c>
      <c r="AC75" s="64">
        <v>-257</v>
      </c>
      <c r="AD75" s="64">
        <v>-386</v>
      </c>
      <c r="AE75" s="64">
        <v>-389</v>
      </c>
      <c r="AF75" s="64">
        <v>-357</v>
      </c>
      <c r="AG75" s="74"/>
      <c r="AH75" s="47">
        <f t="shared" si="2"/>
        <v>-227</v>
      </c>
      <c r="AI75" s="48">
        <f t="shared" si="3"/>
        <v>-470</v>
      </c>
      <c r="AK75" s="50"/>
    </row>
    <row r="76" spans="1:40" x14ac:dyDescent="0.25">
      <c r="A76" s="53" t="s">
        <v>84</v>
      </c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75">
        <v>0</v>
      </c>
      <c r="N77" s="75">
        <v>0</v>
      </c>
      <c r="O77" s="75">
        <v>0</v>
      </c>
      <c r="P77" s="75">
        <v>0</v>
      </c>
      <c r="Q77" s="75">
        <v>0</v>
      </c>
      <c r="R77" s="75">
        <v>0</v>
      </c>
      <c r="S77" s="7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25">MAX(B77:AF77)</f>
        <v>0</v>
      </c>
      <c r="AI77" s="48">
        <f t="shared" ref="AI77:AI120" si="26">MIN(B77:AF77)</f>
        <v>0</v>
      </c>
      <c r="AK77" s="50"/>
    </row>
    <row r="78" spans="1:40" x14ac:dyDescent="0.25">
      <c r="A78" s="53" t="s">
        <v>86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5">
        <v>0</v>
      </c>
      <c r="N78" s="75">
        <v>0</v>
      </c>
      <c r="O78" s="75">
        <v>0</v>
      </c>
      <c r="P78" s="75">
        <v>0</v>
      </c>
      <c r="Q78" s="75">
        <v>0</v>
      </c>
      <c r="R78" s="75">
        <v>0</v>
      </c>
      <c r="S78" s="75">
        <v>0</v>
      </c>
      <c r="T78" s="75">
        <v>0</v>
      </c>
      <c r="U78" s="75">
        <v>0</v>
      </c>
      <c r="V78" s="75">
        <v>0</v>
      </c>
      <c r="W78" s="75">
        <v>0</v>
      </c>
      <c r="X78" s="75">
        <v>0</v>
      </c>
      <c r="Y78" s="75">
        <v>0</v>
      </c>
      <c r="Z78" s="75">
        <v>0</v>
      </c>
      <c r="AA78" s="75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74"/>
      <c r="AH78" s="47">
        <f t="shared" si="25"/>
        <v>0</v>
      </c>
      <c r="AI78" s="48">
        <f t="shared" si="26"/>
        <v>0</v>
      </c>
      <c r="AK78" s="50"/>
    </row>
    <row r="79" spans="1:40" ht="15.75" thickBot="1" x14ac:dyDescent="0.3">
      <c r="A79" s="53" t="s">
        <v>87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5">
        <v>0</v>
      </c>
      <c r="N79" s="75">
        <v>0</v>
      </c>
      <c r="O79" s="75">
        <v>0</v>
      </c>
      <c r="P79" s="75">
        <v>0</v>
      </c>
      <c r="Q79" s="75">
        <v>0</v>
      </c>
      <c r="R79" s="75">
        <v>0</v>
      </c>
      <c r="S79" s="75">
        <v>0</v>
      </c>
      <c r="T79" s="75">
        <v>0</v>
      </c>
      <c r="U79" s="75">
        <v>0</v>
      </c>
      <c r="V79" s="75">
        <v>0</v>
      </c>
      <c r="W79" s="75">
        <v>0</v>
      </c>
      <c r="X79" s="75">
        <v>0</v>
      </c>
      <c r="Y79" s="75">
        <v>0</v>
      </c>
      <c r="Z79" s="75">
        <v>0</v>
      </c>
      <c r="AA79" s="75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25"/>
        <v>0</v>
      </c>
      <c r="AI79" s="48">
        <f t="shared" si="26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5">
        <v>0</v>
      </c>
      <c r="N80" s="75">
        <v>0</v>
      </c>
      <c r="O80" s="75">
        <v>0</v>
      </c>
      <c r="P80" s="75">
        <v>0</v>
      </c>
      <c r="Q80" s="75">
        <v>0</v>
      </c>
      <c r="R80" s="75">
        <v>0</v>
      </c>
      <c r="S80" s="75">
        <v>0</v>
      </c>
      <c r="T80" s="75">
        <v>0</v>
      </c>
      <c r="U80" s="75">
        <v>0</v>
      </c>
      <c r="V80" s="75">
        <v>0</v>
      </c>
      <c r="W80" s="75">
        <v>0</v>
      </c>
      <c r="X80" s="75">
        <v>0</v>
      </c>
      <c r="Y80" s="75">
        <v>0</v>
      </c>
      <c r="Z80" s="75">
        <v>0</v>
      </c>
      <c r="AA80" s="75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25"/>
        <v>0</v>
      </c>
      <c r="AI80" s="48">
        <f t="shared" si="26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5">
        <v>0</v>
      </c>
      <c r="N81" s="75">
        <v>0</v>
      </c>
      <c r="O81" s="75">
        <v>0</v>
      </c>
      <c r="P81" s="75">
        <v>0</v>
      </c>
      <c r="Q81" s="75">
        <v>0</v>
      </c>
      <c r="R81" s="75">
        <v>0</v>
      </c>
      <c r="S81" s="75">
        <v>0</v>
      </c>
      <c r="T81" s="75">
        <v>0</v>
      </c>
      <c r="U81" s="75">
        <v>0</v>
      </c>
      <c r="V81" s="75">
        <v>0</v>
      </c>
      <c r="W81" s="75">
        <v>0</v>
      </c>
      <c r="X81" s="75">
        <v>0</v>
      </c>
      <c r="Y81" s="75">
        <v>0</v>
      </c>
      <c r="Z81" s="75">
        <v>0</v>
      </c>
      <c r="AA81" s="75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25"/>
        <v>0</v>
      </c>
      <c r="AI81" s="48">
        <f t="shared" si="26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5">
        <v>0</v>
      </c>
      <c r="N82" s="75">
        <v>0</v>
      </c>
      <c r="O82" s="75">
        <v>0</v>
      </c>
      <c r="P82" s="75">
        <v>0</v>
      </c>
      <c r="Q82" s="75">
        <v>0</v>
      </c>
      <c r="R82" s="75">
        <v>0</v>
      </c>
      <c r="S82" s="75">
        <v>0</v>
      </c>
      <c r="T82" s="75">
        <v>0</v>
      </c>
      <c r="U82" s="75">
        <v>0</v>
      </c>
      <c r="V82" s="75">
        <v>0</v>
      </c>
      <c r="W82" s="75">
        <v>0</v>
      </c>
      <c r="X82" s="75">
        <v>0</v>
      </c>
      <c r="Y82" s="75">
        <v>0</v>
      </c>
      <c r="Z82" s="75">
        <v>0</v>
      </c>
      <c r="AA82" s="75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25"/>
        <v>0</v>
      </c>
      <c r="AI82" s="48">
        <f t="shared" si="26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25"/>
        <v>0</v>
      </c>
      <c r="AI83" s="48">
        <f t="shared" si="26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C84" si="27">SUMIF(B73:B83,"&gt;0")</f>
        <v>0</v>
      </c>
      <c r="C84" s="60">
        <f t="shared" si="27"/>
        <v>0</v>
      </c>
      <c r="D84" s="60">
        <f t="shared" ref="D84:E84" si="28">SUMIF(D73:D83,"&gt;0")</f>
        <v>0</v>
      </c>
      <c r="E84" s="60">
        <f t="shared" si="28"/>
        <v>0</v>
      </c>
      <c r="F84" s="60">
        <f t="shared" ref="F84:AF84" si="29">SUMIF(F73:F83,"&gt;0")</f>
        <v>0</v>
      </c>
      <c r="G84" s="60">
        <f t="shared" si="29"/>
        <v>0</v>
      </c>
      <c r="H84" s="60">
        <f t="shared" si="29"/>
        <v>0</v>
      </c>
      <c r="I84" s="60">
        <f t="shared" si="29"/>
        <v>0</v>
      </c>
      <c r="J84" s="60">
        <f t="shared" si="29"/>
        <v>0</v>
      </c>
      <c r="K84" s="60">
        <f t="shared" si="29"/>
        <v>0</v>
      </c>
      <c r="L84" s="60">
        <f t="shared" si="29"/>
        <v>0</v>
      </c>
      <c r="M84" s="60">
        <f t="shared" si="29"/>
        <v>0</v>
      </c>
      <c r="N84" s="60">
        <f t="shared" si="29"/>
        <v>0</v>
      </c>
      <c r="O84" s="60">
        <f t="shared" si="29"/>
        <v>0</v>
      </c>
      <c r="P84" s="60">
        <f t="shared" ref="P84:Q84" si="30">SUMIF(P73:P83,"&gt;0")</f>
        <v>7.3</v>
      </c>
      <c r="Q84" s="60">
        <f t="shared" si="30"/>
        <v>0</v>
      </c>
      <c r="R84" s="60">
        <f t="shared" si="29"/>
        <v>0</v>
      </c>
      <c r="S84" s="60">
        <f t="shared" si="29"/>
        <v>0</v>
      </c>
      <c r="T84" s="60">
        <f t="shared" si="29"/>
        <v>6.6</v>
      </c>
      <c r="U84" s="60">
        <f t="shared" si="29"/>
        <v>9.8000000000000007</v>
      </c>
      <c r="V84" s="60">
        <f t="shared" si="29"/>
        <v>9.8000000000000007</v>
      </c>
      <c r="W84" s="60">
        <f t="shared" si="29"/>
        <v>0</v>
      </c>
      <c r="X84" s="60">
        <f t="shared" si="29"/>
        <v>0</v>
      </c>
      <c r="Y84" s="60">
        <f t="shared" si="29"/>
        <v>2.9</v>
      </c>
      <c r="Z84" s="60">
        <f t="shared" si="29"/>
        <v>8.9</v>
      </c>
      <c r="AA84" s="60">
        <f t="shared" si="29"/>
        <v>31.5</v>
      </c>
      <c r="AB84" s="60">
        <f t="shared" si="29"/>
        <v>42.4</v>
      </c>
      <c r="AC84" s="60">
        <f t="shared" si="29"/>
        <v>47</v>
      </c>
      <c r="AD84" s="60">
        <f t="shared" si="29"/>
        <v>10.199999999999999</v>
      </c>
      <c r="AE84" s="60">
        <f t="shared" si="29"/>
        <v>3.4</v>
      </c>
      <c r="AF84" s="60">
        <f t="shared" si="29"/>
        <v>0</v>
      </c>
      <c r="AG84" s="87">
        <f>SUM(AG73:AG83)</f>
        <v>0</v>
      </c>
      <c r="AH84" s="47">
        <f t="shared" si="25"/>
        <v>47</v>
      </c>
      <c r="AI84" s="48">
        <f t="shared" si="26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25"/>
        <v>0</v>
      </c>
      <c r="AI85" s="48">
        <f t="shared" si="26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25"/>
        <v>0</v>
      </c>
      <c r="AI86" s="48">
        <f t="shared" si="26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25"/>
        <v>0</v>
      </c>
      <c r="AI87" s="48">
        <f t="shared" si="26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25"/>
        <v>0</v>
      </c>
      <c r="AI88" s="48">
        <f t="shared" si="26"/>
        <v>0</v>
      </c>
    </row>
    <row r="89" spans="1:40" ht="15.75" thickBot="1" x14ac:dyDescent="0.3">
      <c r="A89" s="73" t="s">
        <v>100</v>
      </c>
      <c r="B89" s="94">
        <f t="shared" ref="B89:C89" si="31">B50+B54+B72+B68+B84+B88</f>
        <v>1879.44</v>
      </c>
      <c r="C89" s="94">
        <f t="shared" si="31"/>
        <v>1922.54</v>
      </c>
      <c r="D89" s="94">
        <f t="shared" ref="D89:E89" si="32">D50+D54+D72+D68+D84+D88</f>
        <v>1923.14</v>
      </c>
      <c r="E89" s="94">
        <f t="shared" si="32"/>
        <v>1916.24</v>
      </c>
      <c r="F89" s="94">
        <f t="shared" ref="F89:AG89" si="33">F50+F54+F72+F68+F84+F88</f>
        <v>1905.1399999999999</v>
      </c>
      <c r="G89" s="94">
        <f t="shared" si="33"/>
        <v>1903.84</v>
      </c>
      <c r="H89" s="94">
        <f t="shared" si="33"/>
        <v>1928.54</v>
      </c>
      <c r="I89" s="94">
        <f t="shared" si="33"/>
        <v>1935.84</v>
      </c>
      <c r="J89" s="94">
        <f t="shared" si="33"/>
        <v>1950.04</v>
      </c>
      <c r="K89" s="94">
        <f t="shared" si="33"/>
        <v>1946.74</v>
      </c>
      <c r="L89" s="94">
        <f t="shared" si="33"/>
        <v>2040.94</v>
      </c>
      <c r="M89" s="94">
        <f t="shared" si="33"/>
        <v>2013.74</v>
      </c>
      <c r="N89" s="94">
        <f t="shared" si="33"/>
        <v>1940.8400000000001</v>
      </c>
      <c r="O89" s="94">
        <f t="shared" si="33"/>
        <v>1953.24</v>
      </c>
      <c r="P89" s="94">
        <f t="shared" ref="P89:Q89" si="34">P50+P54+P72+P68+P84+P88</f>
        <v>1956.54</v>
      </c>
      <c r="Q89" s="94">
        <f t="shared" si="34"/>
        <v>1994.47</v>
      </c>
      <c r="R89" s="94">
        <f t="shared" si="33"/>
        <v>1994.47</v>
      </c>
      <c r="S89" s="94">
        <f t="shared" si="33"/>
        <v>1997.24</v>
      </c>
      <c r="T89" s="94">
        <f t="shared" si="33"/>
        <v>1977.0399999999997</v>
      </c>
      <c r="U89" s="94">
        <f t="shared" si="33"/>
        <v>1915.2399999999998</v>
      </c>
      <c r="V89" s="94">
        <f t="shared" si="33"/>
        <v>1906.9399999999998</v>
      </c>
      <c r="W89" s="94">
        <f t="shared" si="33"/>
        <v>1900.0400000000002</v>
      </c>
      <c r="X89" s="94">
        <f t="shared" si="33"/>
        <v>1893.94</v>
      </c>
      <c r="Y89" s="94">
        <f t="shared" si="33"/>
        <v>1913.5400000000002</v>
      </c>
      <c r="Z89" s="94">
        <f t="shared" si="33"/>
        <v>1929.6400000000003</v>
      </c>
      <c r="AA89" s="94">
        <f t="shared" si="33"/>
        <v>1958.8500000000001</v>
      </c>
      <c r="AB89" s="94">
        <f t="shared" si="33"/>
        <v>2012.0400000000002</v>
      </c>
      <c r="AC89" s="94">
        <f t="shared" si="33"/>
        <v>2094.94</v>
      </c>
      <c r="AD89" s="94">
        <f t="shared" si="33"/>
        <v>1978.0400000000002</v>
      </c>
      <c r="AE89" s="94">
        <f t="shared" si="33"/>
        <v>1946.8400000000001</v>
      </c>
      <c r="AF89" s="94">
        <f t="shared" si="33"/>
        <v>1923.54</v>
      </c>
      <c r="AG89" s="61">
        <f t="shared" si="33"/>
        <v>2111.5500000000002</v>
      </c>
      <c r="AH89" s="47">
        <f t="shared" si="25"/>
        <v>2094.94</v>
      </c>
      <c r="AI89" s="48">
        <f t="shared" si="26"/>
        <v>1879.44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25"/>
        <v>0</v>
      </c>
      <c r="AI90" s="48">
        <f t="shared" si="26"/>
        <v>0</v>
      </c>
    </row>
    <row r="91" spans="1:40" ht="15.75" thickBot="1" x14ac:dyDescent="0.3">
      <c r="A91" s="73" t="s">
        <v>102</v>
      </c>
      <c r="B91" s="94">
        <f t="shared" ref="B91:C91" si="35">B89+B90</f>
        <v>1879.44</v>
      </c>
      <c r="C91" s="94">
        <f t="shared" si="35"/>
        <v>1922.54</v>
      </c>
      <c r="D91" s="94">
        <f t="shared" ref="D91:E91" si="36">D89+D90</f>
        <v>1923.14</v>
      </c>
      <c r="E91" s="94">
        <f t="shared" si="36"/>
        <v>1916.24</v>
      </c>
      <c r="F91" s="94">
        <f t="shared" ref="F91:AF91" si="37">F89+F90</f>
        <v>1905.1399999999999</v>
      </c>
      <c r="G91" s="94">
        <f t="shared" si="37"/>
        <v>1903.84</v>
      </c>
      <c r="H91" s="94">
        <f t="shared" si="37"/>
        <v>1928.54</v>
      </c>
      <c r="I91" s="94">
        <f t="shared" si="37"/>
        <v>1935.84</v>
      </c>
      <c r="J91" s="94">
        <f t="shared" si="37"/>
        <v>1950.04</v>
      </c>
      <c r="K91" s="94">
        <f t="shared" si="37"/>
        <v>1946.74</v>
      </c>
      <c r="L91" s="94">
        <f t="shared" si="37"/>
        <v>2040.94</v>
      </c>
      <c r="M91" s="94">
        <f t="shared" si="37"/>
        <v>2013.74</v>
      </c>
      <c r="N91" s="94">
        <f t="shared" si="37"/>
        <v>1940.8400000000001</v>
      </c>
      <c r="O91" s="94">
        <f t="shared" si="37"/>
        <v>1953.24</v>
      </c>
      <c r="P91" s="94">
        <f t="shared" ref="P91:Q91" si="38">P89+P90</f>
        <v>1956.54</v>
      </c>
      <c r="Q91" s="94">
        <f t="shared" si="38"/>
        <v>1994.47</v>
      </c>
      <c r="R91" s="94">
        <f t="shared" si="37"/>
        <v>1994.47</v>
      </c>
      <c r="S91" s="94">
        <f t="shared" si="37"/>
        <v>1997.24</v>
      </c>
      <c r="T91" s="94">
        <f t="shared" si="37"/>
        <v>1977.0399999999997</v>
      </c>
      <c r="U91" s="94">
        <f t="shared" si="37"/>
        <v>1915.2399999999998</v>
      </c>
      <c r="V91" s="94">
        <f t="shared" si="37"/>
        <v>1906.9399999999998</v>
      </c>
      <c r="W91" s="94">
        <f t="shared" si="37"/>
        <v>1900.0400000000002</v>
      </c>
      <c r="X91" s="94">
        <f t="shared" si="37"/>
        <v>1893.94</v>
      </c>
      <c r="Y91" s="94">
        <f t="shared" si="37"/>
        <v>1913.5400000000002</v>
      </c>
      <c r="Z91" s="94">
        <f t="shared" si="37"/>
        <v>1929.6400000000003</v>
      </c>
      <c r="AA91" s="94">
        <f t="shared" si="37"/>
        <v>1958.8500000000001</v>
      </c>
      <c r="AB91" s="94">
        <f t="shared" si="37"/>
        <v>2012.0400000000002</v>
      </c>
      <c r="AC91" s="94">
        <f t="shared" si="37"/>
        <v>2094.94</v>
      </c>
      <c r="AD91" s="94">
        <f t="shared" si="37"/>
        <v>1978.0400000000002</v>
      </c>
      <c r="AE91" s="94">
        <f t="shared" si="37"/>
        <v>1946.8400000000001</v>
      </c>
      <c r="AF91" s="94">
        <f t="shared" si="37"/>
        <v>1923.54</v>
      </c>
      <c r="AG91" s="87">
        <f>AG88+AG84+AG72+AG68+AG50+AG90</f>
        <v>1573.45</v>
      </c>
      <c r="AH91" s="47">
        <f t="shared" si="25"/>
        <v>2094.94</v>
      </c>
      <c r="AI91" s="48">
        <f t="shared" si="26"/>
        <v>1879.44</v>
      </c>
    </row>
    <row r="92" spans="1:40" ht="15.75" thickBot="1" x14ac:dyDescent="0.3">
      <c r="A92" s="73" t="s">
        <v>103</v>
      </c>
      <c r="B92" s="94">
        <f t="shared" ref="B92:C92" si="39">B91-B99</f>
        <v>1879.44</v>
      </c>
      <c r="C92" s="94">
        <f t="shared" si="39"/>
        <v>1922.54</v>
      </c>
      <c r="D92" s="94">
        <f t="shared" ref="D92:E92" si="40">D91-D99</f>
        <v>1923.14</v>
      </c>
      <c r="E92" s="94">
        <f t="shared" si="40"/>
        <v>1916.24</v>
      </c>
      <c r="F92" s="94">
        <f t="shared" ref="F92:AF92" si="41">F91-F99</f>
        <v>1905.1399999999999</v>
      </c>
      <c r="G92" s="94">
        <f t="shared" si="41"/>
        <v>1903.84</v>
      </c>
      <c r="H92" s="94">
        <f t="shared" si="41"/>
        <v>1928.54</v>
      </c>
      <c r="I92" s="94">
        <f t="shared" si="41"/>
        <v>1935.84</v>
      </c>
      <c r="J92" s="94">
        <f t="shared" si="41"/>
        <v>1950.04</v>
      </c>
      <c r="K92" s="94">
        <f t="shared" si="41"/>
        <v>1946.74</v>
      </c>
      <c r="L92" s="94">
        <f t="shared" si="41"/>
        <v>2040.94</v>
      </c>
      <c r="M92" s="94">
        <f t="shared" si="41"/>
        <v>2013.74</v>
      </c>
      <c r="N92" s="94">
        <f t="shared" si="41"/>
        <v>1940.8400000000001</v>
      </c>
      <c r="O92" s="94">
        <f t="shared" si="41"/>
        <v>1953.24</v>
      </c>
      <c r="P92" s="94">
        <f t="shared" ref="P92:Q92" si="42">P91-P99</f>
        <v>1956.54</v>
      </c>
      <c r="Q92" s="94">
        <f t="shared" si="42"/>
        <v>1994.47</v>
      </c>
      <c r="R92" s="94">
        <f t="shared" si="41"/>
        <v>1994.47</v>
      </c>
      <c r="S92" s="94">
        <f t="shared" si="41"/>
        <v>1997.24</v>
      </c>
      <c r="T92" s="94">
        <f t="shared" si="41"/>
        <v>1977.0399999999997</v>
      </c>
      <c r="U92" s="94">
        <f t="shared" si="41"/>
        <v>1915.2399999999998</v>
      </c>
      <c r="V92" s="94">
        <f t="shared" si="41"/>
        <v>1906.9399999999998</v>
      </c>
      <c r="W92" s="94">
        <f t="shared" si="41"/>
        <v>1900.0400000000002</v>
      </c>
      <c r="X92" s="94">
        <f t="shared" si="41"/>
        <v>1893.94</v>
      </c>
      <c r="Y92" s="94">
        <f t="shared" si="41"/>
        <v>1913.5400000000002</v>
      </c>
      <c r="Z92" s="94">
        <f t="shared" si="41"/>
        <v>1929.6400000000003</v>
      </c>
      <c r="AA92" s="94">
        <f t="shared" si="41"/>
        <v>1958.8500000000001</v>
      </c>
      <c r="AB92" s="94">
        <f t="shared" si="41"/>
        <v>2012.0400000000002</v>
      </c>
      <c r="AC92" s="94">
        <f t="shared" si="41"/>
        <v>2094.94</v>
      </c>
      <c r="AD92" s="94">
        <f t="shared" si="41"/>
        <v>1978.0400000000002</v>
      </c>
      <c r="AE92" s="94">
        <f t="shared" si="41"/>
        <v>1946.8400000000001</v>
      </c>
      <c r="AF92" s="94">
        <f t="shared" si="41"/>
        <v>1923.54</v>
      </c>
      <c r="AG92" s="87"/>
      <c r="AH92" s="47">
        <f t="shared" si="25"/>
        <v>2094.94</v>
      </c>
      <c r="AI92" s="48">
        <f t="shared" si="26"/>
        <v>1879.44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25"/>
        <v>0</v>
      </c>
      <c r="AI93" s="48">
        <f t="shared" si="26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25"/>
        <v>0</v>
      </c>
      <c r="AI94" s="48">
        <f t="shared" si="26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25"/>
        <v>0</v>
      </c>
      <c r="AI95" s="48">
        <f t="shared" si="26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25"/>
        <v>0</v>
      </c>
      <c r="AI96" s="48">
        <f t="shared" si="26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25"/>
        <v>0</v>
      </c>
      <c r="AI97" s="48">
        <f t="shared" si="26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25"/>
        <v>0</v>
      </c>
      <c r="AI98" s="48">
        <f t="shared" si="26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25"/>
        <v>0</v>
      </c>
      <c r="AI99" s="48">
        <f t="shared" si="26"/>
        <v>0</v>
      </c>
      <c r="AK99" s="50"/>
    </row>
    <row r="100" spans="1:37" ht="15.75" thickBot="1" x14ac:dyDescent="0.3">
      <c r="A100" s="73" t="s">
        <v>108</v>
      </c>
      <c r="B100" s="60">
        <f t="shared" ref="B100:C100" si="43">B84-B99</f>
        <v>0</v>
      </c>
      <c r="C100" s="60">
        <f t="shared" si="43"/>
        <v>0</v>
      </c>
      <c r="D100" s="60">
        <f t="shared" ref="D100:E100" si="44">D84-D99</f>
        <v>0</v>
      </c>
      <c r="E100" s="60">
        <f t="shared" si="44"/>
        <v>0</v>
      </c>
      <c r="F100" s="60">
        <f t="shared" ref="F100:AF100" si="45">F84-F99</f>
        <v>0</v>
      </c>
      <c r="G100" s="60">
        <f t="shared" si="45"/>
        <v>0</v>
      </c>
      <c r="H100" s="60">
        <f t="shared" si="45"/>
        <v>0</v>
      </c>
      <c r="I100" s="60">
        <f t="shared" si="45"/>
        <v>0</v>
      </c>
      <c r="J100" s="60">
        <f t="shared" si="45"/>
        <v>0</v>
      </c>
      <c r="K100" s="60">
        <f t="shared" si="45"/>
        <v>0</v>
      </c>
      <c r="L100" s="60">
        <f t="shared" si="45"/>
        <v>0</v>
      </c>
      <c r="M100" s="60">
        <f t="shared" si="45"/>
        <v>0</v>
      </c>
      <c r="N100" s="60">
        <f t="shared" si="45"/>
        <v>0</v>
      </c>
      <c r="O100" s="60">
        <f t="shared" si="45"/>
        <v>0</v>
      </c>
      <c r="P100" s="60">
        <f t="shared" ref="P100:Q100" si="46">P84-P99</f>
        <v>7.3</v>
      </c>
      <c r="Q100" s="60">
        <f t="shared" si="46"/>
        <v>0</v>
      </c>
      <c r="R100" s="60">
        <f t="shared" si="45"/>
        <v>0</v>
      </c>
      <c r="S100" s="60">
        <f t="shared" si="45"/>
        <v>0</v>
      </c>
      <c r="T100" s="60">
        <f t="shared" si="45"/>
        <v>6.6</v>
      </c>
      <c r="U100" s="60">
        <f t="shared" si="45"/>
        <v>9.8000000000000007</v>
      </c>
      <c r="V100" s="60">
        <f t="shared" si="45"/>
        <v>9.8000000000000007</v>
      </c>
      <c r="W100" s="60">
        <f t="shared" si="45"/>
        <v>0</v>
      </c>
      <c r="X100" s="60">
        <f t="shared" si="45"/>
        <v>0</v>
      </c>
      <c r="Y100" s="60">
        <f t="shared" si="45"/>
        <v>2.9</v>
      </c>
      <c r="Z100" s="60">
        <f t="shared" si="45"/>
        <v>8.9</v>
      </c>
      <c r="AA100" s="60">
        <f t="shared" si="45"/>
        <v>31.5</v>
      </c>
      <c r="AB100" s="60">
        <f t="shared" si="45"/>
        <v>42.4</v>
      </c>
      <c r="AC100" s="60">
        <f t="shared" si="45"/>
        <v>47</v>
      </c>
      <c r="AD100" s="60">
        <f t="shared" si="45"/>
        <v>10.199999999999999</v>
      </c>
      <c r="AE100" s="60">
        <f t="shared" si="45"/>
        <v>3.4</v>
      </c>
      <c r="AF100" s="60">
        <f t="shared" si="45"/>
        <v>0</v>
      </c>
      <c r="AG100" s="87"/>
      <c r="AH100" s="47">
        <f t="shared" si="25"/>
        <v>47</v>
      </c>
      <c r="AI100" s="48">
        <f t="shared" si="26"/>
        <v>0</v>
      </c>
    </row>
    <row r="101" spans="1:37" x14ac:dyDescent="0.25">
      <c r="A101" s="99" t="s">
        <v>109</v>
      </c>
      <c r="B101" s="100">
        <v>50.039000000000001</v>
      </c>
      <c r="C101" s="100">
        <v>50.033999999999999</v>
      </c>
      <c r="D101" s="100">
        <v>50.036000000000001</v>
      </c>
      <c r="E101" s="100">
        <v>50.043999999999997</v>
      </c>
      <c r="F101" s="100">
        <v>50.029000000000003</v>
      </c>
      <c r="G101" s="100">
        <v>50.034999999999997</v>
      </c>
      <c r="H101" s="100">
        <v>50</v>
      </c>
      <c r="I101" s="100">
        <v>49.99</v>
      </c>
      <c r="J101" s="100">
        <v>49.99</v>
      </c>
      <c r="K101" s="100">
        <v>50.6</v>
      </c>
      <c r="L101" s="100">
        <v>50.046999999999997</v>
      </c>
      <c r="M101" s="100">
        <v>50.04</v>
      </c>
      <c r="N101" s="100">
        <v>50.07</v>
      </c>
      <c r="O101" s="100">
        <v>49.896999999999998</v>
      </c>
      <c r="P101" s="100">
        <v>50.045999999999999</v>
      </c>
      <c r="Q101" s="100">
        <v>49.96</v>
      </c>
      <c r="R101" s="100">
        <v>50.076000000000001</v>
      </c>
      <c r="S101" s="100">
        <v>50.09</v>
      </c>
      <c r="T101" s="100">
        <v>49.99</v>
      </c>
      <c r="U101" s="100">
        <v>50.01</v>
      </c>
      <c r="V101" s="100">
        <v>50.01</v>
      </c>
      <c r="W101" s="100">
        <v>50.03</v>
      </c>
      <c r="X101" s="100">
        <v>50.04</v>
      </c>
      <c r="Y101" s="100">
        <v>49.99</v>
      </c>
      <c r="Z101" s="100">
        <v>49.95</v>
      </c>
      <c r="AA101" s="100">
        <v>49.78</v>
      </c>
      <c r="AB101" s="100">
        <v>50.05</v>
      </c>
      <c r="AC101" s="100">
        <v>50.002000000000002</v>
      </c>
      <c r="AD101" s="100">
        <v>49.959000000000003</v>
      </c>
      <c r="AE101" s="100">
        <v>50.018000000000001</v>
      </c>
      <c r="AF101" s="100">
        <v>50.042999999999999</v>
      </c>
      <c r="AG101" s="101"/>
      <c r="AH101" s="47">
        <f t="shared" si="25"/>
        <v>50.6</v>
      </c>
      <c r="AI101" s="48">
        <f t="shared" si="26"/>
        <v>49.78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25"/>
        <v>0</v>
      </c>
      <c r="AI102" s="48">
        <f t="shared" si="26"/>
        <v>0</v>
      </c>
    </row>
    <row r="103" spans="1:37" x14ac:dyDescent="0.25">
      <c r="A103" s="102" t="s">
        <v>111</v>
      </c>
      <c r="B103" s="64">
        <v>129.80000000000001</v>
      </c>
      <c r="C103" s="64">
        <v>129.80000000000001</v>
      </c>
      <c r="D103" s="64">
        <v>130.9</v>
      </c>
      <c r="E103" s="64">
        <v>130.9</v>
      </c>
      <c r="F103" s="64">
        <v>131.5</v>
      </c>
      <c r="G103" s="64">
        <v>131.5</v>
      </c>
      <c r="H103" s="64">
        <v>130</v>
      </c>
      <c r="I103" s="64">
        <v>130</v>
      </c>
      <c r="J103" s="64">
        <v>127.5</v>
      </c>
      <c r="K103" s="64">
        <v>127.5</v>
      </c>
      <c r="L103" s="64">
        <v>126.8</v>
      </c>
      <c r="M103" s="64">
        <v>127.8</v>
      </c>
      <c r="N103" s="64">
        <v>126.1</v>
      </c>
      <c r="O103" s="64">
        <v>125.7</v>
      </c>
      <c r="P103" s="64">
        <v>127</v>
      </c>
      <c r="Q103" s="64">
        <v>124.5</v>
      </c>
      <c r="R103" s="64">
        <v>125.4</v>
      </c>
      <c r="S103" s="64">
        <v>127.3</v>
      </c>
      <c r="T103" s="64">
        <v>126.8</v>
      </c>
      <c r="U103" s="64">
        <v>127.2</v>
      </c>
      <c r="V103" s="64">
        <v>130.6</v>
      </c>
      <c r="W103" s="64">
        <v>131</v>
      </c>
      <c r="X103" s="64">
        <v>130.19999999999999</v>
      </c>
      <c r="Y103" s="64">
        <v>129.4</v>
      </c>
      <c r="Z103" s="64">
        <v>128.19999999999999</v>
      </c>
      <c r="AA103" s="64">
        <v>126.6</v>
      </c>
      <c r="AB103" s="64">
        <v>128.69999999999999</v>
      </c>
      <c r="AC103" s="64">
        <v>128.6</v>
      </c>
      <c r="AD103" s="64">
        <v>127.8</v>
      </c>
      <c r="AE103" s="64">
        <v>128.30000000000001</v>
      </c>
      <c r="AF103" s="64">
        <v>127.8</v>
      </c>
      <c r="AG103" s="103"/>
      <c r="AH103" s="47">
        <f t="shared" si="25"/>
        <v>131.5</v>
      </c>
      <c r="AI103" s="48">
        <f t="shared" si="26"/>
        <v>124.5</v>
      </c>
    </row>
    <row r="104" spans="1:37" x14ac:dyDescent="0.25">
      <c r="A104" s="102" t="s">
        <v>112</v>
      </c>
      <c r="B104" s="64">
        <v>126.2</v>
      </c>
      <c r="C104" s="64">
        <v>126.2</v>
      </c>
      <c r="D104" s="64">
        <v>128.4</v>
      </c>
      <c r="E104" s="64">
        <v>128.4</v>
      </c>
      <c r="F104" s="64">
        <v>129.9</v>
      </c>
      <c r="G104" s="64">
        <v>129.9</v>
      </c>
      <c r="H104" s="64">
        <v>131.6</v>
      </c>
      <c r="I104" s="64">
        <v>131.6</v>
      </c>
      <c r="J104" s="64">
        <v>128.06</v>
      </c>
      <c r="K104" s="64">
        <v>128.06</v>
      </c>
      <c r="L104" s="64">
        <v>129</v>
      </c>
      <c r="M104" s="64">
        <v>132.4</v>
      </c>
      <c r="N104" s="64">
        <v>128.5</v>
      </c>
      <c r="O104" s="64">
        <v>128</v>
      </c>
      <c r="P104" s="64">
        <v>126.9</v>
      </c>
      <c r="Q104" s="64">
        <v>130.74</v>
      </c>
      <c r="R104" s="64">
        <v>129</v>
      </c>
      <c r="S104" s="64">
        <v>128.1</v>
      </c>
      <c r="T104" s="64">
        <v>130.5</v>
      </c>
      <c r="U104" s="64">
        <v>127.4</v>
      </c>
      <c r="V104" s="64">
        <v>128.80000000000001</v>
      </c>
      <c r="W104" s="64">
        <v>128.19999999999999</v>
      </c>
      <c r="X104" s="64">
        <v>128</v>
      </c>
      <c r="Y104" s="64">
        <v>126.1</v>
      </c>
      <c r="Z104" s="64">
        <v>123.5</v>
      </c>
      <c r="AA104" s="64">
        <v>126.5</v>
      </c>
      <c r="AB104" s="64">
        <v>126.1</v>
      </c>
      <c r="AC104" s="64">
        <v>124.7</v>
      </c>
      <c r="AD104" s="64">
        <v>128.5</v>
      </c>
      <c r="AE104" s="64">
        <v>130.6</v>
      </c>
      <c r="AF104" s="64">
        <v>125.4</v>
      </c>
      <c r="AG104" s="103"/>
      <c r="AH104" s="47">
        <f t="shared" si="25"/>
        <v>132.4</v>
      </c>
      <c r="AI104" s="48">
        <f t="shared" si="26"/>
        <v>123.5</v>
      </c>
    </row>
    <row r="105" spans="1:37" x14ac:dyDescent="0.25">
      <c r="A105" s="104" t="s">
        <v>113</v>
      </c>
      <c r="B105" s="64">
        <v>129.5</v>
      </c>
      <c r="C105" s="64">
        <v>129.5</v>
      </c>
      <c r="D105" s="64">
        <v>131.5</v>
      </c>
      <c r="E105" s="64">
        <v>131.5</v>
      </c>
      <c r="F105" s="64">
        <v>133.80000000000001</v>
      </c>
      <c r="G105" s="64">
        <v>133.80000000000001</v>
      </c>
      <c r="H105" s="64">
        <v>134</v>
      </c>
      <c r="I105" s="64">
        <v>134</v>
      </c>
      <c r="J105" s="64">
        <v>131.4</v>
      </c>
      <c r="K105" s="64">
        <v>131.4</v>
      </c>
      <c r="L105" s="64">
        <v>131</v>
      </c>
      <c r="M105" s="64">
        <v>131.80000000000001</v>
      </c>
      <c r="N105" s="64">
        <v>130.1</v>
      </c>
      <c r="O105" s="64">
        <v>128.9</v>
      </c>
      <c r="P105" s="64">
        <v>127.7</v>
      </c>
      <c r="Q105" s="64">
        <v>131.4</v>
      </c>
      <c r="R105" s="64">
        <v>130.4</v>
      </c>
      <c r="S105" s="64">
        <v>128.4</v>
      </c>
      <c r="T105" s="64">
        <v>131.1</v>
      </c>
      <c r="U105" s="64">
        <v>128.5</v>
      </c>
      <c r="V105" s="64">
        <v>130.5</v>
      </c>
      <c r="W105" s="64">
        <v>130.19999999999999</v>
      </c>
      <c r="X105" s="64">
        <v>130.5</v>
      </c>
      <c r="Y105" s="64">
        <v>128.69999999999999</v>
      </c>
      <c r="Z105" s="64">
        <v>125.4</v>
      </c>
      <c r="AA105" s="64">
        <v>129.6</v>
      </c>
      <c r="AB105" s="64">
        <v>128.1</v>
      </c>
      <c r="AC105" s="64">
        <v>127.4</v>
      </c>
      <c r="AD105" s="64">
        <v>132.80000000000001</v>
      </c>
      <c r="AE105" s="64">
        <v>133.5</v>
      </c>
      <c r="AF105" s="64">
        <v>129.30000000000001</v>
      </c>
      <c r="AG105" s="103"/>
      <c r="AH105" s="47">
        <f t="shared" si="25"/>
        <v>134</v>
      </c>
      <c r="AI105" s="48">
        <f t="shared" si="26"/>
        <v>125.4</v>
      </c>
    </row>
    <row r="106" spans="1:37" x14ac:dyDescent="0.25">
      <c r="A106" s="104" t="s">
        <v>114</v>
      </c>
      <c r="B106" s="105">
        <v>132.30000000000001</v>
      </c>
      <c r="C106" s="105">
        <v>132.30000000000001</v>
      </c>
      <c r="D106" s="105">
        <v>133.30000000000001</v>
      </c>
      <c r="E106" s="105">
        <v>133.30000000000001</v>
      </c>
      <c r="F106" s="105">
        <v>133.6</v>
      </c>
      <c r="G106" s="105">
        <v>133.6</v>
      </c>
      <c r="H106" s="105">
        <v>132</v>
      </c>
      <c r="I106" s="105">
        <v>132</v>
      </c>
      <c r="J106" s="105">
        <v>133.5</v>
      </c>
      <c r="K106" s="105">
        <v>133.5</v>
      </c>
      <c r="L106" s="105">
        <v>130</v>
      </c>
      <c r="M106" s="105">
        <v>131.4</v>
      </c>
      <c r="N106" s="105">
        <v>128.30000000000001</v>
      </c>
      <c r="O106" s="105">
        <v>130.6</v>
      </c>
      <c r="P106" s="105">
        <v>133.1</v>
      </c>
      <c r="Q106" s="105">
        <v>131.19999999999999</v>
      </c>
      <c r="R106" s="105">
        <v>131.6</v>
      </c>
      <c r="S106" s="105">
        <v>132.80000000000001</v>
      </c>
      <c r="T106" s="105">
        <v>131.30000000000001</v>
      </c>
      <c r="U106" s="105">
        <v>130.5</v>
      </c>
      <c r="V106" s="105">
        <v>133.19999999999999</v>
      </c>
      <c r="W106" s="105">
        <v>131.69999999999999</v>
      </c>
      <c r="X106" s="105">
        <v>134.80000000000001</v>
      </c>
      <c r="Y106" s="105">
        <v>133.4</v>
      </c>
      <c r="Z106" s="105">
        <v>132.6</v>
      </c>
      <c r="AA106" s="105">
        <v>130</v>
      </c>
      <c r="AB106" s="105">
        <v>131.19999999999999</v>
      </c>
      <c r="AC106" s="105">
        <v>134.30000000000001</v>
      </c>
      <c r="AD106" s="105">
        <v>132.1</v>
      </c>
      <c r="AE106" s="105">
        <v>133.6</v>
      </c>
      <c r="AF106" s="105">
        <v>129.9</v>
      </c>
      <c r="AG106" s="106"/>
      <c r="AH106" s="47">
        <f t="shared" si="25"/>
        <v>134.80000000000001</v>
      </c>
      <c r="AI106" s="48">
        <f t="shared" si="26"/>
        <v>128.30000000000001</v>
      </c>
    </row>
    <row r="107" spans="1:37" x14ac:dyDescent="0.25">
      <c r="A107" s="102" t="s">
        <v>115</v>
      </c>
      <c r="B107" s="64">
        <v>126.1</v>
      </c>
      <c r="C107" s="64">
        <v>126.1</v>
      </c>
      <c r="D107" s="64">
        <v>132.19999999999999</v>
      </c>
      <c r="E107" s="64">
        <v>132.19999999999999</v>
      </c>
      <c r="F107" s="64">
        <v>130.80000000000001</v>
      </c>
      <c r="G107" s="64">
        <v>130.80000000000001</v>
      </c>
      <c r="H107" s="64">
        <v>132</v>
      </c>
      <c r="I107" s="64">
        <v>132</v>
      </c>
      <c r="J107" s="64">
        <v>132</v>
      </c>
      <c r="K107" s="64">
        <v>132</v>
      </c>
      <c r="L107" s="64">
        <v>130.6</v>
      </c>
      <c r="M107" s="64">
        <v>129.9</v>
      </c>
      <c r="N107" s="64">
        <v>134.4</v>
      </c>
      <c r="O107" s="64">
        <v>125.3</v>
      </c>
      <c r="P107" s="64">
        <v>132.5</v>
      </c>
      <c r="Q107" s="64">
        <v>130.69999999999999</v>
      </c>
      <c r="R107" s="64">
        <v>128.69999999999999</v>
      </c>
      <c r="S107" s="64">
        <v>129.4</v>
      </c>
      <c r="T107" s="64">
        <v>127.7</v>
      </c>
      <c r="U107" s="64">
        <v>133.4</v>
      </c>
      <c r="V107" s="64">
        <v>134.4</v>
      </c>
      <c r="W107" s="64">
        <v>134.5</v>
      </c>
      <c r="X107" s="64">
        <v>134.80000000000001</v>
      </c>
      <c r="Y107" s="64">
        <v>133.5</v>
      </c>
      <c r="Z107" s="64">
        <v>133.4</v>
      </c>
      <c r="AA107" s="64">
        <v>123.7</v>
      </c>
      <c r="AB107" s="64">
        <v>132.80000000000001</v>
      </c>
      <c r="AC107" s="64">
        <v>127.7</v>
      </c>
      <c r="AD107" s="64">
        <v>132</v>
      </c>
      <c r="AE107" s="64">
        <v>129.6</v>
      </c>
      <c r="AF107" s="64">
        <v>129</v>
      </c>
      <c r="AG107" s="103"/>
      <c r="AH107" s="47">
        <f t="shared" si="25"/>
        <v>134.80000000000001</v>
      </c>
      <c r="AI107" s="48">
        <f t="shared" si="26"/>
        <v>123.7</v>
      </c>
    </row>
    <row r="108" spans="1:37" ht="15.75" thickBot="1" x14ac:dyDescent="0.3">
      <c r="A108" s="102" t="s">
        <v>116</v>
      </c>
      <c r="B108" s="91">
        <v>65.5</v>
      </c>
      <c r="C108" s="91">
        <v>65.5</v>
      </c>
      <c r="D108" s="91">
        <v>65.900000000000006</v>
      </c>
      <c r="E108" s="91">
        <v>65.900000000000006</v>
      </c>
      <c r="F108" s="91">
        <v>66</v>
      </c>
      <c r="G108" s="91">
        <v>66</v>
      </c>
      <c r="H108" s="91">
        <v>65.400000000000006</v>
      </c>
      <c r="I108" s="91">
        <v>65.400000000000006</v>
      </c>
      <c r="J108" s="91">
        <v>64.5</v>
      </c>
      <c r="K108" s="91">
        <v>64.5</v>
      </c>
      <c r="L108" s="91">
        <v>63.7</v>
      </c>
      <c r="M108" s="91">
        <v>63.7</v>
      </c>
      <c r="N108" s="91">
        <v>63.2</v>
      </c>
      <c r="O108" s="91">
        <v>62.6</v>
      </c>
      <c r="P108" s="91">
        <v>63.3</v>
      </c>
      <c r="Q108" s="91">
        <v>62</v>
      </c>
      <c r="R108" s="91">
        <v>62.7</v>
      </c>
      <c r="S108" s="91">
        <v>63.7</v>
      </c>
      <c r="T108" s="91">
        <v>63.4</v>
      </c>
      <c r="U108" s="91">
        <v>63.7</v>
      </c>
      <c r="V108" s="91">
        <v>65.099999999999994</v>
      </c>
      <c r="W108" s="91">
        <v>65.8</v>
      </c>
      <c r="X108" s="91">
        <v>64.900000000000006</v>
      </c>
      <c r="Y108" s="91">
        <v>64.599999999999994</v>
      </c>
      <c r="Z108" s="91">
        <v>63.8</v>
      </c>
      <c r="AA108" s="91">
        <v>63.5</v>
      </c>
      <c r="AB108" s="91">
        <v>64.3</v>
      </c>
      <c r="AC108" s="91">
        <v>64.599999999999994</v>
      </c>
      <c r="AD108" s="91">
        <v>64.599999999999994</v>
      </c>
      <c r="AE108" s="91">
        <v>64.7</v>
      </c>
      <c r="AF108" s="91">
        <v>64.599999999999994</v>
      </c>
      <c r="AG108" s="107"/>
      <c r="AH108" s="47">
        <f t="shared" si="25"/>
        <v>66</v>
      </c>
      <c r="AI108" s="48">
        <f t="shared" si="26"/>
        <v>62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25"/>
        <v>0</v>
      </c>
      <c r="AI109" s="48">
        <f t="shared" si="26"/>
        <v>0</v>
      </c>
    </row>
    <row r="110" spans="1:37" ht="15.75" thickBot="1" x14ac:dyDescent="0.3">
      <c r="A110" s="109" t="s">
        <v>118</v>
      </c>
      <c r="B110" s="110">
        <f t="shared" ref="B110:C110" si="47">SUM(B20,B26,B29:B30,B58,B60:B61,B63,B65,B111:B115,B138,B144,B150,B159,B161,B173,B180,B183:B184,B191,B193,B195,B199:B201,B203:B205,B210,B216:B217,B219:B221,B229,B234)</f>
        <v>54.69999999999996</v>
      </c>
      <c r="C110" s="110">
        <f t="shared" si="47"/>
        <v>43.639999999999958</v>
      </c>
      <c r="D110" s="110">
        <f t="shared" ref="D110:E110" si="48">SUM(D20,D26,D29:D30,D58,D60:D61,D63,D65,D111:D115,D138,D144,D150,D159,D161,D173,D180,D183:D184,D191,D193,D195,D199:D201,D203:D205,D210,D216:D217,D219:D221,D229,D234)</f>
        <v>36.739999999999995</v>
      </c>
      <c r="E110" s="110">
        <f t="shared" si="48"/>
        <v>31.54000000000001</v>
      </c>
      <c r="F110" s="110">
        <f t="shared" ref="F110:O110" si="49">SUM(F20,F26,F29:F30,F58,F60:F61,F63,F65,F111:F115,F138,F144,F150,F159,F161,F173,F180,F183:F184,F191,F193,F195,F199:F201,F203:F205,F210,F216:F217,F219:F221,F229,F234)</f>
        <v>34.540000000000006</v>
      </c>
      <c r="G110" s="110">
        <f t="shared" si="49"/>
        <v>53.040000000000013</v>
      </c>
      <c r="H110" s="110">
        <f t="shared" si="49"/>
        <v>75.44</v>
      </c>
      <c r="I110" s="110">
        <f t="shared" si="49"/>
        <v>103.14000000000001</v>
      </c>
      <c r="J110" s="110">
        <f t="shared" si="49"/>
        <v>174.24</v>
      </c>
      <c r="K110" s="110">
        <f t="shared" si="49"/>
        <v>183.24</v>
      </c>
      <c r="L110" s="110">
        <f t="shared" si="49"/>
        <v>227.04000000000002</v>
      </c>
      <c r="M110" s="110">
        <f t="shared" si="49"/>
        <v>213.84</v>
      </c>
      <c r="N110" s="110">
        <f t="shared" si="49"/>
        <v>200.23999999999998</v>
      </c>
      <c r="O110" s="110">
        <f t="shared" si="49"/>
        <v>207.74</v>
      </c>
      <c r="P110" s="110">
        <f t="shared" ref="P110:Q110" si="50">SUM(P20,P26,P29:P30,P58,P60:P61,P63,P65,P111:P115,P138,P144,P150,P159,P161,P173,P180,P183:P184,P191,P193,P195,P199:P201,P203:P205,P210,P216:P217,P219:P221,P229,P234)</f>
        <v>211.62</v>
      </c>
      <c r="Q110" s="110">
        <f t="shared" si="50"/>
        <v>236.89999999999998</v>
      </c>
      <c r="R110" s="110">
        <f t="shared" ref="R110:AF110" si="51">SUM(R20,R26,R29:R30,R58,R60:R61,R63,R65,R111:R115,R138,R144,R150,R159,R161,R173,R180,R183:R184,R191,R193,R195,R199:R201,R203:R205,R210,R216:R217,R219:R221,R229,R234)</f>
        <v>223.7</v>
      </c>
      <c r="S110" s="110">
        <f t="shared" si="51"/>
        <v>190.3</v>
      </c>
      <c r="T110" s="110">
        <f t="shared" si="51"/>
        <v>181.29999999999998</v>
      </c>
      <c r="U110" s="110">
        <f t="shared" si="51"/>
        <v>217.79999999999998</v>
      </c>
      <c r="V110" s="110">
        <f t="shared" si="51"/>
        <v>217.9</v>
      </c>
      <c r="W110" s="110">
        <f t="shared" si="51"/>
        <v>233.8</v>
      </c>
      <c r="X110" s="110">
        <f t="shared" si="51"/>
        <v>238.9</v>
      </c>
      <c r="Y110" s="110">
        <f t="shared" si="51"/>
        <v>235.5</v>
      </c>
      <c r="Z110" s="110">
        <f t="shared" si="51"/>
        <v>266.60000000000002</v>
      </c>
      <c r="AA110" s="110">
        <f t="shared" si="51"/>
        <v>257.89999999999998</v>
      </c>
      <c r="AB110" s="110">
        <f t="shared" si="51"/>
        <v>226.8</v>
      </c>
      <c r="AC110" s="110">
        <f t="shared" si="51"/>
        <v>244.9</v>
      </c>
      <c r="AD110" s="110"/>
      <c r="AE110" s="110">
        <f t="shared" si="51"/>
        <v>117.39999999999998</v>
      </c>
      <c r="AF110" s="110">
        <f t="shared" si="51"/>
        <v>63.800000000000011</v>
      </c>
      <c r="AG110" s="111"/>
      <c r="AH110" s="47">
        <f t="shared" si="25"/>
        <v>266.60000000000002</v>
      </c>
      <c r="AI110" s="48">
        <f t="shared" si="26"/>
        <v>31.54000000000001</v>
      </c>
    </row>
    <row r="111" spans="1:37" x14ac:dyDescent="0.25">
      <c r="A111" s="99" t="s">
        <v>119</v>
      </c>
      <c r="B111" s="112">
        <v>19.2</v>
      </c>
      <c r="C111" s="112">
        <v>23.7</v>
      </c>
      <c r="D111" s="112">
        <v>18.3</v>
      </c>
      <c r="E111" s="112">
        <v>16</v>
      </c>
      <c r="F111" s="112">
        <v>15.9</v>
      </c>
      <c r="G111" s="112">
        <v>19.899999999999999</v>
      </c>
      <c r="H111" s="112">
        <v>26.1</v>
      </c>
      <c r="I111" s="112">
        <v>31.3</v>
      </c>
      <c r="J111" s="112">
        <v>45.5</v>
      </c>
      <c r="K111" s="112">
        <v>46</v>
      </c>
      <c r="L111" s="112">
        <v>57.4</v>
      </c>
      <c r="M111" s="112">
        <v>43.9</v>
      </c>
      <c r="N111" s="112">
        <v>42.6</v>
      </c>
      <c r="O111" s="112">
        <v>41.7</v>
      </c>
      <c r="P111" s="112">
        <v>40.6</v>
      </c>
      <c r="Q111" s="112">
        <v>41.5</v>
      </c>
      <c r="R111" s="112">
        <v>40.200000000000003</v>
      </c>
      <c r="S111" s="112">
        <v>32.299999999999997</v>
      </c>
      <c r="T111" s="112">
        <v>32.799999999999997</v>
      </c>
      <c r="U111" s="112">
        <v>37.6</v>
      </c>
      <c r="V111" s="112">
        <v>39.799999999999997</v>
      </c>
      <c r="W111" s="112">
        <v>39.799999999999997</v>
      </c>
      <c r="X111" s="112">
        <v>42.9</v>
      </c>
      <c r="Y111" s="112">
        <v>40.299999999999997</v>
      </c>
      <c r="Z111" s="112">
        <v>42</v>
      </c>
      <c r="AA111" s="112">
        <v>49.7</v>
      </c>
      <c r="AB111" s="112">
        <v>49.2</v>
      </c>
      <c r="AC111" s="112">
        <v>45.2</v>
      </c>
      <c r="AD111" s="112">
        <v>46.1</v>
      </c>
      <c r="AE111" s="112">
        <v>41.1</v>
      </c>
      <c r="AF111" s="112">
        <v>30.7</v>
      </c>
      <c r="AG111" s="113">
        <v>75</v>
      </c>
      <c r="AH111" s="47">
        <f t="shared" si="25"/>
        <v>57.4</v>
      </c>
      <c r="AI111" s="48">
        <f t="shared" si="26"/>
        <v>15.9</v>
      </c>
    </row>
    <row r="112" spans="1:37" x14ac:dyDescent="0.25">
      <c r="A112" s="102" t="s">
        <v>120</v>
      </c>
      <c r="B112" s="114">
        <v>32.299999999999997</v>
      </c>
      <c r="C112" s="114">
        <v>39.299999999999997</v>
      </c>
      <c r="D112" s="114">
        <v>31.2</v>
      </c>
      <c r="E112" s="114">
        <v>26.1</v>
      </c>
      <c r="F112" s="114">
        <v>26.6</v>
      </c>
      <c r="G112" s="114">
        <v>32</v>
      </c>
      <c r="H112" s="114">
        <v>39.5</v>
      </c>
      <c r="I112" s="114">
        <v>45.9</v>
      </c>
      <c r="J112" s="114">
        <v>62.1</v>
      </c>
      <c r="K112" s="114">
        <v>63.2</v>
      </c>
      <c r="L112" s="114">
        <v>82.8</v>
      </c>
      <c r="M112" s="114">
        <v>57.9</v>
      </c>
      <c r="N112" s="114">
        <v>56.2</v>
      </c>
      <c r="O112" s="114">
        <v>55.5</v>
      </c>
      <c r="P112" s="114">
        <v>55.8</v>
      </c>
      <c r="Q112" s="114">
        <v>57.1</v>
      </c>
      <c r="R112" s="114">
        <v>56.7</v>
      </c>
      <c r="S112" s="114">
        <v>42.7</v>
      </c>
      <c r="T112" s="114">
        <v>42</v>
      </c>
      <c r="U112" s="114">
        <v>50.1</v>
      </c>
      <c r="V112" s="114">
        <v>52.6</v>
      </c>
      <c r="W112" s="114">
        <v>53.4</v>
      </c>
      <c r="X112" s="114">
        <v>56.4</v>
      </c>
      <c r="Y112" s="114">
        <v>52.7</v>
      </c>
      <c r="Z112" s="114">
        <v>55.5</v>
      </c>
      <c r="AA112" s="114">
        <v>71.599999999999994</v>
      </c>
      <c r="AB112" s="114">
        <v>71.3</v>
      </c>
      <c r="AC112" s="114">
        <v>64.5</v>
      </c>
      <c r="AD112" s="114">
        <v>68.2</v>
      </c>
      <c r="AE112" s="114">
        <v>61.8</v>
      </c>
      <c r="AF112" s="114">
        <v>49.5</v>
      </c>
      <c r="AG112" s="113">
        <v>240</v>
      </c>
      <c r="AH112" s="47">
        <f t="shared" si="25"/>
        <v>82.8</v>
      </c>
      <c r="AI112" s="48">
        <f t="shared" si="26"/>
        <v>26.1</v>
      </c>
    </row>
    <row r="113" spans="1:37" x14ac:dyDescent="0.25">
      <c r="A113" s="102" t="s">
        <v>121</v>
      </c>
      <c r="B113" s="114">
        <v>-139</v>
      </c>
      <c r="C113" s="114">
        <v>-160</v>
      </c>
      <c r="D113" s="114">
        <v>-155.5</v>
      </c>
      <c r="E113" s="114">
        <v>-142.69999999999999</v>
      </c>
      <c r="F113" s="114">
        <v>-140.69999999999999</v>
      </c>
      <c r="G113" s="114">
        <v>-134</v>
      </c>
      <c r="H113" s="114">
        <v>-131</v>
      </c>
      <c r="I113" s="114">
        <v>-120</v>
      </c>
      <c r="J113" s="114">
        <v>-92.6</v>
      </c>
      <c r="K113" s="114">
        <v>-90</v>
      </c>
      <c r="L113" s="114">
        <v>-102</v>
      </c>
      <c r="M113" s="114">
        <f>-31-34.6</f>
        <v>-65.599999999999994</v>
      </c>
      <c r="N113" s="114">
        <f>-29.5-32</f>
        <v>-61.5</v>
      </c>
      <c r="O113" s="114">
        <v>-66</v>
      </c>
      <c r="P113" s="114">
        <v>-63.7</v>
      </c>
      <c r="Q113" s="114">
        <v>-54.2</v>
      </c>
      <c r="R113" s="114">
        <v>-67</v>
      </c>
      <c r="S113" s="114">
        <f>-32.9-36.7</f>
        <v>-69.599999999999994</v>
      </c>
      <c r="T113" s="114">
        <f>-30.3-32.9</f>
        <v>-63.2</v>
      </c>
      <c r="U113" s="114">
        <f>-23.2-25.2</f>
        <v>-48.4</v>
      </c>
      <c r="V113" s="114">
        <f>-22.6-24.6</f>
        <v>-47.2</v>
      </c>
      <c r="W113" s="114">
        <f>-16.3-17.5</f>
        <v>-33.799999999999997</v>
      </c>
      <c r="X113" s="114">
        <f>-19.3-21.8</f>
        <v>-41.1</v>
      </c>
      <c r="Y113" s="114">
        <f>-19.9-21.8</f>
        <v>-41.7</v>
      </c>
      <c r="Z113" s="114">
        <f>-13.5-15.1</f>
        <v>-28.6</v>
      </c>
      <c r="AA113" s="114">
        <f>-20.6-9.1</f>
        <v>-29.700000000000003</v>
      </c>
      <c r="AB113" s="114">
        <f>-33.7-19.4</f>
        <v>-53.1</v>
      </c>
      <c r="AC113" s="114">
        <v>-40</v>
      </c>
      <c r="AD113" s="114">
        <v>-86</v>
      </c>
      <c r="AE113" s="114">
        <v>-100</v>
      </c>
      <c r="AF113" s="114">
        <v>-109</v>
      </c>
      <c r="AG113" s="113">
        <v>240</v>
      </c>
      <c r="AH113" s="47">
        <f t="shared" si="25"/>
        <v>-28.6</v>
      </c>
      <c r="AI113" s="48">
        <f t="shared" si="26"/>
        <v>-160</v>
      </c>
    </row>
    <row r="114" spans="1:37" x14ac:dyDescent="0.25">
      <c r="A114" s="102" t="s">
        <v>122</v>
      </c>
      <c r="B114" s="114">
        <v>-11.2</v>
      </c>
      <c r="C114" s="114">
        <v>-13.7</v>
      </c>
      <c r="D114" s="114">
        <v>-11.2</v>
      </c>
      <c r="E114" s="114">
        <v>-12.3</v>
      </c>
      <c r="F114" s="114">
        <v>-11.4</v>
      </c>
      <c r="G114" s="114">
        <v>-8.9</v>
      </c>
      <c r="H114" s="114">
        <v>-8.5</v>
      </c>
      <c r="I114" s="114">
        <v>-5.2</v>
      </c>
      <c r="J114" s="114">
        <v>3.6</v>
      </c>
      <c r="K114" s="114">
        <v>3.5</v>
      </c>
      <c r="L114" s="114">
        <v>0.7</v>
      </c>
      <c r="M114" s="114">
        <v>4.8</v>
      </c>
      <c r="N114" s="114">
        <v>4.0999999999999996</v>
      </c>
      <c r="O114" s="114">
        <v>5</v>
      </c>
      <c r="P114" s="114">
        <v>9.58</v>
      </c>
      <c r="Q114" s="114">
        <v>7.2</v>
      </c>
      <c r="R114" s="114">
        <v>6.1</v>
      </c>
      <c r="S114" s="114">
        <v>7.4</v>
      </c>
      <c r="T114" s="114">
        <v>4.0999999999999996</v>
      </c>
      <c r="U114" s="114">
        <v>9.9</v>
      </c>
      <c r="V114" s="114">
        <v>9.9</v>
      </c>
      <c r="W114" s="114">
        <v>13.2</v>
      </c>
      <c r="X114" s="114">
        <v>14.6</v>
      </c>
      <c r="Y114" s="114">
        <v>13.5</v>
      </c>
      <c r="Z114" s="114">
        <v>16.399999999999999</v>
      </c>
      <c r="AA114" s="114">
        <v>33.299999999999997</v>
      </c>
      <c r="AB114" s="114">
        <v>33.5</v>
      </c>
      <c r="AC114" s="114">
        <v>48.4</v>
      </c>
      <c r="AD114" s="114">
        <v>7.8</v>
      </c>
      <c r="AE114" s="114">
        <v>-2.2999999999999998</v>
      </c>
      <c r="AF114" s="114">
        <v>-4.4000000000000004</v>
      </c>
      <c r="AG114" s="113">
        <v>60</v>
      </c>
      <c r="AH114" s="47">
        <f t="shared" si="25"/>
        <v>48.4</v>
      </c>
      <c r="AI114" s="48">
        <f t="shared" si="26"/>
        <v>-13.7</v>
      </c>
    </row>
    <row r="115" spans="1:37" x14ac:dyDescent="0.25">
      <c r="A115" s="115" t="s">
        <v>123</v>
      </c>
      <c r="B115" s="116">
        <v>6.3</v>
      </c>
      <c r="C115" s="116">
        <v>6.3</v>
      </c>
      <c r="D115" s="116">
        <v>5.9</v>
      </c>
      <c r="E115" s="116">
        <v>5.6</v>
      </c>
      <c r="F115" s="116">
        <v>5.6</v>
      </c>
      <c r="G115" s="116">
        <v>5.3</v>
      </c>
      <c r="H115" s="116">
        <v>5.6</v>
      </c>
      <c r="I115" s="116">
        <v>6.3</v>
      </c>
      <c r="J115" s="116">
        <v>6.4</v>
      </c>
      <c r="K115" s="116">
        <v>6.3</v>
      </c>
      <c r="L115" s="116">
        <v>7</v>
      </c>
      <c r="M115" s="116">
        <v>7</v>
      </c>
      <c r="N115" s="116">
        <v>7.2</v>
      </c>
      <c r="O115" s="116">
        <v>7.5</v>
      </c>
      <c r="P115" s="116">
        <v>7.6</v>
      </c>
      <c r="Q115" s="116">
        <v>10.7</v>
      </c>
      <c r="R115" s="116">
        <v>13.1</v>
      </c>
      <c r="S115" s="116">
        <v>12.5</v>
      </c>
      <c r="T115" s="116">
        <v>12.2</v>
      </c>
      <c r="U115" s="116">
        <v>12.2</v>
      </c>
      <c r="V115" s="116">
        <v>8.3000000000000007</v>
      </c>
      <c r="W115" s="116">
        <v>17.8</v>
      </c>
      <c r="X115" s="116">
        <v>22.7</v>
      </c>
      <c r="Y115" s="116">
        <v>24.3</v>
      </c>
      <c r="Z115" s="116">
        <v>34.9</v>
      </c>
      <c r="AA115" s="116">
        <v>25</v>
      </c>
      <c r="AB115" s="116">
        <v>17.899999999999999</v>
      </c>
      <c r="AC115" s="116">
        <v>18.8</v>
      </c>
      <c r="AD115" s="116">
        <v>8.5</v>
      </c>
      <c r="AE115" s="116">
        <v>8.8000000000000007</v>
      </c>
      <c r="AF115" s="116">
        <v>8.9</v>
      </c>
      <c r="AG115" s="117">
        <v>120</v>
      </c>
      <c r="AH115" s="47">
        <f t="shared" si="25"/>
        <v>34.9</v>
      </c>
      <c r="AI115" s="48">
        <f t="shared" si="26"/>
        <v>5.3</v>
      </c>
    </row>
    <row r="116" spans="1:37" x14ac:dyDescent="0.25">
      <c r="A116" s="115" t="s">
        <v>124</v>
      </c>
      <c r="B116" s="116">
        <v>45</v>
      </c>
      <c r="C116" s="116">
        <v>40</v>
      </c>
      <c r="D116" s="116">
        <v>34</v>
      </c>
      <c r="E116" s="116">
        <v>44</v>
      </c>
      <c r="F116" s="116">
        <v>37</v>
      </c>
      <c r="G116" s="116">
        <v>34</v>
      </c>
      <c r="H116" s="116">
        <v>21.4</v>
      </c>
      <c r="I116" s="116">
        <v>32.200000000000003</v>
      </c>
      <c r="J116" s="116">
        <v>37.5</v>
      </c>
      <c r="K116" s="116">
        <v>54.8</v>
      </c>
      <c r="L116" s="116">
        <v>24.9</v>
      </c>
      <c r="M116" s="116">
        <v>70.099999999999994</v>
      </c>
      <c r="N116" s="116">
        <v>71.2</v>
      </c>
      <c r="O116" s="116">
        <v>54</v>
      </c>
      <c r="P116" s="116">
        <v>52.5</v>
      </c>
      <c r="Q116" s="116">
        <v>82.1</v>
      </c>
      <c r="R116" s="116">
        <v>78</v>
      </c>
      <c r="S116" s="116">
        <v>78.8</v>
      </c>
      <c r="T116" s="116">
        <v>69</v>
      </c>
      <c r="U116" s="116">
        <v>62.2</v>
      </c>
      <c r="V116" s="116">
        <v>63.6</v>
      </c>
      <c r="W116" s="116">
        <v>45.6</v>
      </c>
      <c r="X116" s="116">
        <v>56.5</v>
      </c>
      <c r="Y116" s="116">
        <v>60.5</v>
      </c>
      <c r="Z116" s="116">
        <v>78.8</v>
      </c>
      <c r="AA116" s="116">
        <v>82.6</v>
      </c>
      <c r="AB116" s="116">
        <v>67</v>
      </c>
      <c r="AC116" s="116">
        <v>62.8</v>
      </c>
      <c r="AD116" s="116">
        <v>48.3</v>
      </c>
      <c r="AE116" s="116">
        <v>42.2</v>
      </c>
      <c r="AF116" s="116">
        <v>54.9</v>
      </c>
      <c r="AG116" s="117"/>
      <c r="AH116" s="47">
        <f t="shared" si="25"/>
        <v>82.6</v>
      </c>
      <c r="AI116" s="48">
        <f t="shared" si="26"/>
        <v>21.4</v>
      </c>
    </row>
    <row r="117" spans="1:37" x14ac:dyDescent="0.25">
      <c r="A117" s="115" t="s">
        <v>125</v>
      </c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>
        <v>0.3</v>
      </c>
      <c r="S117" s="116">
        <v>-0.2</v>
      </c>
      <c r="T117" s="116">
        <v>-1.5</v>
      </c>
      <c r="U117" s="116">
        <v>-1.5</v>
      </c>
      <c r="V117" s="116">
        <v>-2.7</v>
      </c>
      <c r="W117" s="116">
        <v>-1.3</v>
      </c>
      <c r="X117" s="116">
        <v>-3</v>
      </c>
      <c r="Y117" s="116">
        <v>-12.7</v>
      </c>
      <c r="Z117" s="116">
        <v>-2.9</v>
      </c>
      <c r="AA117" s="116">
        <v>-3.5</v>
      </c>
      <c r="AB117" s="116"/>
      <c r="AC117" s="116"/>
      <c r="AD117" s="116"/>
      <c r="AE117" s="116"/>
      <c r="AF117" s="116"/>
      <c r="AG117" s="118"/>
      <c r="AH117" s="47">
        <f t="shared" si="25"/>
        <v>0.3</v>
      </c>
      <c r="AI117" s="48">
        <f t="shared" si="26"/>
        <v>-12.7</v>
      </c>
    </row>
    <row r="118" spans="1:37" x14ac:dyDescent="0.25">
      <c r="A118" s="119" t="s">
        <v>126</v>
      </c>
      <c r="B118" s="105">
        <v>42.4</v>
      </c>
      <c r="C118" s="105">
        <v>43.5</v>
      </c>
      <c r="D118" s="105">
        <v>46</v>
      </c>
      <c r="E118" s="105">
        <v>47.1</v>
      </c>
      <c r="F118" s="105">
        <v>51.3</v>
      </c>
      <c r="G118" s="105">
        <v>53.3</v>
      </c>
      <c r="H118" s="105">
        <v>55.4</v>
      </c>
      <c r="I118" s="105">
        <v>61.5</v>
      </c>
      <c r="J118" s="105">
        <v>60.4</v>
      </c>
      <c r="K118" s="105">
        <v>57.2</v>
      </c>
      <c r="L118" s="105">
        <v>56.4</v>
      </c>
      <c r="M118" s="105">
        <v>44.1</v>
      </c>
      <c r="N118" s="105">
        <v>49</v>
      </c>
      <c r="O118" s="105">
        <v>52.3</v>
      </c>
      <c r="P118" s="105">
        <v>23.9</v>
      </c>
      <c r="Q118" s="105">
        <v>47.2</v>
      </c>
      <c r="R118" s="105">
        <v>46</v>
      </c>
      <c r="S118" s="105">
        <v>42.6</v>
      </c>
      <c r="T118" s="105">
        <v>41.9</v>
      </c>
      <c r="U118" s="105">
        <v>39.200000000000003</v>
      </c>
      <c r="V118" s="105">
        <v>38.5</v>
      </c>
      <c r="W118" s="105">
        <v>35.4</v>
      </c>
      <c r="X118" s="105">
        <v>30.9</v>
      </c>
      <c r="Y118" s="105">
        <v>33.4</v>
      </c>
      <c r="Z118" s="105">
        <v>25.9</v>
      </c>
      <c r="AA118" s="105">
        <v>30.4</v>
      </c>
      <c r="AB118" s="105">
        <v>27</v>
      </c>
      <c r="AC118" s="105">
        <v>27.5</v>
      </c>
      <c r="AD118" s="105">
        <v>31.1</v>
      </c>
      <c r="AE118" s="105">
        <v>33.5</v>
      </c>
      <c r="AF118" s="105">
        <v>37.799999999999997</v>
      </c>
      <c r="AG118" s="118"/>
      <c r="AH118" s="47">
        <f t="shared" si="25"/>
        <v>61.5</v>
      </c>
      <c r="AI118" s="48">
        <f t="shared" si="26"/>
        <v>23.9</v>
      </c>
    </row>
    <row r="119" spans="1:37" x14ac:dyDescent="0.25">
      <c r="A119" s="120" t="s">
        <v>127</v>
      </c>
      <c r="B119" s="105">
        <v>99.5</v>
      </c>
      <c r="C119" s="105">
        <v>97.4</v>
      </c>
      <c r="D119" s="105">
        <v>107</v>
      </c>
      <c r="E119" s="105">
        <v>96</v>
      </c>
      <c r="F119" s="105">
        <v>99</v>
      </c>
      <c r="G119" s="105">
        <v>97.9</v>
      </c>
      <c r="H119" s="105">
        <v>98.2</v>
      </c>
      <c r="I119" s="105">
        <v>90.8</v>
      </c>
      <c r="J119" s="105">
        <v>96</v>
      </c>
      <c r="K119" s="105">
        <v>89</v>
      </c>
      <c r="L119" s="105">
        <v>88.6</v>
      </c>
      <c r="M119" s="105">
        <v>78</v>
      </c>
      <c r="N119" s="105">
        <v>99.4</v>
      </c>
      <c r="O119" s="105">
        <v>88.3</v>
      </c>
      <c r="P119" s="105">
        <v>93.1</v>
      </c>
      <c r="Q119" s="105">
        <v>70.900000000000006</v>
      </c>
      <c r="R119" s="105">
        <v>76</v>
      </c>
      <c r="S119" s="105">
        <v>83.1</v>
      </c>
      <c r="T119" s="105">
        <v>74.3</v>
      </c>
      <c r="U119" s="105">
        <v>61.5</v>
      </c>
      <c r="V119" s="105">
        <v>64.8</v>
      </c>
      <c r="W119" s="105">
        <v>59.5</v>
      </c>
      <c r="X119" s="105">
        <v>73</v>
      </c>
      <c r="Y119" s="105">
        <v>66.599999999999994</v>
      </c>
      <c r="Z119" s="105">
        <v>52.9</v>
      </c>
      <c r="AA119" s="105">
        <v>52.8</v>
      </c>
      <c r="AB119" s="105">
        <v>55.2</v>
      </c>
      <c r="AC119" s="105">
        <v>67.099999999999994</v>
      </c>
      <c r="AD119" s="105">
        <v>77.599999999999994</v>
      </c>
      <c r="AE119" s="105">
        <v>83.6</v>
      </c>
      <c r="AF119" s="105">
        <v>83.1</v>
      </c>
      <c r="AG119" s="118"/>
      <c r="AH119" s="47">
        <f t="shared" si="25"/>
        <v>107</v>
      </c>
      <c r="AI119" s="48">
        <f t="shared" si="26"/>
        <v>52.8</v>
      </c>
    </row>
    <row r="120" spans="1:37" ht="15.75" thickBot="1" x14ac:dyDescent="0.3">
      <c r="A120" s="119" t="s">
        <v>128</v>
      </c>
      <c r="B120" s="105">
        <v>27</v>
      </c>
      <c r="C120" s="105">
        <v>27</v>
      </c>
      <c r="D120" s="105">
        <v>20</v>
      </c>
      <c r="E120" s="105">
        <v>19</v>
      </c>
      <c r="F120" s="105">
        <v>16.7</v>
      </c>
      <c r="G120" s="105">
        <v>8.8000000000000007</v>
      </c>
      <c r="H120" s="105">
        <v>-3</v>
      </c>
      <c r="I120" s="105">
        <v>-7.5</v>
      </c>
      <c r="J120" s="105">
        <v>-0.6</v>
      </c>
      <c r="K120" s="105">
        <v>-0.6</v>
      </c>
      <c r="L120" s="105">
        <v>9.9</v>
      </c>
      <c r="M120" s="105">
        <v>-3.5</v>
      </c>
      <c r="N120" s="105">
        <v>6.3</v>
      </c>
      <c r="O120" s="105">
        <v>11.3</v>
      </c>
      <c r="P120" s="105">
        <v>24.7</v>
      </c>
      <c r="Q120" s="105">
        <v>6.7</v>
      </c>
      <c r="R120" s="105">
        <v>8</v>
      </c>
      <c r="S120" s="105">
        <v>14.1</v>
      </c>
      <c r="T120" s="105">
        <v>0.3</v>
      </c>
      <c r="U120" s="105">
        <v>13.3</v>
      </c>
      <c r="V120" s="105">
        <v>18.899999999999999</v>
      </c>
      <c r="W120" s="105">
        <v>11.8</v>
      </c>
      <c r="X120" s="105">
        <v>4</v>
      </c>
      <c r="Y120" s="105">
        <v>22.9</v>
      </c>
      <c r="Z120" s="105">
        <v>35.4</v>
      </c>
      <c r="AA120" s="105">
        <v>38.9</v>
      </c>
      <c r="AB120" s="105">
        <v>44.5</v>
      </c>
      <c r="AC120" s="105">
        <v>45.5</v>
      </c>
      <c r="AD120" s="105">
        <v>7.8</v>
      </c>
      <c r="AE120" s="105">
        <v>4</v>
      </c>
      <c r="AF120" s="105">
        <v>18.100000000000001</v>
      </c>
      <c r="AG120" s="118"/>
      <c r="AH120" s="47">
        <f t="shared" si="25"/>
        <v>45.5</v>
      </c>
      <c r="AI120" s="48">
        <f t="shared" si="26"/>
        <v>-7.5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52">SUM(B122:B226)</f>
        <v>0</v>
      </c>
      <c r="C227" s="136">
        <f t="shared" si="52"/>
        <v>0</v>
      </c>
      <c r="D227" s="136">
        <f t="shared" si="52"/>
        <v>0</v>
      </c>
      <c r="E227" s="136">
        <f t="shared" si="52"/>
        <v>0</v>
      </c>
      <c r="F227" s="136">
        <f t="shared" si="52"/>
        <v>0</v>
      </c>
      <c r="G227" s="136">
        <f t="shared" si="52"/>
        <v>0</v>
      </c>
      <c r="H227" s="136">
        <f t="shared" si="52"/>
        <v>0</v>
      </c>
      <c r="I227" s="136">
        <f t="shared" si="52"/>
        <v>0</v>
      </c>
      <c r="J227" s="136">
        <f t="shared" si="52"/>
        <v>0</v>
      </c>
      <c r="K227" s="136">
        <f t="shared" si="52"/>
        <v>0</v>
      </c>
      <c r="L227" s="136">
        <f t="shared" si="52"/>
        <v>0</v>
      </c>
      <c r="M227" s="136">
        <f t="shared" si="52"/>
        <v>0</v>
      </c>
      <c r="N227" s="136">
        <f t="shared" si="52"/>
        <v>0</v>
      </c>
      <c r="O227" s="136">
        <f t="shared" si="52"/>
        <v>0</v>
      </c>
      <c r="P227" s="136">
        <f t="shared" ref="P227" si="53">SUM(P122:P226)</f>
        <v>0</v>
      </c>
      <c r="Q227" s="136">
        <f t="shared" si="52"/>
        <v>0</v>
      </c>
      <c r="R227" s="136">
        <f t="shared" si="52"/>
        <v>0</v>
      </c>
      <c r="S227" s="136">
        <f t="shared" si="52"/>
        <v>0</v>
      </c>
      <c r="T227" s="136">
        <f t="shared" si="52"/>
        <v>0</v>
      </c>
      <c r="U227" s="136">
        <f t="shared" si="52"/>
        <v>0</v>
      </c>
      <c r="V227" s="136">
        <f t="shared" si="52"/>
        <v>0</v>
      </c>
      <c r="W227" s="136">
        <f t="shared" si="52"/>
        <v>0</v>
      </c>
      <c r="X227" s="136">
        <f t="shared" si="52"/>
        <v>0</v>
      </c>
      <c r="Y227" s="136">
        <f t="shared" si="52"/>
        <v>0</v>
      </c>
      <c r="Z227" s="136">
        <f t="shared" si="52"/>
        <v>0</v>
      </c>
      <c r="AA227" s="136">
        <f t="shared" si="52"/>
        <v>0</v>
      </c>
      <c r="AB227" s="136">
        <f t="shared" si="52"/>
        <v>0</v>
      </c>
      <c r="AC227" s="136">
        <f t="shared" si="52"/>
        <v>0</v>
      </c>
      <c r="AD227" s="136">
        <f t="shared" si="52"/>
        <v>0</v>
      </c>
      <c r="AE227" s="136">
        <f t="shared" si="52"/>
        <v>0</v>
      </c>
      <c r="AF227" s="137">
        <f t="shared" si="52"/>
        <v>0</v>
      </c>
      <c r="AG227" s="138">
        <f t="shared" si="52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54">AF229</f>
        <v>0</v>
      </c>
      <c r="C229" s="140">
        <v>0.3</v>
      </c>
      <c r="D229" s="140">
        <f t="shared" ref="D229:P234" si="55">C229</f>
        <v>0.3</v>
      </c>
      <c r="E229" s="140">
        <f t="shared" si="55"/>
        <v>0.3</v>
      </c>
      <c r="F229" s="140">
        <f t="shared" si="55"/>
        <v>0.3</v>
      </c>
      <c r="G229" s="140">
        <f t="shared" si="55"/>
        <v>0.3</v>
      </c>
      <c r="H229" s="140">
        <f t="shared" si="55"/>
        <v>0.3</v>
      </c>
      <c r="I229" s="140">
        <f t="shared" si="55"/>
        <v>0.3</v>
      </c>
      <c r="J229" s="140">
        <f t="shared" si="55"/>
        <v>0.3</v>
      </c>
      <c r="K229" s="140">
        <f t="shared" si="55"/>
        <v>0.3</v>
      </c>
      <c r="L229" s="140">
        <f t="shared" si="55"/>
        <v>0.3</v>
      </c>
      <c r="M229" s="140">
        <f t="shared" si="55"/>
        <v>0.3</v>
      </c>
      <c r="N229" s="140">
        <f t="shared" si="55"/>
        <v>0.3</v>
      </c>
      <c r="O229" s="140">
        <f t="shared" si="55"/>
        <v>0.3</v>
      </c>
      <c r="P229" s="140">
        <f t="shared" si="55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54"/>
        <v>0</v>
      </c>
      <c r="C230" s="128">
        <v>0.4</v>
      </c>
      <c r="D230" s="128">
        <f t="shared" si="55"/>
        <v>0.4</v>
      </c>
      <c r="E230" s="128">
        <f t="shared" si="55"/>
        <v>0.4</v>
      </c>
      <c r="F230" s="128">
        <f t="shared" si="55"/>
        <v>0.4</v>
      </c>
      <c r="G230" s="128">
        <f t="shared" si="55"/>
        <v>0.4</v>
      </c>
      <c r="H230" s="128">
        <f t="shared" si="55"/>
        <v>0.4</v>
      </c>
      <c r="I230" s="128">
        <f t="shared" si="55"/>
        <v>0.4</v>
      </c>
      <c r="J230" s="128">
        <f t="shared" si="55"/>
        <v>0.4</v>
      </c>
      <c r="K230" s="128">
        <f t="shared" si="55"/>
        <v>0.4</v>
      </c>
      <c r="L230" s="128">
        <f t="shared" si="55"/>
        <v>0.4</v>
      </c>
      <c r="M230" s="128">
        <f t="shared" si="55"/>
        <v>0.4</v>
      </c>
      <c r="N230" s="128">
        <f t="shared" si="55"/>
        <v>0.4</v>
      </c>
      <c r="O230" s="128">
        <f t="shared" si="55"/>
        <v>0.4</v>
      </c>
      <c r="P230" s="128">
        <f t="shared" si="55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54"/>
        <v>0</v>
      </c>
      <c r="C231" s="128">
        <v>1.5</v>
      </c>
      <c r="D231" s="128">
        <f t="shared" si="55"/>
        <v>1.5</v>
      </c>
      <c r="E231" s="128">
        <f t="shared" si="55"/>
        <v>1.5</v>
      </c>
      <c r="F231" s="128">
        <f t="shared" si="55"/>
        <v>1.5</v>
      </c>
      <c r="G231" s="128">
        <f t="shared" si="55"/>
        <v>1.5</v>
      </c>
      <c r="H231" s="128">
        <f t="shared" si="55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55"/>
        <v>123.21900000000009</v>
      </c>
      <c r="K231" s="128">
        <f t="shared" ca="1" si="55"/>
        <v>123.21900000000009</v>
      </c>
      <c r="L231" s="128">
        <f t="shared" ca="1" si="55"/>
        <v>123.21900000000009</v>
      </c>
      <c r="M231" s="128">
        <f t="shared" ca="1" si="55"/>
        <v>119.19900000000008</v>
      </c>
      <c r="N231" s="128">
        <f t="shared" ca="1" si="55"/>
        <v>119.19900000000008</v>
      </c>
      <c r="O231" s="128">
        <f t="shared" ca="1" si="55"/>
        <v>119.19900000000008</v>
      </c>
      <c r="P231" s="128">
        <f t="shared" ca="1" si="55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54"/>
        <v>0</v>
      </c>
      <c r="C232" s="128">
        <v>0.3</v>
      </c>
      <c r="D232" s="128">
        <f t="shared" si="55"/>
        <v>0.3</v>
      </c>
      <c r="E232" s="128">
        <f t="shared" si="55"/>
        <v>0.3</v>
      </c>
      <c r="F232" s="128">
        <f t="shared" si="55"/>
        <v>0.3</v>
      </c>
      <c r="G232" s="128">
        <f t="shared" si="55"/>
        <v>0.3</v>
      </c>
      <c r="H232" s="128">
        <f t="shared" si="55"/>
        <v>0.3</v>
      </c>
      <c r="I232" s="128">
        <f t="shared" si="55"/>
        <v>0.3</v>
      </c>
      <c r="J232" s="128">
        <f t="shared" si="55"/>
        <v>0.3</v>
      </c>
      <c r="K232" s="128">
        <f t="shared" si="55"/>
        <v>0.3</v>
      </c>
      <c r="L232" s="128">
        <f t="shared" si="55"/>
        <v>0.3</v>
      </c>
      <c r="M232" s="128">
        <f t="shared" si="55"/>
        <v>0.3</v>
      </c>
      <c r="N232" s="128">
        <f t="shared" si="55"/>
        <v>0.3</v>
      </c>
      <c r="O232" s="128">
        <f t="shared" si="55"/>
        <v>0.3</v>
      </c>
      <c r="P232" s="128">
        <f t="shared" si="55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54"/>
        <v>0</v>
      </c>
      <c r="C233" s="128">
        <v>0.4</v>
      </c>
      <c r="D233" s="128">
        <f t="shared" si="55"/>
        <v>0.4</v>
      </c>
      <c r="E233" s="128">
        <f t="shared" si="55"/>
        <v>0.4</v>
      </c>
      <c r="F233" s="128">
        <f t="shared" si="55"/>
        <v>0.4</v>
      </c>
      <c r="G233" s="128">
        <f t="shared" si="55"/>
        <v>0.4</v>
      </c>
      <c r="H233" s="128">
        <f t="shared" si="55"/>
        <v>0.4</v>
      </c>
      <c r="I233" s="128">
        <f t="shared" si="55"/>
        <v>0.4</v>
      </c>
      <c r="J233" s="128">
        <f t="shared" si="55"/>
        <v>0.4</v>
      </c>
      <c r="K233" s="128">
        <f t="shared" si="55"/>
        <v>0.4</v>
      </c>
      <c r="L233" s="128">
        <f t="shared" si="55"/>
        <v>0.4</v>
      </c>
      <c r="M233" s="128">
        <f t="shared" si="55"/>
        <v>0.4</v>
      </c>
      <c r="N233" s="128">
        <f t="shared" si="55"/>
        <v>0.4</v>
      </c>
      <c r="O233" s="128">
        <f t="shared" si="55"/>
        <v>0.4</v>
      </c>
      <c r="P233" s="128">
        <f t="shared" si="55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54"/>
        <v>0</v>
      </c>
      <c r="C234" s="132">
        <v>0.64</v>
      </c>
      <c r="D234" s="132">
        <f t="shared" si="55"/>
        <v>0.64</v>
      </c>
      <c r="E234" s="132">
        <f t="shared" si="55"/>
        <v>0.64</v>
      </c>
      <c r="F234" s="132">
        <f t="shared" si="55"/>
        <v>0.64</v>
      </c>
      <c r="G234" s="132">
        <f t="shared" si="55"/>
        <v>0.64</v>
      </c>
      <c r="H234" s="132">
        <f t="shared" si="55"/>
        <v>0.64</v>
      </c>
      <c r="I234" s="132">
        <f t="shared" si="55"/>
        <v>0.64</v>
      </c>
      <c r="J234" s="132">
        <f t="shared" si="55"/>
        <v>0.64</v>
      </c>
      <c r="K234" s="132">
        <f t="shared" si="55"/>
        <v>0.64</v>
      </c>
      <c r="L234" s="132">
        <f t="shared" si="55"/>
        <v>0.64</v>
      </c>
      <c r="M234" s="132">
        <f t="shared" si="55"/>
        <v>0.64</v>
      </c>
      <c r="N234" s="132">
        <f t="shared" si="55"/>
        <v>0.64</v>
      </c>
      <c r="O234" s="132">
        <f t="shared" si="55"/>
        <v>0.64</v>
      </c>
      <c r="P234" s="132">
        <f t="shared" si="55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56">SUM(B229:B234)</f>
        <v>0</v>
      </c>
      <c r="C235" s="136">
        <f t="shared" si="56"/>
        <v>3.54</v>
      </c>
      <c r="D235" s="136">
        <f t="shared" si="56"/>
        <v>3.54</v>
      </c>
      <c r="E235" s="136">
        <f t="shared" si="56"/>
        <v>3.54</v>
      </c>
      <c r="F235" s="136">
        <f t="shared" si="56"/>
        <v>3.54</v>
      </c>
      <c r="G235" s="136">
        <f t="shared" si="56"/>
        <v>3.54</v>
      </c>
      <c r="H235" s="136">
        <f t="shared" si="56"/>
        <v>3.54</v>
      </c>
      <c r="I235" s="136">
        <f t="shared" ca="1" si="56"/>
        <v>121.23900000000009</v>
      </c>
      <c r="J235" s="136">
        <f t="shared" ca="1" si="56"/>
        <v>121.23900000000009</v>
      </c>
      <c r="K235" s="136">
        <f t="shared" ca="1" si="56"/>
        <v>121.23900000000009</v>
      </c>
      <c r="L235" s="136">
        <f t="shared" ca="1" si="56"/>
        <v>125.2590000000001</v>
      </c>
      <c r="M235" s="136">
        <f t="shared" ca="1" si="56"/>
        <v>121.23900000000009</v>
      </c>
      <c r="N235" s="136">
        <f t="shared" ca="1" si="56"/>
        <v>121.23900000000009</v>
      </c>
      <c r="O235" s="136">
        <f t="shared" ca="1" si="56"/>
        <v>121.23900000000009</v>
      </c>
      <c r="P235" s="136">
        <f t="shared" ref="P235" ca="1" si="57">SUM(P229:P234)</f>
        <v>121.23900000000009</v>
      </c>
      <c r="Q235" s="136">
        <f t="shared" si="56"/>
        <v>0</v>
      </c>
      <c r="R235" s="136">
        <f t="shared" si="56"/>
        <v>0</v>
      </c>
      <c r="S235" s="136">
        <f t="shared" si="56"/>
        <v>0</v>
      </c>
      <c r="T235" s="136">
        <f t="shared" si="56"/>
        <v>0</v>
      </c>
      <c r="U235" s="136">
        <f t="shared" si="56"/>
        <v>0</v>
      </c>
      <c r="V235" s="136">
        <f t="shared" si="56"/>
        <v>0</v>
      </c>
      <c r="W235" s="136">
        <f t="shared" si="56"/>
        <v>0</v>
      </c>
      <c r="X235" s="136">
        <f t="shared" si="56"/>
        <v>0</v>
      </c>
      <c r="Y235" s="136">
        <f t="shared" si="56"/>
        <v>0</v>
      </c>
      <c r="Z235" s="136">
        <f t="shared" si="56"/>
        <v>0</v>
      </c>
      <c r="AA235" s="136">
        <f t="shared" si="56"/>
        <v>0</v>
      </c>
      <c r="AB235" s="136">
        <f t="shared" si="56"/>
        <v>0</v>
      </c>
      <c r="AC235" s="136">
        <f t="shared" si="56"/>
        <v>0</v>
      </c>
      <c r="AD235" s="136">
        <f t="shared" si="56"/>
        <v>0</v>
      </c>
      <c r="AE235" s="136">
        <f t="shared" si="56"/>
        <v>0</v>
      </c>
      <c r="AF235" s="136">
        <f t="shared" si="56"/>
        <v>0</v>
      </c>
      <c r="AG235" s="145">
        <f t="shared" si="56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2040.94</v>
      </c>
      <c r="C244" s="161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26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2080/04/26)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2080/04/26)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58">B91</f>
        <v>1879.44</v>
      </c>
      <c r="U249" s="170">
        <f t="shared" si="58"/>
        <v>1922.54</v>
      </c>
      <c r="V249" s="170">
        <f t="shared" si="58"/>
        <v>1923.14</v>
      </c>
      <c r="W249" s="170">
        <f t="shared" si="58"/>
        <v>1916.24</v>
      </c>
      <c r="X249" s="170">
        <f t="shared" si="58"/>
        <v>1905.1399999999999</v>
      </c>
      <c r="Y249" s="170">
        <f t="shared" si="58"/>
        <v>1903.84</v>
      </c>
      <c r="Z249" s="170">
        <f t="shared" si="58"/>
        <v>1928.54</v>
      </c>
      <c r="AA249" s="170">
        <f t="shared" si="58"/>
        <v>1935.84</v>
      </c>
      <c r="AB249" s="170">
        <f t="shared" si="58"/>
        <v>1950.04</v>
      </c>
      <c r="AC249" s="170">
        <f t="shared" si="58"/>
        <v>1946.74</v>
      </c>
      <c r="AD249" s="170">
        <f t="shared" si="58"/>
        <v>2040.94</v>
      </c>
      <c r="AE249" s="170">
        <f t="shared" si="58"/>
        <v>2013.74</v>
      </c>
      <c r="AF249" s="170">
        <f t="shared" si="58"/>
        <v>1940.8400000000001</v>
      </c>
      <c r="AG249" s="170">
        <f t="shared" si="58"/>
        <v>1953.24</v>
      </c>
      <c r="AH249" s="170">
        <f t="shared" si="58"/>
        <v>1956.54</v>
      </c>
      <c r="AI249" s="170">
        <f t="shared" si="58"/>
        <v>1994.47</v>
      </c>
      <c r="AJ249" s="170">
        <f t="shared" si="58"/>
        <v>1994.47</v>
      </c>
      <c r="AK249" s="170">
        <f t="shared" si="58"/>
        <v>1997.24</v>
      </c>
      <c r="AL249" s="170">
        <f t="shared" si="58"/>
        <v>1977.0399999999997</v>
      </c>
      <c r="AM249" s="170">
        <f t="shared" si="58"/>
        <v>1915.2399999999998</v>
      </c>
      <c r="AN249" s="170">
        <f t="shared" si="58"/>
        <v>1906.9399999999998</v>
      </c>
      <c r="AO249" s="170">
        <f t="shared" si="58"/>
        <v>1900.0400000000002</v>
      </c>
      <c r="AP249" s="170">
        <f t="shared" si="58"/>
        <v>1893.94</v>
      </c>
      <c r="AQ249" s="170">
        <f t="shared" si="58"/>
        <v>1913.5400000000002</v>
      </c>
      <c r="AR249" s="170">
        <f t="shared" si="58"/>
        <v>1929.6400000000003</v>
      </c>
      <c r="AS249" s="170">
        <f t="shared" si="58"/>
        <v>1958.8500000000001</v>
      </c>
      <c r="AT249" s="170">
        <f t="shared" si="58"/>
        <v>2012.0400000000002</v>
      </c>
      <c r="AU249" s="170">
        <f t="shared" si="58"/>
        <v>2094.94</v>
      </c>
      <c r="AV249" s="170">
        <f t="shared" si="58"/>
        <v>1978.0400000000002</v>
      </c>
      <c r="AW249" s="170">
        <f t="shared" si="58"/>
        <v>1946.8400000000001</v>
      </c>
      <c r="AX249" s="170">
        <f t="shared" si="58"/>
        <v>1923.54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59">C234</f>
        <v>0.64</v>
      </c>
      <c r="C270" s="173">
        <f t="shared" si="59"/>
        <v>0.64</v>
      </c>
      <c r="D270" s="173">
        <f t="shared" si="59"/>
        <v>0.64</v>
      </c>
      <c r="E270" s="173">
        <f t="shared" si="59"/>
        <v>0.64</v>
      </c>
      <c r="F270" s="173">
        <f t="shared" si="59"/>
        <v>0.64</v>
      </c>
      <c r="G270" s="173">
        <f t="shared" si="59"/>
        <v>0.64</v>
      </c>
      <c r="H270" s="173">
        <f t="shared" si="59"/>
        <v>0.64</v>
      </c>
      <c r="I270" s="173">
        <f t="shared" si="59"/>
        <v>0.64</v>
      </c>
      <c r="J270" s="173">
        <f t="shared" si="59"/>
        <v>0.64</v>
      </c>
      <c r="K270" s="173">
        <f t="shared" si="59"/>
        <v>0.64</v>
      </c>
      <c r="L270" s="173">
        <f t="shared" si="59"/>
        <v>0.64</v>
      </c>
      <c r="M270" s="173">
        <f t="shared" si="59"/>
        <v>0.64</v>
      </c>
      <c r="N270" s="173">
        <f t="shared" si="59"/>
        <v>0.64</v>
      </c>
      <c r="O270" s="173">
        <f t="shared" si="59"/>
        <v>0.64</v>
      </c>
      <c r="P270" s="173">
        <f t="shared" si="59"/>
        <v>0</v>
      </c>
      <c r="Q270" s="173">
        <f t="shared" si="59"/>
        <v>0</v>
      </c>
      <c r="R270" s="173">
        <f t="shared" si="59"/>
        <v>0</v>
      </c>
      <c r="S270" s="173">
        <f t="shared" si="59"/>
        <v>0</v>
      </c>
      <c r="T270" s="173">
        <f t="shared" si="59"/>
        <v>0</v>
      </c>
      <c r="U270" s="173">
        <f t="shared" si="59"/>
        <v>0</v>
      </c>
      <c r="V270" s="173">
        <f t="shared" si="59"/>
        <v>0</v>
      </c>
      <c r="W270" s="173">
        <f t="shared" si="59"/>
        <v>0</v>
      </c>
      <c r="X270" s="173">
        <f t="shared" si="59"/>
        <v>0</v>
      </c>
      <c r="Y270" s="173">
        <f t="shared" si="59"/>
        <v>0</v>
      </c>
      <c r="Z270" s="173">
        <f t="shared" si="59"/>
        <v>0</v>
      </c>
      <c r="AA270" s="173">
        <f t="shared" si="59"/>
        <v>0</v>
      </c>
      <c r="AB270" s="173">
        <f t="shared" si="59"/>
        <v>0</v>
      </c>
      <c r="AC270" s="173">
        <f t="shared" si="59"/>
        <v>0</v>
      </c>
      <c r="AD270" s="173">
        <f t="shared" si="59"/>
        <v>0</v>
      </c>
      <c r="AE270" s="173">
        <f t="shared" si="59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60">IF(B238&lt;100,"",B238-520)</f>
        <v/>
      </c>
      <c r="C271" s="174" t="str">
        <f t="shared" si="60"/>
        <v/>
      </c>
      <c r="D271" s="174" t="str">
        <f t="shared" si="60"/>
        <v/>
      </c>
      <c r="E271" s="174" t="str">
        <f t="shared" si="60"/>
        <v/>
      </c>
      <c r="F271" s="174" t="str">
        <f t="shared" si="60"/>
        <v/>
      </c>
      <c r="G271" s="174" t="str">
        <f t="shared" si="60"/>
        <v/>
      </c>
      <c r="H271" s="174" t="str">
        <f t="shared" si="60"/>
        <v/>
      </c>
      <c r="I271" s="174" t="str">
        <f t="shared" si="60"/>
        <v/>
      </c>
      <c r="J271" s="174" t="str">
        <f t="shared" si="60"/>
        <v/>
      </c>
      <c r="K271" s="174" t="str">
        <f t="shared" si="60"/>
        <v/>
      </c>
      <c r="L271" s="174" t="str">
        <f t="shared" si="60"/>
        <v/>
      </c>
      <c r="M271" s="174" t="str">
        <f t="shared" si="60"/>
        <v/>
      </c>
      <c r="N271" s="174" t="str">
        <f t="shared" si="60"/>
        <v/>
      </c>
      <c r="O271" s="174" t="str">
        <f t="shared" si="60"/>
        <v/>
      </c>
      <c r="P271" s="174" t="str">
        <f t="shared" si="60"/>
        <v/>
      </c>
      <c r="Q271" s="174" t="str">
        <f t="shared" si="60"/>
        <v/>
      </c>
      <c r="R271" s="174" t="str">
        <f t="shared" si="60"/>
        <v/>
      </c>
      <c r="S271" s="174" t="str">
        <f t="shared" si="60"/>
        <v/>
      </c>
      <c r="T271" s="174" t="str">
        <f t="shared" si="60"/>
        <v/>
      </c>
      <c r="U271" s="174" t="str">
        <f t="shared" si="60"/>
        <v/>
      </c>
      <c r="V271" s="174" t="str">
        <f t="shared" si="60"/>
        <v/>
      </c>
      <c r="W271" s="174" t="str">
        <f t="shared" si="60"/>
        <v/>
      </c>
      <c r="X271" s="174" t="str">
        <f t="shared" si="60"/>
        <v/>
      </c>
      <c r="Y271" s="174" t="str">
        <f t="shared" si="60"/>
        <v/>
      </c>
      <c r="Z271" s="174" t="str">
        <f t="shared" si="60"/>
        <v/>
      </c>
      <c r="AA271" s="174" t="str">
        <f t="shared" si="60"/>
        <v/>
      </c>
      <c r="AB271" s="174" t="str">
        <f t="shared" si="60"/>
        <v/>
      </c>
      <c r="AC271" s="174" t="str">
        <f t="shared" si="60"/>
        <v/>
      </c>
      <c r="AD271" s="174" t="str">
        <f t="shared" si="60"/>
        <v/>
      </c>
      <c r="AE271" s="174" t="str">
        <f t="shared" si="60"/>
        <v/>
      </c>
      <c r="AF271" s="174" t="str">
        <f t="shared" si="60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61">IF(B239&lt;100,"",B239-620)</f>
        <v/>
      </c>
      <c r="C272" s="174" t="str">
        <f t="shared" si="61"/>
        <v/>
      </c>
      <c r="D272" s="174" t="str">
        <f t="shared" si="61"/>
        <v/>
      </c>
      <c r="E272" s="174" t="str">
        <f t="shared" si="61"/>
        <v/>
      </c>
      <c r="F272" s="174" t="str">
        <f t="shared" si="61"/>
        <v/>
      </c>
      <c r="G272" s="174" t="str">
        <f t="shared" si="61"/>
        <v/>
      </c>
      <c r="H272" s="174" t="str">
        <f t="shared" si="61"/>
        <v/>
      </c>
      <c r="I272" s="174" t="str">
        <f t="shared" si="61"/>
        <v/>
      </c>
      <c r="J272" s="174" t="str">
        <f t="shared" si="61"/>
        <v/>
      </c>
      <c r="K272" s="174" t="str">
        <f t="shared" si="61"/>
        <v/>
      </c>
      <c r="L272" s="174" t="str">
        <f t="shared" si="61"/>
        <v/>
      </c>
      <c r="M272" s="174" t="str">
        <f t="shared" si="61"/>
        <v/>
      </c>
      <c r="N272" s="174" t="str">
        <f t="shared" si="61"/>
        <v/>
      </c>
      <c r="O272" s="174" t="str">
        <f t="shared" si="61"/>
        <v/>
      </c>
      <c r="P272" s="174" t="str">
        <f t="shared" si="61"/>
        <v/>
      </c>
      <c r="Q272" s="174" t="str">
        <f t="shared" si="61"/>
        <v/>
      </c>
      <c r="R272" s="174" t="str">
        <f t="shared" si="61"/>
        <v/>
      </c>
      <c r="S272" s="174" t="str">
        <f t="shared" si="61"/>
        <v/>
      </c>
      <c r="T272" s="174" t="str">
        <f t="shared" si="61"/>
        <v/>
      </c>
      <c r="U272" s="174" t="str">
        <f t="shared" si="61"/>
        <v/>
      </c>
      <c r="V272" s="174" t="str">
        <f t="shared" si="61"/>
        <v/>
      </c>
      <c r="W272" s="174" t="str">
        <f t="shared" si="61"/>
        <v/>
      </c>
      <c r="X272" s="174" t="str">
        <f t="shared" si="61"/>
        <v/>
      </c>
      <c r="Y272" s="174" t="str">
        <f t="shared" si="61"/>
        <v/>
      </c>
      <c r="Z272" s="174" t="str">
        <f t="shared" si="61"/>
        <v/>
      </c>
      <c r="AA272" s="174" t="str">
        <f t="shared" si="61"/>
        <v/>
      </c>
      <c r="AB272" s="174" t="str">
        <f t="shared" si="61"/>
        <v/>
      </c>
      <c r="AC272" s="174" t="str">
        <f t="shared" si="61"/>
        <v/>
      </c>
      <c r="AD272" s="174" t="str">
        <f t="shared" si="61"/>
        <v/>
      </c>
      <c r="AE272" s="174" t="str">
        <f t="shared" si="61"/>
        <v/>
      </c>
      <c r="AF272" s="174" t="str">
        <f t="shared" si="61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62">IF(B240&lt;100,"",B240-330)</f>
        <v/>
      </c>
      <c r="C273" s="174" t="str">
        <f t="shared" si="62"/>
        <v/>
      </c>
      <c r="D273" s="174" t="str">
        <f t="shared" si="62"/>
        <v/>
      </c>
      <c r="E273" s="174" t="str">
        <f t="shared" si="62"/>
        <v/>
      </c>
      <c r="F273" s="174" t="str">
        <f t="shared" si="62"/>
        <v/>
      </c>
      <c r="G273" s="174" t="str">
        <f t="shared" si="62"/>
        <v/>
      </c>
      <c r="H273" s="174" t="str">
        <f t="shared" si="62"/>
        <v/>
      </c>
      <c r="I273" s="174" t="str">
        <f t="shared" si="62"/>
        <v/>
      </c>
      <c r="J273" s="174" t="str">
        <f t="shared" si="62"/>
        <v/>
      </c>
      <c r="K273" s="174" t="str">
        <f t="shared" si="62"/>
        <v/>
      </c>
      <c r="L273" s="174" t="str">
        <f t="shared" si="62"/>
        <v/>
      </c>
      <c r="M273" s="174" t="str">
        <f t="shared" si="62"/>
        <v/>
      </c>
      <c r="N273" s="174" t="str">
        <f t="shared" si="62"/>
        <v/>
      </c>
      <c r="O273" s="174" t="str">
        <f t="shared" si="62"/>
        <v/>
      </c>
      <c r="P273" s="174" t="str">
        <f t="shared" si="62"/>
        <v/>
      </c>
      <c r="Q273" s="174" t="str">
        <f t="shared" si="62"/>
        <v/>
      </c>
      <c r="R273" s="174" t="str">
        <f t="shared" si="62"/>
        <v/>
      </c>
      <c r="S273" s="174" t="str">
        <f t="shared" si="62"/>
        <v/>
      </c>
      <c r="T273" s="174" t="str">
        <f t="shared" si="62"/>
        <v/>
      </c>
      <c r="U273" s="174" t="str">
        <f t="shared" si="62"/>
        <v/>
      </c>
      <c r="V273" s="174" t="str">
        <f t="shared" si="62"/>
        <v/>
      </c>
      <c r="W273" s="174" t="str">
        <f t="shared" si="62"/>
        <v/>
      </c>
      <c r="X273" s="174" t="str">
        <f t="shared" si="62"/>
        <v/>
      </c>
      <c r="Y273" s="174" t="str">
        <f t="shared" si="62"/>
        <v/>
      </c>
      <c r="Z273" s="174" t="str">
        <f t="shared" si="62"/>
        <v/>
      </c>
      <c r="AA273" s="174" t="str">
        <f t="shared" si="62"/>
        <v/>
      </c>
      <c r="AB273" s="174" t="str">
        <f t="shared" si="62"/>
        <v/>
      </c>
      <c r="AC273" s="174" t="str">
        <f t="shared" si="62"/>
        <v/>
      </c>
      <c r="AD273" s="174" t="str">
        <f t="shared" si="62"/>
        <v/>
      </c>
      <c r="AE273" s="174" t="str">
        <f t="shared" si="62"/>
        <v/>
      </c>
      <c r="AF273" s="174" t="str">
        <f t="shared" si="62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63">IF(B241&lt;100,"",B241-1500)</f>
        <v/>
      </c>
      <c r="C274" s="174" t="str">
        <f t="shared" si="63"/>
        <v/>
      </c>
      <c r="D274" s="174" t="str">
        <f t="shared" si="63"/>
        <v/>
      </c>
      <c r="E274" s="174" t="str">
        <f t="shared" si="63"/>
        <v/>
      </c>
      <c r="F274" s="174" t="str">
        <f t="shared" si="63"/>
        <v/>
      </c>
      <c r="G274" s="174" t="str">
        <f t="shared" si="63"/>
        <v/>
      </c>
      <c r="H274" s="174" t="str">
        <f t="shared" si="63"/>
        <v/>
      </c>
      <c r="I274" s="174" t="str">
        <f t="shared" si="63"/>
        <v/>
      </c>
      <c r="J274" s="174" t="str">
        <f t="shared" si="63"/>
        <v/>
      </c>
      <c r="K274" s="174" t="str">
        <f t="shared" si="63"/>
        <v/>
      </c>
      <c r="L274" s="174" t="str">
        <f t="shared" si="63"/>
        <v/>
      </c>
      <c r="M274" s="174" t="str">
        <f t="shared" si="63"/>
        <v/>
      </c>
      <c r="N274" s="174" t="str">
        <f t="shared" si="63"/>
        <v/>
      </c>
      <c r="O274" s="174" t="str">
        <f t="shared" si="63"/>
        <v/>
      </c>
      <c r="P274" s="174" t="str">
        <f t="shared" si="63"/>
        <v/>
      </c>
      <c r="Q274" s="174" t="str">
        <f t="shared" si="63"/>
        <v/>
      </c>
      <c r="R274" s="174" t="str">
        <f t="shared" si="63"/>
        <v/>
      </c>
      <c r="S274" s="174" t="str">
        <f t="shared" si="63"/>
        <v/>
      </c>
      <c r="T274" s="174" t="str">
        <f t="shared" si="63"/>
        <v/>
      </c>
      <c r="U274" s="174" t="str">
        <f t="shared" si="63"/>
        <v/>
      </c>
      <c r="V274" s="174" t="str">
        <f t="shared" si="63"/>
        <v/>
      </c>
      <c r="W274" s="174" t="str">
        <f t="shared" si="63"/>
        <v/>
      </c>
      <c r="X274" s="174" t="str">
        <f t="shared" si="63"/>
        <v/>
      </c>
      <c r="Y274" s="174" t="str">
        <f t="shared" si="63"/>
        <v/>
      </c>
      <c r="Z274" s="174" t="str">
        <f t="shared" si="63"/>
        <v/>
      </c>
      <c r="AA274" s="174" t="str">
        <f t="shared" si="63"/>
        <v/>
      </c>
      <c r="AB274" s="174" t="str">
        <f t="shared" si="63"/>
        <v/>
      </c>
      <c r="AC274" s="174" t="str">
        <f t="shared" si="63"/>
        <v/>
      </c>
      <c r="AD274" s="174" t="str">
        <f t="shared" si="63"/>
        <v/>
      </c>
      <c r="AE274" s="174" t="str">
        <f t="shared" si="63"/>
        <v/>
      </c>
      <c r="AF274" s="174" t="str">
        <f t="shared" si="63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114" priority="120">
      <formula>$AH11=0</formula>
    </cfRule>
  </conditionalFormatting>
  <conditionalFormatting sqref="B8 M8 S8 AB8">
    <cfRule type="expression" dxfId="113" priority="173">
      <formula>C$9&lt;8/24</formula>
    </cfRule>
    <cfRule type="expression" dxfId="112" priority="172">
      <formula>AND(C$9&gt;=8/24,C$9&lt;14/24)</formula>
    </cfRule>
    <cfRule type="expression" dxfId="111" priority="171">
      <formula>AND(C$9&gt;=14/24,C$9&lt;20/24)</formula>
    </cfRule>
  </conditionalFormatting>
  <conditionalFormatting sqref="B36:K46 L39:AA46 B11:V34 B35:L35 M35:V38 L36:L38 W36:AA38">
    <cfRule type="expression" dxfId="110" priority="18">
      <formula>B11&gt;$AG11</formula>
    </cfRule>
  </conditionalFormatting>
  <conditionalFormatting sqref="B11:V34 B35:L35 M35:V38 L36:L38 W36:AA38 B36:K45 L39:AA45">
    <cfRule type="expression" dxfId="109" priority="19">
      <formula>B$9&gt;=20/24</formula>
    </cfRule>
    <cfRule type="expression" dxfId="108" priority="20">
      <formula>AND(B$9&gt;=14/24,B$9&lt;20/24)</formula>
    </cfRule>
    <cfRule type="expression" dxfId="107" priority="21">
      <formula>AND(B$9&gt;=8/24,B$9&lt;14/24)</formula>
    </cfRule>
    <cfRule type="expression" dxfId="106" priority="22">
      <formula>B$9&lt;8/24</formula>
    </cfRule>
  </conditionalFormatting>
  <conditionalFormatting sqref="B61:V66">
    <cfRule type="expression" dxfId="105" priority="31">
      <formula>AND(B$9&gt;=14/24,B$9&lt;20/24)</formula>
    </cfRule>
    <cfRule type="expression" dxfId="104" priority="30">
      <formula>B$9&gt;=20/24</formula>
    </cfRule>
    <cfRule type="expression" dxfId="103" priority="32">
      <formula>AND(B$9&gt;=8/24,B$9&lt;14/24)</formula>
    </cfRule>
    <cfRule type="expression" dxfId="102" priority="33">
      <formula>B$9&lt;8/24</formula>
    </cfRule>
  </conditionalFormatting>
  <conditionalFormatting sqref="B9:AF10 AA11:AB34 W11:Z35 AC11:AF45 AA35 AB35:AB45">
    <cfRule type="expression" dxfId="101" priority="80">
      <formula>AND(B$9&gt;=14/24,B$9&lt;20/24)</formula>
    </cfRule>
    <cfRule type="expression" dxfId="100" priority="81">
      <formula>AND(B$9&gt;=8/24,B$9&lt;14/24)</formula>
    </cfRule>
    <cfRule type="expression" dxfId="99" priority="82">
      <formula>B$9&lt;8/24</formula>
    </cfRule>
  </conditionalFormatting>
  <conditionalFormatting sqref="B46:AF46">
    <cfRule type="expression" dxfId="98" priority="16">
      <formula>AND(B$9&gt;=8/24,B$9&lt;14/24)</formula>
    </cfRule>
    <cfRule type="expression" dxfId="97" priority="17">
      <formula>B$9&lt;8/24</formula>
    </cfRule>
    <cfRule type="expression" dxfId="96" priority="14">
      <formula>B$9&gt;=20/24</formula>
    </cfRule>
    <cfRule type="expression" dxfId="95" priority="15">
      <formula>AND(B$9&gt;=14/24,B$9&lt;20/24)</formula>
    </cfRule>
  </conditionalFormatting>
  <conditionalFormatting sqref="B47:AF47">
    <cfRule type="expression" dxfId="94" priority="28">
      <formula>B47&gt;$AG47</formula>
    </cfRule>
  </conditionalFormatting>
  <conditionalFormatting sqref="B47:AF49">
    <cfRule type="expression" dxfId="93" priority="24">
      <formula>B$9&gt;=20/24</formula>
    </cfRule>
    <cfRule type="expression" dxfId="92" priority="25">
      <formula>AND(B$9&gt;=14/24,B$9&lt;20/24)</formula>
    </cfRule>
    <cfRule type="expression" dxfId="91" priority="26">
      <formula>AND(B$9&gt;=8/24,B$9&lt;14/24)</formula>
    </cfRule>
    <cfRule type="expression" dxfId="90" priority="27">
      <formula>B$9&lt;8/24</formula>
    </cfRule>
  </conditionalFormatting>
  <conditionalFormatting sqref="B48:AF49 B51:AF53">
    <cfRule type="expression" dxfId="89" priority="23">
      <formula>B48&gt;$AG48</formula>
    </cfRule>
  </conditionalFormatting>
  <conditionalFormatting sqref="B51:AF53">
    <cfRule type="expression" dxfId="88" priority="46">
      <formula>B$9&lt;8/24</formula>
    </cfRule>
    <cfRule type="expression" dxfId="87" priority="45">
      <formula>AND(B$9&gt;=8/24,B$9&lt;14/24)</formula>
    </cfRule>
    <cfRule type="expression" dxfId="86" priority="44">
      <formula>AND(B$9&gt;=14/24,B$9&lt;20/24)</formula>
    </cfRule>
    <cfRule type="expression" dxfId="85" priority="43">
      <formula>B$9&gt;=20/24</formula>
    </cfRule>
  </conditionalFormatting>
  <conditionalFormatting sqref="B55:AF66">
    <cfRule type="expression" dxfId="84" priority="5">
      <formula>B55&gt;$AG55</formula>
    </cfRule>
  </conditionalFormatting>
  <conditionalFormatting sqref="B69:AF71">
    <cfRule type="expression" dxfId="83" priority="49">
      <formula>AND(B$9&gt;=14/24,B$9&lt;20/24)</formula>
    </cfRule>
    <cfRule type="expression" dxfId="82" priority="50">
      <formula>AND(B$9&gt;=8/24,B$9&lt;14/24)</formula>
    </cfRule>
    <cfRule type="expression" dxfId="81" priority="48">
      <formula>B$9&gt;=20/24</formula>
    </cfRule>
    <cfRule type="expression" dxfId="80" priority="47">
      <formula>B69&gt;$AG69</formula>
    </cfRule>
    <cfRule type="expression" dxfId="79" priority="51">
      <formula>B$9&lt;8/24</formula>
    </cfRule>
  </conditionalFormatting>
  <conditionalFormatting sqref="B73:AF91">
    <cfRule type="expression" dxfId="78" priority="2">
      <formula>AND(B$9&gt;=14/24,B$9&lt;20/24)</formula>
    </cfRule>
    <cfRule type="expression" dxfId="77" priority="3">
      <formula>AND(B$9&gt;=8/24,B$9&lt;14/24)</formula>
    </cfRule>
    <cfRule type="expression" dxfId="76" priority="4">
      <formula>B$9&lt;8/24</formula>
    </cfRule>
    <cfRule type="expression" dxfId="75" priority="1">
      <formula>B$9&gt;=20/24</formula>
    </cfRule>
  </conditionalFormatting>
  <conditionalFormatting sqref="B93:AF109">
    <cfRule type="expression" dxfId="74" priority="41">
      <formula>AND(B$9&gt;=8/24,B$9&lt;14/24)</formula>
    </cfRule>
    <cfRule type="expression" dxfId="73" priority="42">
      <formula>B$9&lt;8/24</formula>
    </cfRule>
    <cfRule type="expression" dxfId="72" priority="39">
      <formula>B$9&gt;=20/24</formula>
    </cfRule>
    <cfRule type="expression" dxfId="71" priority="40">
      <formula>AND(B$9&gt;=14/24,B$9&lt;20/24)</formula>
    </cfRule>
  </conditionalFormatting>
  <conditionalFormatting sqref="B111:AF120">
    <cfRule type="expression" dxfId="70" priority="12">
      <formula>AND(B$9&gt;=8/24,B$9&lt;14/24)</formula>
    </cfRule>
    <cfRule type="expression" dxfId="69" priority="11">
      <formula>AND(B$9&gt;=14/24,B$9&lt;20/24)</formula>
    </cfRule>
    <cfRule type="expression" dxfId="68" priority="10">
      <formula>B$9&gt;=20/24</formula>
    </cfRule>
    <cfRule type="expression" dxfId="67" priority="13">
      <formula>B$9&lt;8/24</formula>
    </cfRule>
  </conditionalFormatting>
  <conditionalFormatting sqref="B227:AF227 D229:O230 B229:B235 P229:AF235 D231:H231 J231:O231 D232:O235 U248:AF248">
    <cfRule type="expression" dxfId="66" priority="164">
      <formula>B$9&gt;=20/24</formula>
    </cfRule>
    <cfRule type="expression" dxfId="65" priority="165">
      <formula>AND(B$9&gt;=14/24,B$9&lt;20/24)</formula>
    </cfRule>
    <cfRule type="expression" dxfId="64" priority="166">
      <formula>AND(B$9&gt;=8/24,B$9&lt;14/24)</formula>
    </cfRule>
    <cfRule type="expression" dxfId="63" priority="167">
      <formula>B$9&lt;8/24</formula>
    </cfRule>
  </conditionalFormatting>
  <conditionalFormatting sqref="B50:AG50">
    <cfRule type="expression" dxfId="62" priority="83">
      <formula>B50&gt;$AG50</formula>
    </cfRule>
  </conditionalFormatting>
  <conditionalFormatting sqref="B54:AG54">
    <cfRule type="expression" dxfId="61" priority="52">
      <formula>B54&gt;$AG54</formula>
    </cfRule>
    <cfRule type="expression" dxfId="60" priority="53">
      <formula>B$9&gt;=20/24</formula>
    </cfRule>
    <cfRule type="expression" dxfId="59" priority="54">
      <formula>AND(B$9&gt;=14/24,B$9&lt;20/24)</formula>
    </cfRule>
    <cfRule type="expression" dxfId="58" priority="55">
      <formula>AND(B$9&gt;=8/24,B$9&lt;14/24)</formula>
    </cfRule>
    <cfRule type="expression" dxfId="57" priority="56">
      <formula>B$9&lt;8/24</formula>
    </cfRule>
  </conditionalFormatting>
  <conditionalFormatting sqref="B67:AG68">
    <cfRule type="expression" dxfId="56" priority="38">
      <formula>B67&gt;$AG67</formula>
    </cfRule>
  </conditionalFormatting>
  <conditionalFormatting sqref="B72:AG72">
    <cfRule type="expression" dxfId="55" priority="37">
      <formula>B$9&lt;8/24</formula>
    </cfRule>
    <cfRule type="expression" dxfId="54" priority="36">
      <formula>AND(B$9&gt;=8/24,B$9&lt;14/24)</formula>
    </cfRule>
    <cfRule type="expression" dxfId="53" priority="35">
      <formula>AND(B$9&gt;=14/24,B$9&lt;20/24)</formula>
    </cfRule>
    <cfRule type="expression" dxfId="52" priority="34">
      <formula>B$9&gt;=20/24</formula>
    </cfRule>
    <cfRule type="expression" dxfId="51" priority="29">
      <formula>B72&gt;$AG72</formula>
    </cfRule>
  </conditionalFormatting>
  <conditionalFormatting sqref="F55:S57 B55:E60 T55:V60 F59:S60">
    <cfRule type="expression" dxfId="50" priority="9">
      <formula>B$9&lt;8/24</formula>
    </cfRule>
    <cfRule type="expression" dxfId="49" priority="8">
      <formula>AND(B$9&gt;=8/24,B$9&lt;14/24)</formula>
    </cfRule>
    <cfRule type="expression" dxfId="48" priority="7">
      <formula>AND(B$9&gt;=14/24,B$9&lt;20/24)</formula>
    </cfRule>
    <cfRule type="expression" dxfId="47" priority="6">
      <formula>B$9&gt;=20/24</formula>
    </cfRule>
  </conditionalFormatting>
  <conditionalFormatting sqref="O3:P3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6" priority="170">
      <formula>C$9&gt;=20/24</formula>
    </cfRule>
  </conditionalFormatting>
  <conditionalFormatting sqref="S8">
    <cfRule type="expression" dxfId="45" priority="157">
      <formula>U$9&gt;=20/24</formula>
    </cfRule>
    <cfRule type="expression" dxfId="44" priority="158">
      <formula>AND(U$9&gt;=14/24,U$9&lt;20/24)</formula>
    </cfRule>
    <cfRule type="expression" dxfId="43" priority="159">
      <formula>AND(U$9&gt;=8/24,U$9&lt;14/24)</formula>
    </cfRule>
    <cfRule type="expression" dxfId="42" priority="160">
      <formula>U$9&lt;8/24</formula>
    </cfRule>
  </conditionalFormatting>
  <conditionalFormatting sqref="T248">
    <cfRule type="expression" dxfId="41" priority="182">
      <formula>AX$9&gt;=20/24</formula>
    </cfRule>
    <cfRule type="expression" dxfId="40" priority="183">
      <formula>AND(AX$9&gt;=14/24,AX$9&lt;20/24)</formula>
    </cfRule>
    <cfRule type="expression" dxfId="39" priority="184">
      <formula>AND(AX$9&gt;=8/24,AX$9&lt;14/24)</formula>
    </cfRule>
    <cfRule type="expression" dxfId="38" priority="185">
      <formula>AX$9&lt;8/24</formula>
    </cfRule>
  </conditionalFormatting>
  <conditionalFormatting sqref="V3 AB3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W55:AF66">
    <cfRule type="expression" dxfId="37" priority="69">
      <formula>W$9&lt;8/24</formula>
    </cfRule>
    <cfRule type="expression" dxfId="36" priority="66">
      <formula>W$9&gt;=20/24</formula>
    </cfRule>
    <cfRule type="expression" dxfId="35" priority="67">
      <formula>AND(W$9&gt;=14/24,W$9&lt;20/24)</formula>
    </cfRule>
    <cfRule type="expression" dxfId="34" priority="68">
      <formula>AND(W$9&gt;=8/24,W$9&lt;14/24)</formula>
    </cfRule>
  </conditionalFormatting>
  <conditionalFormatting sqref="AA11:AB34 W11:Z35 AC11:AF45 AA35 AB35:AB45 B9:AF10">
    <cfRule type="expression" dxfId="33" priority="79">
      <formula>B$9&gt;=20/24</formula>
    </cfRule>
  </conditionalFormatting>
  <conditionalFormatting sqref="AB8">
    <cfRule type="expression" dxfId="32" priority="153">
      <formula>AD$9&gt;=20/24</formula>
    </cfRule>
    <cfRule type="expression" dxfId="31" priority="154">
      <formula>AND(AD$9&gt;=14/24,AD$9&lt;20/24)</formula>
    </cfRule>
    <cfRule type="expression" dxfId="30" priority="155">
      <formula>AND(AD$9&gt;=8/24,AD$9&lt;14/24)</formula>
    </cfRule>
    <cfRule type="expression" dxfId="29" priority="156">
      <formula>AD$9&lt;8/24</formula>
    </cfRule>
  </conditionalFormatting>
  <conditionalFormatting sqref="AC11:AF46 AB35:AB46 AA11:AB34 W11:Z35 AA35">
    <cfRule type="expression" dxfId="28" priority="78">
      <formula>W11&gt;$AG11</formula>
    </cfRule>
  </conditionalFormatting>
  <conditionalFormatting sqref="AE61:AF66">
    <cfRule type="expression" dxfId="27" priority="62">
      <formula>AE$9&gt;=20/24</formula>
    </cfRule>
    <cfRule type="expression" dxfId="26" priority="65">
      <formula>AE$9&lt;8/24</formula>
    </cfRule>
    <cfRule type="expression" dxfId="25" priority="64">
      <formula>AND(AE$9&gt;=8/24,AE$9&lt;14/24)</formula>
    </cfRule>
    <cfRule type="expression" dxfId="24" priority="63">
      <formula>AND(AE$9&gt;=14/24,AE$9&lt;20/24)</formula>
    </cfRule>
  </conditionalFormatting>
  <conditionalFormatting sqref="AG89">
    <cfRule type="expression" dxfId="23" priority="141">
      <formula>AG$9&gt;=20/24</formula>
    </cfRule>
    <cfRule type="expression" dxfId="22" priority="142">
      <formula>AND(AG$9&gt;=14/24,AG$9&lt;20/24)</formula>
    </cfRule>
    <cfRule type="expression" dxfId="21" priority="143">
      <formula>AND(AG$9&gt;=8/24,AG$9&lt;14/24)</formula>
    </cfRule>
    <cfRule type="expression" dxfId="20" priority="144">
      <formula>AG$9&lt;8/24</formula>
    </cfRule>
  </conditionalFormatting>
  <conditionalFormatting sqref="AG248">
    <cfRule type="expression" dxfId="19" priority="174">
      <formula>B$9&gt;=20/24</formula>
    </cfRule>
    <cfRule type="expression" dxfId="18" priority="175">
      <formula>AND(B$9&gt;=14/24,B$9&lt;20/24)</formula>
    </cfRule>
    <cfRule type="expression" dxfId="17" priority="176">
      <formula>AND(B$9&gt;=8/24,B$9&lt;14/24)</formula>
    </cfRule>
    <cfRule type="expression" dxfId="16" priority="177">
      <formula>B$9&lt;8/24</formula>
    </cfRule>
  </conditionalFormatting>
  <conditionalFormatting sqref="AH248:AX248">
    <cfRule type="expression" dxfId="15" priority="178">
      <formula>AG$9&gt;=20/24</formula>
    </cfRule>
    <cfRule type="expression" dxfId="14" priority="179">
      <formula>AND(AG$9&gt;=14/24,AG$9&lt;20/24)</formula>
    </cfRule>
    <cfRule type="expression" dxfId="13" priority="180">
      <formula>AND(AG$9&gt;=8/24,AG$9&lt;14/24)</formula>
    </cfRule>
    <cfRule type="expression" dxfId="12" priority="181">
      <formula>AG$9&lt;8/24</formula>
    </cfRule>
  </conditionalFormatting>
  <conditionalFormatting sqref="AL4:AL6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1" priority="187">
      <formula>AJ$9&gt;=20/24</formula>
    </cfRule>
    <cfRule type="expression" dxfId="10" priority="188">
      <formula>AND(AJ$9&gt;=14/24,AJ$9&lt;20/24)</formula>
    </cfRule>
    <cfRule type="expression" dxfId="9" priority="189">
      <formula>AND(AJ$9&gt;=8/24,AJ$9&lt;14/24)</formula>
    </cfRule>
    <cfRule type="expression" dxfId="8" priority="190">
      <formula>AJ$9&lt;8/24</formula>
    </cfRule>
  </conditionalFormatting>
  <conditionalFormatting sqref="AL80:AN80 AL86:AN86">
    <cfRule type="expression" dxfId="7" priority="128">
      <formula>AL$9&gt;=20/24</formula>
    </cfRule>
    <cfRule type="expression" dxfId="6" priority="129">
      <formula>AND(AL$9&gt;=14/24,AL$9&lt;20/24)</formula>
    </cfRule>
    <cfRule type="expression" dxfId="5" priority="130">
      <formula>AND(AL$9&gt;=8/24,AL$9&lt;14/24)</formula>
    </cfRule>
    <cfRule type="expression" dxfId="4" priority="131">
      <formula>AL$9&lt;8/24</formula>
    </cfRule>
  </conditionalFormatting>
  <conditionalFormatting sqref="AN81:AN84">
    <cfRule type="expression" dxfId="3" priority="124">
      <formula>AN$9&gt;=20/24</formula>
    </cfRule>
    <cfRule type="expression" dxfId="2" priority="125">
      <formula>AND(AN$9&gt;=14/24,AN$9&lt;20/24)</formula>
    </cfRule>
    <cfRule type="expression" dxfId="1" priority="126">
      <formula>AND(AN$9&gt;=8/24,AN$9&lt;14/24)</formula>
    </cfRule>
    <cfRule type="expression" dxfId="0" priority="127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7D3D-70ED-4CFA-8897-61127CCC0197}">
  <dimension ref="A1:CJ281"/>
  <sheetViews>
    <sheetView zoomScaleNormal="100" workbookViewId="0">
      <pane xSplit="1" ySplit="10" topLeftCell="D109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H11" sqref="AH11:AI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4" width="8" style="1" customWidth="1"/>
    <col min="35" max="35" width="9.85546875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2080/04/27</v>
      </c>
      <c r="C4" s="203"/>
      <c r="D4" s="203"/>
      <c r="E4" s="204" t="str">
        <f ca="1">"2079/"&amp;"12/"&amp;INT(MID(CELL("filename",G6),FIND("]",CELL("filename",G6))+1,200))</f>
        <v>2079/12/27</v>
      </c>
      <c r="F4" s="204"/>
      <c r="G4" s="204"/>
      <c r="H4" s="204" t="str">
        <f ca="1">TEXT(E4,"dddd")</f>
        <v>Wednesday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517.1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512.6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13</v>
      </c>
      <c r="AA5" s="30">
        <f t="shared" si="0"/>
        <v>15.4</v>
      </c>
      <c r="AB5" s="30">
        <f t="shared" si="0"/>
        <v>10</v>
      </c>
      <c r="AC5" s="30">
        <f t="shared" si="0"/>
        <v>5</v>
      </c>
      <c r="AD5" s="30">
        <f t="shared" si="0"/>
        <v>0</v>
      </c>
      <c r="AE5" s="30">
        <f t="shared" si="0"/>
        <v>0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2353MW at 6:30hr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Load=1847</v>
      </c>
      <c r="B7" s="35">
        <f t="shared" ref="B7:AF7" si="1">B91</f>
        <v>1911.94</v>
      </c>
      <c r="C7" s="35">
        <f t="shared" si="1"/>
        <v>1911.94</v>
      </c>
      <c r="D7" s="35">
        <f t="shared" si="1"/>
        <v>1893.94</v>
      </c>
      <c r="E7" s="35">
        <f t="shared" si="1"/>
        <v>1884.24</v>
      </c>
      <c r="F7" s="35">
        <f t="shared" si="1"/>
        <v>1877.94</v>
      </c>
      <c r="G7" s="35">
        <f t="shared" si="1"/>
        <v>1887.8400000000001</v>
      </c>
      <c r="H7" s="35">
        <f t="shared" si="1"/>
        <v>1889.44</v>
      </c>
      <c r="I7" s="35">
        <f t="shared" si="1"/>
        <v>1889.44</v>
      </c>
      <c r="J7" s="35">
        <f t="shared" si="1"/>
        <v>2353.2400000000002</v>
      </c>
      <c r="K7" s="35">
        <f t="shared" si="1"/>
        <v>1846.7400000000002</v>
      </c>
      <c r="L7" s="35">
        <f t="shared" si="1"/>
        <v>1863.54</v>
      </c>
      <c r="M7" s="35">
        <f t="shared" si="1"/>
        <v>1895.8400000000001</v>
      </c>
      <c r="N7" s="35">
        <f>N91</f>
        <v>1851.94</v>
      </c>
      <c r="O7" s="35">
        <f t="shared" si="1"/>
        <v>1944.74</v>
      </c>
      <c r="P7" s="35">
        <f t="shared" si="1"/>
        <v>1922.34</v>
      </c>
      <c r="Q7" s="35">
        <f t="shared" si="1"/>
        <v>1897.6399999999999</v>
      </c>
      <c r="R7" s="35">
        <f t="shared" si="1"/>
        <v>2382.2399999999998</v>
      </c>
      <c r="S7" s="35">
        <f t="shared" si="1"/>
        <v>1917.62</v>
      </c>
      <c r="T7" s="35">
        <f t="shared" si="1"/>
        <v>1920.7199999999998</v>
      </c>
      <c r="U7" s="35">
        <f t="shared" si="1"/>
        <v>1891.2199999999998</v>
      </c>
      <c r="V7" s="35">
        <f t="shared" si="1"/>
        <v>1873.52</v>
      </c>
      <c r="W7" s="35">
        <f t="shared" si="1"/>
        <v>1872.12</v>
      </c>
      <c r="X7" s="35">
        <f t="shared" si="1"/>
        <v>1881.32</v>
      </c>
      <c r="Y7" s="35">
        <f t="shared" si="1"/>
        <v>1907.32</v>
      </c>
      <c r="Z7" s="35">
        <f t="shared" si="1"/>
        <v>1995.1200000000001</v>
      </c>
      <c r="AA7" s="35">
        <f t="shared" si="1"/>
        <v>2044.22</v>
      </c>
      <c r="AB7" s="35">
        <f t="shared" si="1"/>
        <v>2019.12</v>
      </c>
      <c r="AC7" s="35">
        <f t="shared" si="1"/>
        <v>1994.8200000000002</v>
      </c>
      <c r="AD7" s="35">
        <f t="shared" si="1"/>
        <v>1981.4199999999998</v>
      </c>
      <c r="AE7" s="35">
        <f t="shared" si="1"/>
        <v>1914.8199999999997</v>
      </c>
      <c r="AF7" s="35">
        <f t="shared" si="1"/>
        <v>1911.62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195">
        <f>54+25+27+12+9+30</f>
        <v>157</v>
      </c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195">
        <f>20+18+8+13+5</f>
        <v>64</v>
      </c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90.2</v>
      </c>
      <c r="C11" s="45">
        <v>90.2</v>
      </c>
      <c r="D11" s="45">
        <v>90.2</v>
      </c>
      <c r="E11" s="45">
        <v>90.2</v>
      </c>
      <c r="F11" s="45">
        <v>90.2</v>
      </c>
      <c r="G11" s="45">
        <v>90.2</v>
      </c>
      <c r="H11" s="45">
        <v>90.2</v>
      </c>
      <c r="I11" s="45">
        <v>90.2</v>
      </c>
      <c r="J11" s="45">
        <v>90.2</v>
      </c>
      <c r="K11" s="45">
        <v>90.2</v>
      </c>
      <c r="L11" s="45">
        <v>90.2</v>
      </c>
      <c r="M11" s="45">
        <v>90.2</v>
      </c>
      <c r="N11" s="45">
        <v>89.7</v>
      </c>
      <c r="O11" s="45">
        <v>89.7</v>
      </c>
      <c r="P11" s="45">
        <v>86</v>
      </c>
      <c r="Q11" s="45">
        <v>86</v>
      </c>
      <c r="R11" s="45">
        <v>86</v>
      </c>
      <c r="S11" s="45">
        <v>86</v>
      </c>
      <c r="T11" s="45">
        <v>86</v>
      </c>
      <c r="U11" s="45">
        <v>86</v>
      </c>
      <c r="V11" s="45">
        <v>86</v>
      </c>
      <c r="W11" s="45">
        <v>86</v>
      </c>
      <c r="X11" s="45">
        <v>86</v>
      </c>
      <c r="Y11" s="45">
        <v>86</v>
      </c>
      <c r="Z11" s="45">
        <v>86</v>
      </c>
      <c r="AA11" s="45">
        <v>86</v>
      </c>
      <c r="AB11" s="45">
        <v>87.1</v>
      </c>
      <c r="AC11" s="45">
        <v>87</v>
      </c>
      <c r="AD11" s="45">
        <v>87</v>
      </c>
      <c r="AE11" s="45">
        <v>87</v>
      </c>
      <c r="AF11" s="45">
        <v>86.8</v>
      </c>
      <c r="AG11" s="46">
        <v>86</v>
      </c>
      <c r="AH11" s="47">
        <f t="shared" ref="AH11:AH76" si="2">MAX(B11:AF11)</f>
        <v>90.2</v>
      </c>
      <c r="AI11" s="48">
        <f t="shared" ref="AI11:AI76" si="3">MIN(B11:AF11)</f>
        <v>86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>
        <f t="shared" si="2"/>
        <v>0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54.9</v>
      </c>
      <c r="C13" s="45">
        <v>54.9</v>
      </c>
      <c r="D13" s="45">
        <v>54.9</v>
      </c>
      <c r="E13" s="45">
        <v>54.9</v>
      </c>
      <c r="F13" s="45">
        <v>54.9</v>
      </c>
      <c r="G13" s="45">
        <v>54.9</v>
      </c>
      <c r="H13" s="45">
        <v>54.9</v>
      </c>
      <c r="I13" s="45">
        <v>54.9</v>
      </c>
      <c r="J13" s="45">
        <v>54.9</v>
      </c>
      <c r="K13" s="45">
        <v>54.9</v>
      </c>
      <c r="L13" s="45">
        <v>54.9</v>
      </c>
      <c r="M13" s="45">
        <v>54.9</v>
      </c>
      <c r="N13" s="45">
        <v>54.7</v>
      </c>
      <c r="O13" s="45">
        <v>54.7</v>
      </c>
      <c r="P13" s="45">
        <v>54.7</v>
      </c>
      <c r="Q13" s="45">
        <v>54.7</v>
      </c>
      <c r="R13" s="45">
        <v>54.7</v>
      </c>
      <c r="S13" s="45">
        <v>54.7</v>
      </c>
      <c r="T13" s="45">
        <v>54.7</v>
      </c>
      <c r="U13" s="45">
        <v>54.7</v>
      </c>
      <c r="V13" s="45">
        <v>54.7</v>
      </c>
      <c r="W13" s="45">
        <v>54.7</v>
      </c>
      <c r="X13" s="45">
        <v>54.7</v>
      </c>
      <c r="Y13" s="45">
        <v>54.7</v>
      </c>
      <c r="Z13" s="45">
        <v>54.7</v>
      </c>
      <c r="AA13" s="45">
        <v>54.7</v>
      </c>
      <c r="AB13" s="45">
        <v>54.8</v>
      </c>
      <c r="AC13" s="45">
        <v>54.8</v>
      </c>
      <c r="AD13" s="45">
        <v>54.8</v>
      </c>
      <c r="AE13" s="45">
        <v>54.8</v>
      </c>
      <c r="AF13" s="45">
        <v>54.9</v>
      </c>
      <c r="AG13" s="46">
        <v>52.4</v>
      </c>
      <c r="AH13" s="47">
        <f t="shared" si="2"/>
        <v>54.9</v>
      </c>
      <c r="AI13" s="48">
        <f t="shared" si="3"/>
        <v>54.7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50.5</v>
      </c>
      <c r="C14" s="58">
        <v>50.5</v>
      </c>
      <c r="D14" s="58">
        <v>50.5</v>
      </c>
      <c r="E14" s="58">
        <v>50.5</v>
      </c>
      <c r="F14" s="58">
        <v>50.5</v>
      </c>
      <c r="G14" s="58">
        <v>50.5</v>
      </c>
      <c r="H14" s="58">
        <v>50.5</v>
      </c>
      <c r="I14" s="58">
        <v>50.5</v>
      </c>
      <c r="J14" s="58">
        <v>50.5</v>
      </c>
      <c r="K14" s="58">
        <v>50.5</v>
      </c>
      <c r="L14" s="58">
        <v>50.5</v>
      </c>
      <c r="M14" s="58">
        <v>50.5</v>
      </c>
      <c r="N14" s="58">
        <v>50.5</v>
      </c>
      <c r="O14" s="58">
        <v>50.5</v>
      </c>
      <c r="P14" s="58">
        <v>50.5</v>
      </c>
      <c r="Q14" s="58">
        <v>50.5</v>
      </c>
      <c r="R14" s="58">
        <v>50.5</v>
      </c>
      <c r="S14" s="58">
        <v>50.5</v>
      </c>
      <c r="T14" s="58">
        <v>50.5</v>
      </c>
      <c r="U14" s="58">
        <v>50.5</v>
      </c>
      <c r="V14" s="58">
        <v>50.5</v>
      </c>
      <c r="W14" s="58">
        <v>50.5</v>
      </c>
      <c r="X14" s="58">
        <v>50.5</v>
      </c>
      <c r="Y14" s="58">
        <v>50.5</v>
      </c>
      <c r="Z14" s="58">
        <v>50.5</v>
      </c>
      <c r="AA14" s="45">
        <v>50.5</v>
      </c>
      <c r="AB14" s="45">
        <v>50.4</v>
      </c>
      <c r="AC14" s="45">
        <v>50.4</v>
      </c>
      <c r="AD14" s="45">
        <v>50.2</v>
      </c>
      <c r="AE14" s="45">
        <v>50.2</v>
      </c>
      <c r="AF14" s="45">
        <v>50.2</v>
      </c>
      <c r="AG14" s="49">
        <v>50</v>
      </c>
      <c r="AH14" s="47">
        <f t="shared" si="2"/>
        <v>50.5</v>
      </c>
      <c r="AI14" s="48">
        <f t="shared" si="3"/>
        <v>50.2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37</v>
      </c>
      <c r="C15" s="45">
        <v>37</v>
      </c>
      <c r="D15" s="45">
        <v>37</v>
      </c>
      <c r="E15" s="45">
        <v>37</v>
      </c>
      <c r="F15" s="45">
        <v>37</v>
      </c>
      <c r="G15" s="45">
        <v>37</v>
      </c>
      <c r="H15" s="45">
        <v>37</v>
      </c>
      <c r="I15" s="45">
        <v>37</v>
      </c>
      <c r="J15" s="45">
        <v>37</v>
      </c>
      <c r="K15" s="45">
        <v>37</v>
      </c>
      <c r="L15" s="45">
        <v>37</v>
      </c>
      <c r="M15" s="45">
        <v>37</v>
      </c>
      <c r="N15" s="45">
        <v>46</v>
      </c>
      <c r="O15" s="45">
        <v>46</v>
      </c>
      <c r="P15" s="45">
        <v>37</v>
      </c>
      <c r="Q15" s="45">
        <v>37</v>
      </c>
      <c r="R15" s="45">
        <v>37</v>
      </c>
      <c r="S15" s="45">
        <v>37</v>
      </c>
      <c r="T15" s="45">
        <v>37</v>
      </c>
      <c r="U15" s="45">
        <v>37</v>
      </c>
      <c r="V15" s="45">
        <v>37</v>
      </c>
      <c r="W15" s="45">
        <v>37</v>
      </c>
      <c r="X15" s="45">
        <v>37</v>
      </c>
      <c r="Y15" s="45">
        <v>37</v>
      </c>
      <c r="Z15" s="45">
        <v>46</v>
      </c>
      <c r="AA15" s="45">
        <v>46</v>
      </c>
      <c r="AB15" s="45">
        <v>46</v>
      </c>
      <c r="AC15" s="45">
        <v>46</v>
      </c>
      <c r="AD15" s="45">
        <v>46</v>
      </c>
      <c r="AE15" s="45">
        <v>46</v>
      </c>
      <c r="AF15" s="45">
        <v>37</v>
      </c>
      <c r="AG15" s="49">
        <v>45</v>
      </c>
      <c r="AH15" s="47">
        <f t="shared" si="2"/>
        <v>46</v>
      </c>
      <c r="AI15" s="48">
        <f t="shared" si="3"/>
        <v>37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30</v>
      </c>
      <c r="K16" s="45">
        <v>20</v>
      </c>
      <c r="L16" s="45">
        <v>25</v>
      </c>
      <c r="M16" s="45">
        <v>35</v>
      </c>
      <c r="N16" s="45">
        <v>35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38</v>
      </c>
      <c r="AG16" s="49">
        <v>44</v>
      </c>
      <c r="AH16" s="47">
        <f>MAX(B16:AG16)</f>
        <v>44</v>
      </c>
      <c r="AI16" s="48">
        <f>MIN(B16:AG16)</f>
        <v>20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29.9</v>
      </c>
      <c r="C17" s="45">
        <v>29.9</v>
      </c>
      <c r="D17" s="45">
        <v>29.9</v>
      </c>
      <c r="E17" s="45">
        <v>29.9</v>
      </c>
      <c r="F17" s="45">
        <v>29.9</v>
      </c>
      <c r="G17" s="45">
        <v>29.9</v>
      </c>
      <c r="H17" s="45">
        <v>29.9</v>
      </c>
      <c r="I17" s="45">
        <v>29.9</v>
      </c>
      <c r="J17" s="45">
        <v>20</v>
      </c>
      <c r="K17" s="45">
        <v>29.9</v>
      </c>
      <c r="L17" s="45">
        <v>22</v>
      </c>
      <c r="M17" s="45">
        <v>22</v>
      </c>
      <c r="N17" s="45">
        <v>22</v>
      </c>
      <c r="O17" s="45">
        <v>28</v>
      </c>
      <c r="P17" s="45">
        <v>28</v>
      </c>
      <c r="Q17" s="45">
        <v>28</v>
      </c>
      <c r="R17" s="45">
        <v>28</v>
      </c>
      <c r="S17" s="45">
        <v>28</v>
      </c>
      <c r="T17" s="45">
        <v>28</v>
      </c>
      <c r="U17" s="45">
        <v>28</v>
      </c>
      <c r="V17" s="45">
        <v>28</v>
      </c>
      <c r="W17" s="45">
        <v>28</v>
      </c>
      <c r="X17" s="45">
        <v>28</v>
      </c>
      <c r="Y17" s="45">
        <v>28</v>
      </c>
      <c r="Z17" s="45">
        <v>29</v>
      </c>
      <c r="AA17" s="45">
        <v>29</v>
      </c>
      <c r="AB17" s="45">
        <v>29</v>
      </c>
      <c r="AC17" s="45">
        <v>29</v>
      </c>
      <c r="AD17" s="45">
        <v>29</v>
      </c>
      <c r="AE17" s="45">
        <v>29</v>
      </c>
      <c r="AF17" s="45">
        <v>22</v>
      </c>
      <c r="AG17" s="49">
        <v>42</v>
      </c>
      <c r="AH17" s="47">
        <f t="shared" si="2"/>
        <v>29.9</v>
      </c>
      <c r="AI17" s="48">
        <f t="shared" si="3"/>
        <v>20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39</v>
      </c>
      <c r="C18" s="45">
        <v>39</v>
      </c>
      <c r="D18" s="45">
        <v>39</v>
      </c>
      <c r="E18" s="45">
        <v>39</v>
      </c>
      <c r="F18" s="45">
        <v>39</v>
      </c>
      <c r="G18" s="45">
        <v>39</v>
      </c>
      <c r="H18" s="45">
        <v>39</v>
      </c>
      <c r="I18" s="45">
        <v>39</v>
      </c>
      <c r="J18" s="45">
        <v>39</v>
      </c>
      <c r="K18" s="45">
        <v>39</v>
      </c>
      <c r="L18" s="45">
        <v>39</v>
      </c>
      <c r="M18" s="45">
        <v>39</v>
      </c>
      <c r="N18" s="45">
        <v>39</v>
      </c>
      <c r="O18" s="45">
        <v>39</v>
      </c>
      <c r="P18" s="45">
        <v>39</v>
      </c>
      <c r="Q18" s="45">
        <v>39</v>
      </c>
      <c r="R18" s="45">
        <v>39</v>
      </c>
      <c r="S18" s="45">
        <v>39</v>
      </c>
      <c r="T18" s="45">
        <v>39</v>
      </c>
      <c r="U18" s="45">
        <v>39</v>
      </c>
      <c r="V18" s="45">
        <v>39</v>
      </c>
      <c r="W18" s="45">
        <v>39</v>
      </c>
      <c r="X18" s="45">
        <v>39</v>
      </c>
      <c r="Y18" s="45">
        <v>39</v>
      </c>
      <c r="Z18" s="45">
        <v>39</v>
      </c>
      <c r="AA18" s="45">
        <v>39</v>
      </c>
      <c r="AB18" s="45">
        <v>39</v>
      </c>
      <c r="AC18" s="45">
        <v>39</v>
      </c>
      <c r="AD18" s="45">
        <v>39</v>
      </c>
      <c r="AE18" s="45">
        <v>39</v>
      </c>
      <c r="AF18" s="45">
        <v>39</v>
      </c>
      <c r="AG18" s="49">
        <v>38.46</v>
      </c>
      <c r="AH18" s="47">
        <f t="shared" si="2"/>
        <v>39</v>
      </c>
      <c r="AI18" s="48">
        <f t="shared" si="3"/>
        <v>39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36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5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5</v>
      </c>
      <c r="L20" s="45">
        <v>15</v>
      </c>
      <c r="M20" s="45">
        <v>15</v>
      </c>
      <c r="N20" s="45">
        <v>6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5.2</v>
      </c>
      <c r="AA20" s="45">
        <v>15</v>
      </c>
      <c r="AB20" s="45">
        <v>6</v>
      </c>
      <c r="AC20" s="45">
        <v>0</v>
      </c>
      <c r="AD20" s="45">
        <v>0</v>
      </c>
      <c r="AE20" s="45">
        <v>0</v>
      </c>
      <c r="AF20" s="45">
        <v>0</v>
      </c>
      <c r="AG20" s="51">
        <v>30</v>
      </c>
      <c r="AH20" s="47">
        <f t="shared" si="2"/>
        <v>15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20.9</v>
      </c>
      <c r="C21" s="45">
        <v>20.9</v>
      </c>
      <c r="D21" s="45">
        <v>20.9</v>
      </c>
      <c r="E21" s="45">
        <v>20.9</v>
      </c>
      <c r="F21" s="45">
        <v>20.9</v>
      </c>
      <c r="G21" s="45">
        <v>20.9</v>
      </c>
      <c r="H21" s="45">
        <v>20.9</v>
      </c>
      <c r="I21" s="45">
        <v>20.9</v>
      </c>
      <c r="J21" s="45">
        <v>20.9</v>
      </c>
      <c r="K21" s="45">
        <v>20.9</v>
      </c>
      <c r="L21" s="45">
        <v>20.9</v>
      </c>
      <c r="M21" s="45">
        <v>20.9</v>
      </c>
      <c r="N21" s="45">
        <v>20.9</v>
      </c>
      <c r="O21" s="45">
        <v>20.9</v>
      </c>
      <c r="P21" s="45">
        <v>20.9</v>
      </c>
      <c r="Q21" s="45">
        <v>20.9</v>
      </c>
      <c r="R21" s="45">
        <v>20.9</v>
      </c>
      <c r="S21" s="45">
        <v>20.9</v>
      </c>
      <c r="T21" s="45">
        <v>20.9</v>
      </c>
      <c r="U21" s="45">
        <v>20.9</v>
      </c>
      <c r="V21" s="45">
        <v>20.9</v>
      </c>
      <c r="W21" s="45">
        <v>20.9</v>
      </c>
      <c r="X21" s="45">
        <v>20.9</v>
      </c>
      <c r="Y21" s="45">
        <v>20.9</v>
      </c>
      <c r="Z21" s="45">
        <v>20.9</v>
      </c>
      <c r="AA21" s="45">
        <v>20.9</v>
      </c>
      <c r="AB21" s="45">
        <v>20.9</v>
      </c>
      <c r="AC21" s="45">
        <v>20.9</v>
      </c>
      <c r="AD21" s="45">
        <v>20.9</v>
      </c>
      <c r="AE21" s="45">
        <v>20.9</v>
      </c>
      <c r="AF21" s="45">
        <v>20.9</v>
      </c>
      <c r="AG21" s="49">
        <v>24.2</v>
      </c>
      <c r="AH21" s="47">
        <f t="shared" si="2"/>
        <v>20.9</v>
      </c>
      <c r="AI21" s="48">
        <f t="shared" si="3"/>
        <v>20.9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21.2</v>
      </c>
      <c r="C22" s="45">
        <v>21.2</v>
      </c>
      <c r="D22" s="45">
        <v>21.2</v>
      </c>
      <c r="E22" s="45">
        <v>21.2</v>
      </c>
      <c r="F22" s="45">
        <v>21.2</v>
      </c>
      <c r="G22" s="45">
        <v>21.2</v>
      </c>
      <c r="H22" s="45">
        <v>21.2</v>
      </c>
      <c r="I22" s="45">
        <v>21.2</v>
      </c>
      <c r="J22" s="45">
        <v>21.2</v>
      </c>
      <c r="K22" s="45">
        <v>21.2</v>
      </c>
      <c r="L22" s="45">
        <v>21.2</v>
      </c>
      <c r="M22" s="45">
        <v>21.2</v>
      </c>
      <c r="N22" s="45">
        <v>21.2</v>
      </c>
      <c r="O22" s="45">
        <v>21.2</v>
      </c>
      <c r="P22" s="45">
        <v>21.2</v>
      </c>
      <c r="Q22" s="45">
        <v>21.2</v>
      </c>
      <c r="R22" s="45">
        <v>21.2</v>
      </c>
      <c r="S22" s="45">
        <v>21.2</v>
      </c>
      <c r="T22" s="45">
        <v>21.2</v>
      </c>
      <c r="U22" s="45">
        <v>21.2</v>
      </c>
      <c r="V22" s="45">
        <v>21.2</v>
      </c>
      <c r="W22" s="45">
        <v>21.2</v>
      </c>
      <c r="X22" s="45">
        <v>21.2</v>
      </c>
      <c r="Y22" s="45">
        <v>21.2</v>
      </c>
      <c r="Z22" s="45">
        <v>21.2</v>
      </c>
      <c r="AA22" s="45">
        <v>21.2</v>
      </c>
      <c r="AB22" s="45">
        <v>21.1</v>
      </c>
      <c r="AC22" s="45">
        <v>21.1</v>
      </c>
      <c r="AD22" s="45">
        <v>21.1</v>
      </c>
      <c r="AE22" s="45">
        <v>21.1</v>
      </c>
      <c r="AF22" s="45">
        <v>21.1</v>
      </c>
      <c r="AG22" s="49">
        <v>28</v>
      </c>
      <c r="AH22" s="47">
        <f t="shared" si="2"/>
        <v>21.2</v>
      </c>
      <c r="AI22" s="48">
        <f t="shared" si="3"/>
        <v>21.1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5</v>
      </c>
      <c r="C23" s="45">
        <v>5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4.5</v>
      </c>
      <c r="L23" s="45">
        <v>13.5</v>
      </c>
      <c r="M23" s="45">
        <v>13.5</v>
      </c>
      <c r="N23" s="45">
        <f>27*0.2</f>
        <v>5.4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4.5</v>
      </c>
      <c r="AA23" s="45">
        <v>13.5</v>
      </c>
      <c r="AB23" s="45">
        <f>27*0.2</f>
        <v>5.4</v>
      </c>
      <c r="AC23" s="45">
        <v>0</v>
      </c>
      <c r="AD23" s="45">
        <v>0</v>
      </c>
      <c r="AE23" s="45">
        <v>0</v>
      </c>
      <c r="AF23" s="45">
        <v>0</v>
      </c>
      <c r="AG23" s="51">
        <v>30</v>
      </c>
      <c r="AH23" s="47">
        <f t="shared" si="2"/>
        <v>13.5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24.8</v>
      </c>
      <c r="C24" s="45">
        <v>24.8</v>
      </c>
      <c r="D24" s="45">
        <v>24.8</v>
      </c>
      <c r="E24" s="45">
        <v>24.8</v>
      </c>
      <c r="F24" s="45">
        <v>24.8</v>
      </c>
      <c r="G24" s="45">
        <v>24.8</v>
      </c>
      <c r="H24" s="45">
        <v>24.8</v>
      </c>
      <c r="I24" s="45">
        <v>24.8</v>
      </c>
      <c r="J24" s="45">
        <v>24.8</v>
      </c>
      <c r="K24" s="45">
        <v>24.8</v>
      </c>
      <c r="L24" s="45">
        <v>24.8</v>
      </c>
      <c r="M24" s="45">
        <v>24.8</v>
      </c>
      <c r="N24" s="45">
        <v>15.8</v>
      </c>
      <c r="O24" s="45">
        <v>20.3</v>
      </c>
      <c r="P24" s="45">
        <v>20.3</v>
      </c>
      <c r="Q24" s="45">
        <v>20.3</v>
      </c>
      <c r="R24" s="45">
        <v>20.3</v>
      </c>
      <c r="S24" s="45">
        <v>20.3</v>
      </c>
      <c r="T24" s="45">
        <v>23.5</v>
      </c>
      <c r="U24" s="45">
        <v>23.5</v>
      </c>
      <c r="V24" s="45">
        <v>23.5</v>
      </c>
      <c r="W24" s="45">
        <v>23.5</v>
      </c>
      <c r="X24" s="45">
        <v>23.5</v>
      </c>
      <c r="Y24" s="45">
        <v>23.5</v>
      </c>
      <c r="Z24" s="45">
        <v>24.6</v>
      </c>
      <c r="AA24" s="45">
        <v>24.6</v>
      </c>
      <c r="AB24" s="45">
        <v>24.5</v>
      </c>
      <c r="AC24" s="45">
        <v>24.5</v>
      </c>
      <c r="AD24" s="45">
        <v>24.5</v>
      </c>
      <c r="AE24" s="45">
        <v>24.5</v>
      </c>
      <c r="AF24" s="45">
        <v>20.5</v>
      </c>
      <c r="AG24" s="49">
        <v>25</v>
      </c>
      <c r="AH24" s="47">
        <f t="shared" si="2"/>
        <v>24.8</v>
      </c>
      <c r="AI24" s="48">
        <f t="shared" si="3"/>
        <v>15.8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24</v>
      </c>
      <c r="U26" s="45">
        <v>24</v>
      </c>
      <c r="V26" s="45">
        <v>24</v>
      </c>
      <c r="W26" s="45">
        <v>24</v>
      </c>
      <c r="X26" s="45">
        <v>24</v>
      </c>
      <c r="Y26" s="45">
        <v>24</v>
      </c>
      <c r="Z26" s="45">
        <v>24</v>
      </c>
      <c r="AA26" s="45">
        <v>24</v>
      </c>
      <c r="AB26" s="45">
        <v>24</v>
      </c>
      <c r="AC26" s="45">
        <v>24</v>
      </c>
      <c r="AD26" s="45">
        <v>24</v>
      </c>
      <c r="AE26" s="45">
        <v>24</v>
      </c>
      <c r="AF26" s="45">
        <v>24</v>
      </c>
      <c r="AG26" s="49">
        <v>25</v>
      </c>
      <c r="AH26" s="47">
        <f t="shared" si="2"/>
        <v>25</v>
      </c>
      <c r="AI26" s="48">
        <f t="shared" si="3"/>
        <v>24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5</v>
      </c>
      <c r="C27" s="45">
        <v>5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4.5</v>
      </c>
      <c r="L27" s="45">
        <v>12.5</v>
      </c>
      <c r="M27" s="45">
        <v>12.5</v>
      </c>
      <c r="N27" s="45">
        <f>5</f>
        <v>5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4.5</v>
      </c>
      <c r="AA27" s="45">
        <v>12.5</v>
      </c>
      <c r="AB27" s="45">
        <v>5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12.5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24.9</v>
      </c>
      <c r="C28" s="45">
        <v>24.9</v>
      </c>
      <c r="D28" s="45">
        <v>24.9</v>
      </c>
      <c r="E28" s="45">
        <v>24.9</v>
      </c>
      <c r="F28" s="45">
        <v>24.9</v>
      </c>
      <c r="G28" s="45">
        <v>24.9</v>
      </c>
      <c r="H28" s="45">
        <v>24.9</v>
      </c>
      <c r="I28" s="45">
        <v>24.9</v>
      </c>
      <c r="J28" s="45">
        <v>24.9</v>
      </c>
      <c r="K28" s="45">
        <v>24.9</v>
      </c>
      <c r="L28" s="45">
        <v>24.9</v>
      </c>
      <c r="M28" s="45">
        <v>24.9</v>
      </c>
      <c r="N28" s="45">
        <v>24.9</v>
      </c>
      <c r="O28" s="45">
        <v>24.9</v>
      </c>
      <c r="P28" s="45">
        <v>24.9</v>
      </c>
      <c r="Q28" s="45">
        <v>24.9</v>
      </c>
      <c r="R28" s="45">
        <v>24.9</v>
      </c>
      <c r="S28" s="45">
        <v>24.9</v>
      </c>
      <c r="T28" s="45">
        <v>24.9</v>
      </c>
      <c r="U28" s="45">
        <v>24.9</v>
      </c>
      <c r="V28" s="45">
        <v>24.9</v>
      </c>
      <c r="W28" s="45">
        <v>24.9</v>
      </c>
      <c r="X28" s="45">
        <v>24.9</v>
      </c>
      <c r="Y28" s="45">
        <v>24.9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24.9</v>
      </c>
      <c r="AF28" s="45">
        <v>24</v>
      </c>
      <c r="AG28" s="49">
        <v>23.5</v>
      </c>
      <c r="AH28" s="47">
        <f t="shared" si="2"/>
        <v>24.9</v>
      </c>
      <c r="AI28" s="48">
        <f t="shared" si="3"/>
        <v>24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26</v>
      </c>
      <c r="C32" s="45">
        <v>26</v>
      </c>
      <c r="D32" s="45">
        <v>26</v>
      </c>
      <c r="E32" s="45">
        <v>26</v>
      </c>
      <c r="F32" s="45">
        <v>26</v>
      </c>
      <c r="G32" s="45">
        <v>26</v>
      </c>
      <c r="H32" s="45">
        <v>26</v>
      </c>
      <c r="I32" s="45">
        <v>26</v>
      </c>
      <c r="J32" s="45">
        <v>26</v>
      </c>
      <c r="K32" s="45">
        <v>26</v>
      </c>
      <c r="L32" s="45">
        <v>26</v>
      </c>
      <c r="M32" s="45">
        <v>26</v>
      </c>
      <c r="N32" s="45">
        <v>26</v>
      </c>
      <c r="O32" s="45">
        <v>26</v>
      </c>
      <c r="P32" s="45">
        <v>26</v>
      </c>
      <c r="Q32" s="45">
        <v>26</v>
      </c>
      <c r="R32" s="45">
        <v>26</v>
      </c>
      <c r="S32" s="45">
        <v>26</v>
      </c>
      <c r="T32" s="45">
        <v>26</v>
      </c>
      <c r="U32" s="45">
        <v>26</v>
      </c>
      <c r="V32" s="45">
        <v>26</v>
      </c>
      <c r="W32" s="45">
        <v>26</v>
      </c>
      <c r="X32" s="45">
        <v>26</v>
      </c>
      <c r="Y32" s="45">
        <v>26</v>
      </c>
      <c r="Z32" s="45">
        <v>26</v>
      </c>
      <c r="AA32" s="45">
        <v>26</v>
      </c>
      <c r="AB32" s="45">
        <v>26</v>
      </c>
      <c r="AC32" s="45">
        <v>26</v>
      </c>
      <c r="AD32" s="45">
        <v>26</v>
      </c>
      <c r="AE32" s="45">
        <v>26</v>
      </c>
      <c r="AF32" s="45">
        <v>26</v>
      </c>
      <c r="AG32" s="49">
        <v>22</v>
      </c>
      <c r="AH32" s="47">
        <f t="shared" si="2"/>
        <v>26</v>
      </c>
      <c r="AI32" s="48">
        <f t="shared" si="3"/>
        <v>26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0</v>
      </c>
      <c r="AG33" s="49">
        <v>20</v>
      </c>
      <c r="AH33" s="47">
        <f t="shared" si="2"/>
        <v>5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4</v>
      </c>
      <c r="AA34" s="45">
        <v>4</v>
      </c>
      <c r="AB34" s="45">
        <v>4</v>
      </c>
      <c r="AC34" s="45">
        <v>4</v>
      </c>
      <c r="AD34" s="45">
        <v>0</v>
      </c>
      <c r="AE34" s="45">
        <v>0</v>
      </c>
      <c r="AF34" s="45">
        <v>0</v>
      </c>
      <c r="AG34" s="49">
        <v>18</v>
      </c>
      <c r="AH34" s="47">
        <f t="shared" si="2"/>
        <v>4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13</v>
      </c>
      <c r="C38" s="45">
        <v>13</v>
      </c>
      <c r="D38" s="45">
        <v>13</v>
      </c>
      <c r="E38" s="45">
        <v>13</v>
      </c>
      <c r="F38" s="45">
        <v>13</v>
      </c>
      <c r="G38" s="45">
        <v>13</v>
      </c>
      <c r="H38" s="45">
        <v>13</v>
      </c>
      <c r="I38" s="45">
        <v>13</v>
      </c>
      <c r="J38" s="45">
        <v>13</v>
      </c>
      <c r="K38" s="45">
        <v>13</v>
      </c>
      <c r="L38" s="45">
        <v>10</v>
      </c>
      <c r="M38" s="45">
        <v>10</v>
      </c>
      <c r="N38" s="45">
        <v>10</v>
      </c>
      <c r="O38" s="45">
        <v>10</v>
      </c>
      <c r="P38" s="45">
        <v>10</v>
      </c>
      <c r="Q38" s="45">
        <v>10</v>
      </c>
      <c r="R38" s="45">
        <v>10</v>
      </c>
      <c r="S38" s="45">
        <v>10</v>
      </c>
      <c r="T38" s="45">
        <v>10</v>
      </c>
      <c r="U38" s="45">
        <v>10</v>
      </c>
      <c r="V38" s="45">
        <v>10</v>
      </c>
      <c r="W38" s="45">
        <v>10</v>
      </c>
      <c r="X38" s="45">
        <v>10</v>
      </c>
      <c r="Y38" s="45">
        <v>10</v>
      </c>
      <c r="Z38" s="45">
        <v>9</v>
      </c>
      <c r="AA38" s="45">
        <v>9</v>
      </c>
      <c r="AB38" s="45">
        <v>9</v>
      </c>
      <c r="AC38" s="45">
        <v>9</v>
      </c>
      <c r="AD38" s="45">
        <v>9</v>
      </c>
      <c r="AE38" s="45">
        <v>9</v>
      </c>
      <c r="AF38" s="45">
        <v>9</v>
      </c>
      <c r="AG38" s="49">
        <v>13</v>
      </c>
      <c r="AH38" s="47">
        <f t="shared" si="2"/>
        <v>13</v>
      </c>
      <c r="AI38" s="48">
        <f t="shared" si="3"/>
        <v>9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2</v>
      </c>
      <c r="L39" s="45">
        <v>6</v>
      </c>
      <c r="M39" s="45">
        <v>6</v>
      </c>
      <c r="N39" s="45">
        <v>2.4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2</v>
      </c>
      <c r="AA39" s="45">
        <v>6</v>
      </c>
      <c r="AB39" s="45">
        <v>2.4</v>
      </c>
      <c r="AC39" s="45">
        <v>0</v>
      </c>
      <c r="AD39" s="45">
        <v>0</v>
      </c>
      <c r="AE39" s="45">
        <v>0</v>
      </c>
      <c r="AF39" s="45">
        <v>0</v>
      </c>
      <c r="AG39" s="49">
        <v>12</v>
      </c>
      <c r="AH39" s="47">
        <f t="shared" si="2"/>
        <v>6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8.5</v>
      </c>
      <c r="C40" s="45">
        <v>8.5</v>
      </c>
      <c r="D40" s="45">
        <v>8.5</v>
      </c>
      <c r="E40" s="45">
        <v>8.5</v>
      </c>
      <c r="F40" s="45">
        <v>8.5</v>
      </c>
      <c r="G40" s="45">
        <v>8.5</v>
      </c>
      <c r="H40" s="45">
        <v>8.5</v>
      </c>
      <c r="I40" s="45">
        <v>8.5</v>
      </c>
      <c r="J40" s="45">
        <v>8.5</v>
      </c>
      <c r="K40" s="45">
        <v>8.5</v>
      </c>
      <c r="L40" s="45">
        <v>8.5</v>
      </c>
      <c r="M40" s="45">
        <v>8.5</v>
      </c>
      <c r="N40" s="45">
        <v>8.5</v>
      </c>
      <c r="O40" s="45">
        <v>8.5</v>
      </c>
      <c r="P40" s="45">
        <v>8.5</v>
      </c>
      <c r="Q40" s="45">
        <v>8.5</v>
      </c>
      <c r="R40" s="45">
        <v>8.5</v>
      </c>
      <c r="S40" s="45">
        <v>8.5</v>
      </c>
      <c r="T40" s="45">
        <v>8.5</v>
      </c>
      <c r="U40" s="45">
        <v>8.5</v>
      </c>
      <c r="V40" s="45">
        <v>8.5</v>
      </c>
      <c r="W40" s="45">
        <v>8.5</v>
      </c>
      <c r="X40" s="45">
        <v>8.5</v>
      </c>
      <c r="Y40" s="45">
        <v>8.5</v>
      </c>
      <c r="Z40" s="45">
        <v>8.5</v>
      </c>
      <c r="AA40" s="45">
        <v>7.8</v>
      </c>
      <c r="AB40" s="45">
        <v>7.8</v>
      </c>
      <c r="AC40" s="45">
        <v>7.8</v>
      </c>
      <c r="AD40" s="45">
        <v>7.8</v>
      </c>
      <c r="AE40" s="45">
        <v>7.8</v>
      </c>
      <c r="AF40" s="45">
        <v>7.8</v>
      </c>
      <c r="AG40" s="49">
        <v>12</v>
      </c>
      <c r="AH40" s="47">
        <f t="shared" si="2"/>
        <v>8.5</v>
      </c>
      <c r="AI40" s="48">
        <f t="shared" si="3"/>
        <v>7.8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3</v>
      </c>
      <c r="C41" s="45">
        <v>3</v>
      </c>
      <c r="D41" s="45">
        <v>3</v>
      </c>
      <c r="E41" s="45">
        <v>3</v>
      </c>
      <c r="F41" s="45">
        <v>3</v>
      </c>
      <c r="G41" s="45">
        <v>3</v>
      </c>
      <c r="H41" s="45">
        <v>3</v>
      </c>
      <c r="I41" s="45">
        <v>3</v>
      </c>
      <c r="J41" s="45">
        <v>3</v>
      </c>
      <c r="K41" s="45">
        <v>6</v>
      </c>
      <c r="L41" s="45">
        <v>6</v>
      </c>
      <c r="M41" s="45">
        <v>6</v>
      </c>
      <c r="N41" s="45">
        <v>6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12</v>
      </c>
      <c r="AA41" s="45">
        <v>12</v>
      </c>
      <c r="AB41" s="45">
        <v>12</v>
      </c>
      <c r="AC41" s="45">
        <v>12</v>
      </c>
      <c r="AD41" s="45">
        <v>0</v>
      </c>
      <c r="AE41" s="45">
        <v>0</v>
      </c>
      <c r="AF41" s="45">
        <v>0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0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52">
        <v>22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0</v>
      </c>
      <c r="C43" s="45">
        <v>0</v>
      </c>
      <c r="D43" s="45">
        <v>0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v>0</v>
      </c>
      <c r="Q43" s="45">
        <v>0</v>
      </c>
      <c r="R43" s="45">
        <v>0</v>
      </c>
      <c r="S43" s="45">
        <v>11.88</v>
      </c>
      <c r="T43" s="45">
        <v>11.88</v>
      </c>
      <c r="U43" s="45">
        <v>11.88</v>
      </c>
      <c r="V43" s="45">
        <v>11.88</v>
      </c>
      <c r="W43" s="45">
        <v>11.88</v>
      </c>
      <c r="X43" s="45">
        <v>11.88</v>
      </c>
      <c r="Y43" s="45">
        <v>11.88</v>
      </c>
      <c r="Z43" s="45">
        <v>11.88</v>
      </c>
      <c r="AA43" s="45">
        <v>11.88</v>
      </c>
      <c r="AB43" s="45">
        <v>11.88</v>
      </c>
      <c r="AC43" s="45">
        <v>11.88</v>
      </c>
      <c r="AD43" s="45">
        <v>11.88</v>
      </c>
      <c r="AE43" s="45">
        <v>11.88</v>
      </c>
      <c r="AF43" s="45">
        <v>11.88</v>
      </c>
      <c r="AG43" s="51">
        <v>11.88</v>
      </c>
      <c r="AH43" s="47">
        <f t="shared" si="2"/>
        <v>11.88</v>
      </c>
      <c r="AI43" s="48">
        <f t="shared" si="3"/>
        <v>0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9</v>
      </c>
      <c r="T46" s="45">
        <v>9</v>
      </c>
      <c r="U46" s="45">
        <v>9</v>
      </c>
      <c r="V46" s="45">
        <v>9</v>
      </c>
      <c r="W46" s="45">
        <v>9</v>
      </c>
      <c r="X46" s="45">
        <v>9</v>
      </c>
      <c r="Y46" s="45">
        <v>9</v>
      </c>
      <c r="Z46" s="45">
        <v>9</v>
      </c>
      <c r="AA46" s="45">
        <v>9</v>
      </c>
      <c r="AB46" s="45">
        <v>9</v>
      </c>
      <c r="AC46" s="45">
        <v>9</v>
      </c>
      <c r="AD46" s="45">
        <v>9</v>
      </c>
      <c r="AE46" s="45">
        <v>9</v>
      </c>
      <c r="AF46" s="45">
        <v>9</v>
      </c>
      <c r="AG46" s="54">
        <v>10</v>
      </c>
      <c r="AH46" s="47">
        <f t="shared" si="2"/>
        <v>9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370</v>
      </c>
      <c r="C48" s="56">
        <v>370</v>
      </c>
      <c r="D48" s="56">
        <v>370</v>
      </c>
      <c r="E48" s="56">
        <v>370</v>
      </c>
      <c r="F48" s="56">
        <v>370</v>
      </c>
      <c r="G48" s="56">
        <v>370</v>
      </c>
      <c r="H48" s="56">
        <v>370</v>
      </c>
      <c r="I48" s="56">
        <v>370</v>
      </c>
      <c r="J48" s="56">
        <v>370</v>
      </c>
      <c r="K48" s="56">
        <v>370</v>
      </c>
      <c r="L48" s="56">
        <v>370</v>
      </c>
      <c r="M48" s="56">
        <v>370</v>
      </c>
      <c r="N48" s="56">
        <v>370</v>
      </c>
      <c r="O48" s="56">
        <v>370</v>
      </c>
      <c r="P48" s="56">
        <v>370</v>
      </c>
      <c r="Q48" s="56">
        <v>370</v>
      </c>
      <c r="R48" s="56">
        <v>370</v>
      </c>
      <c r="S48" s="56">
        <v>370</v>
      </c>
      <c r="T48" s="56">
        <v>370</v>
      </c>
      <c r="U48" s="56">
        <v>370</v>
      </c>
      <c r="V48" s="56">
        <v>370</v>
      </c>
      <c r="W48" s="56">
        <v>370</v>
      </c>
      <c r="X48" s="56">
        <v>370</v>
      </c>
      <c r="Y48" s="56">
        <v>370</v>
      </c>
      <c r="Z48" s="56">
        <v>370</v>
      </c>
      <c r="AA48" s="56">
        <v>370</v>
      </c>
      <c r="AB48" s="56">
        <v>370</v>
      </c>
      <c r="AC48" s="56">
        <v>370</v>
      </c>
      <c r="AD48" s="56">
        <v>370</v>
      </c>
      <c r="AE48" s="56">
        <v>370</v>
      </c>
      <c r="AF48" s="56">
        <v>370</v>
      </c>
      <c r="AG48" s="54">
        <v>85</v>
      </c>
      <c r="AH48" s="47">
        <f t="shared" si="2"/>
        <v>370</v>
      </c>
      <c r="AI48" s="48">
        <f t="shared" si="3"/>
        <v>370</v>
      </c>
      <c r="AK48" s="50"/>
    </row>
    <row r="49" spans="1:41" ht="15.75" thickBot="1" x14ac:dyDescent="0.3">
      <c r="A49" s="57" t="s">
        <v>57</v>
      </c>
      <c r="B49" s="56">
        <v>112.5</v>
      </c>
      <c r="C49" s="56">
        <v>112.5</v>
      </c>
      <c r="D49" s="56">
        <v>112.5</v>
      </c>
      <c r="E49" s="56">
        <v>112.5</v>
      </c>
      <c r="F49" s="56">
        <v>112.5</v>
      </c>
      <c r="G49" s="56">
        <v>112.5</v>
      </c>
      <c r="H49" s="56">
        <v>112.5</v>
      </c>
      <c r="I49" s="56">
        <v>112.5</v>
      </c>
      <c r="J49" s="56">
        <v>112.5</v>
      </c>
      <c r="K49" s="56">
        <v>112.5</v>
      </c>
      <c r="L49" s="56">
        <v>112.5</v>
      </c>
      <c r="M49" s="56">
        <v>112.5</v>
      </c>
      <c r="N49" s="56">
        <v>112.5</v>
      </c>
      <c r="O49" s="56">
        <v>112.5</v>
      </c>
      <c r="P49" s="56">
        <v>112.5</v>
      </c>
      <c r="Q49" s="56">
        <v>112.5</v>
      </c>
      <c r="R49" s="56">
        <v>112.5</v>
      </c>
      <c r="S49" s="58">
        <v>99.8</v>
      </c>
      <c r="T49" s="58">
        <v>99.8</v>
      </c>
      <c r="U49" s="58">
        <v>99.8</v>
      </c>
      <c r="V49" s="58">
        <v>99.8</v>
      </c>
      <c r="W49" s="58">
        <v>99.4</v>
      </c>
      <c r="X49" s="56">
        <v>100</v>
      </c>
      <c r="Y49" s="56">
        <v>98</v>
      </c>
      <c r="Z49" s="56">
        <v>97.5</v>
      </c>
      <c r="AA49" s="56">
        <v>96</v>
      </c>
      <c r="AB49" s="56">
        <v>96</v>
      </c>
      <c r="AC49" s="56">
        <v>96</v>
      </c>
      <c r="AD49" s="56">
        <v>96</v>
      </c>
      <c r="AE49" s="56">
        <v>96</v>
      </c>
      <c r="AF49" s="56">
        <v>96</v>
      </c>
      <c r="AG49" s="54">
        <v>240</v>
      </c>
      <c r="AH49" s="47">
        <f t="shared" si="2"/>
        <v>112.5</v>
      </c>
      <c r="AI49" s="48">
        <f t="shared" si="3"/>
        <v>96</v>
      </c>
      <c r="AK49" s="50"/>
    </row>
    <row r="50" spans="1:41" ht="15.75" thickBot="1" x14ac:dyDescent="0.3">
      <c r="A50" s="59" t="s">
        <v>58</v>
      </c>
      <c r="B50" s="60">
        <f t="shared" ref="B50:AD50" si="4">SUM(B11:B48)</f>
        <v>1026.5</v>
      </c>
      <c r="C50" s="60">
        <f t="shared" si="4"/>
        <v>1026.5</v>
      </c>
      <c r="D50" s="60">
        <f t="shared" si="4"/>
        <v>1008.5</v>
      </c>
      <c r="E50" s="60">
        <f t="shared" ref="E50:F50" si="5">SUM(E11:E48)</f>
        <v>1003.5</v>
      </c>
      <c r="F50" s="60">
        <f t="shared" si="5"/>
        <v>1003.5</v>
      </c>
      <c r="G50" s="60">
        <f t="shared" ref="G50:H50" si="6">SUM(G11:G48)</f>
        <v>1003.5</v>
      </c>
      <c r="H50" s="60">
        <f t="shared" si="6"/>
        <v>1003.5</v>
      </c>
      <c r="I50" s="60">
        <f t="shared" ref="I50" si="7">SUM(I11:I48)</f>
        <v>1003.5</v>
      </c>
      <c r="J50" s="60">
        <f t="shared" si="4"/>
        <v>979.6</v>
      </c>
      <c r="K50" s="60">
        <f t="shared" si="4"/>
        <v>998.5</v>
      </c>
      <c r="L50" s="60">
        <f t="shared" si="4"/>
        <v>1023.6</v>
      </c>
      <c r="M50" s="60">
        <f t="shared" ref="M50:N50" si="8">SUM(M11:M48)</f>
        <v>1033.5999999999999</v>
      </c>
      <c r="N50" s="60">
        <f t="shared" si="8"/>
        <v>1004.6999999999999</v>
      </c>
      <c r="O50" s="60">
        <f t="shared" ref="O50:P50" si="9">SUM(O11:O48)</f>
        <v>999.4</v>
      </c>
      <c r="P50" s="60">
        <f t="shared" si="9"/>
        <v>986.7</v>
      </c>
      <c r="Q50" s="60">
        <f t="shared" ref="Q50:R50" si="10">SUM(Q11:Q48)</f>
        <v>986.7</v>
      </c>
      <c r="R50" s="60">
        <f t="shared" si="10"/>
        <v>986.7</v>
      </c>
      <c r="S50" s="60">
        <f t="shared" si="4"/>
        <v>1007.58</v>
      </c>
      <c r="T50" s="60">
        <f t="shared" si="4"/>
        <v>1009.78</v>
      </c>
      <c r="U50" s="60">
        <f t="shared" si="4"/>
        <v>1009.78</v>
      </c>
      <c r="V50" s="60">
        <f t="shared" si="4"/>
        <v>1009.78</v>
      </c>
      <c r="W50" s="60">
        <f t="shared" si="4"/>
        <v>1009.78</v>
      </c>
      <c r="X50" s="60">
        <f t="shared" si="4"/>
        <v>1009.78</v>
      </c>
      <c r="Y50" s="60">
        <f t="shared" si="4"/>
        <v>1009.78</v>
      </c>
      <c r="Z50" s="60">
        <f t="shared" si="4"/>
        <v>1057.08</v>
      </c>
      <c r="AA50" s="60">
        <f t="shared" si="4"/>
        <v>1087.1799999999998</v>
      </c>
      <c r="AB50" s="60">
        <f t="shared" ref="AB50:AC50" si="11">SUM(AB11:AB48)</f>
        <v>1059.8799999999999</v>
      </c>
      <c r="AC50" s="60">
        <f t="shared" si="11"/>
        <v>1040.98</v>
      </c>
      <c r="AD50" s="60">
        <f t="shared" si="4"/>
        <v>1024.78</v>
      </c>
      <c r="AE50" s="60">
        <f t="shared" ref="AE50:AF50" si="12">SUM(AE11:AE48)</f>
        <v>1024.78</v>
      </c>
      <c r="AF50" s="60">
        <f t="shared" si="12"/>
        <v>992.78</v>
      </c>
      <c r="AG50" s="61">
        <f>SUM(AG13:AG48)</f>
        <v>922.14</v>
      </c>
      <c r="AH50" s="47">
        <f t="shared" si="2"/>
        <v>1087.1799999999998</v>
      </c>
      <c r="AI50" s="48">
        <f t="shared" si="3"/>
        <v>979.6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380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430</v>
      </c>
      <c r="W51" s="45">
        <v>430</v>
      </c>
      <c r="X51" s="45">
        <v>430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380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22.4</v>
      </c>
      <c r="N53" s="66">
        <v>22.4</v>
      </c>
      <c r="O53" s="66">
        <v>22.4</v>
      </c>
      <c r="P53" s="66">
        <v>22.4</v>
      </c>
      <c r="Q53" s="66">
        <v>22.4</v>
      </c>
      <c r="R53" s="66">
        <v>22.4</v>
      </c>
      <c r="S53" s="66">
        <v>22.4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22.4</v>
      </c>
      <c r="AK53" s="50"/>
    </row>
    <row r="54" spans="1:41" ht="15.75" thickBot="1" x14ac:dyDescent="0.3">
      <c r="A54" s="68" t="s">
        <v>62</v>
      </c>
      <c r="B54" s="60">
        <f t="shared" ref="B54:AG54" si="13">SUM(B51:B53)</f>
        <v>533.4</v>
      </c>
      <c r="C54" s="60">
        <f t="shared" si="13"/>
        <v>533.4</v>
      </c>
      <c r="D54" s="60">
        <f t="shared" si="13"/>
        <v>533.4</v>
      </c>
      <c r="E54" s="60">
        <f t="shared" ref="E54:F54" si="14">SUM(E51:E53)</f>
        <v>533.4</v>
      </c>
      <c r="F54" s="60">
        <f t="shared" si="14"/>
        <v>533.4</v>
      </c>
      <c r="G54" s="60">
        <f t="shared" ref="G54:H54" si="15">SUM(G51:G53)</f>
        <v>533.4</v>
      </c>
      <c r="H54" s="60">
        <f t="shared" si="15"/>
        <v>533.4</v>
      </c>
      <c r="I54" s="60">
        <f t="shared" ref="I54" si="16">SUM(I51:I53)</f>
        <v>533.4</v>
      </c>
      <c r="J54" s="60">
        <f t="shared" si="13"/>
        <v>533.4</v>
      </c>
      <c r="K54" s="60">
        <f t="shared" si="13"/>
        <v>533.4</v>
      </c>
      <c r="L54" s="60">
        <f t="shared" si="13"/>
        <v>533.4</v>
      </c>
      <c r="M54" s="60">
        <f t="shared" ref="M54:N54" si="17">SUM(M51:M53)</f>
        <v>533.4</v>
      </c>
      <c r="N54" s="60">
        <f t="shared" si="17"/>
        <v>457.4</v>
      </c>
      <c r="O54" s="60">
        <f t="shared" ref="O54:P54" si="18">SUM(O51:O53)</f>
        <v>533.4</v>
      </c>
      <c r="P54" s="60">
        <f t="shared" si="18"/>
        <v>533.4</v>
      </c>
      <c r="Q54" s="60">
        <f t="shared" ref="Q54:R54" si="19">SUM(Q51:Q53)</f>
        <v>533.4</v>
      </c>
      <c r="R54" s="60">
        <f t="shared" si="19"/>
        <v>533.4</v>
      </c>
      <c r="S54" s="60">
        <f t="shared" si="13"/>
        <v>533.4</v>
      </c>
      <c r="T54" s="60">
        <f t="shared" si="13"/>
        <v>533.4</v>
      </c>
      <c r="U54" s="60">
        <f t="shared" si="13"/>
        <v>533.4</v>
      </c>
      <c r="V54" s="60">
        <f t="shared" si="13"/>
        <v>507.4</v>
      </c>
      <c r="W54" s="60">
        <f t="shared" si="13"/>
        <v>507.4</v>
      </c>
      <c r="X54" s="60">
        <f t="shared" si="13"/>
        <v>507.4</v>
      </c>
      <c r="Y54" s="60">
        <f t="shared" si="13"/>
        <v>533.4</v>
      </c>
      <c r="Z54" s="60">
        <f t="shared" si="13"/>
        <v>533.4</v>
      </c>
      <c r="AA54" s="60">
        <f t="shared" si="13"/>
        <v>533.4</v>
      </c>
      <c r="AB54" s="60">
        <f t="shared" ref="AB54:AC54" si="20">SUM(AB51:AB53)</f>
        <v>533.4</v>
      </c>
      <c r="AC54" s="60">
        <f t="shared" si="20"/>
        <v>533.4</v>
      </c>
      <c r="AD54" s="60">
        <f t="shared" si="13"/>
        <v>533.4</v>
      </c>
      <c r="AE54" s="60">
        <f t="shared" ref="AE54" si="21">SUM(AE51:AE53)</f>
        <v>533.4</v>
      </c>
      <c r="AF54" s="60">
        <f t="shared" si="13"/>
        <v>533.5</v>
      </c>
      <c r="AG54" s="61">
        <f t="shared" si="13"/>
        <v>538.1</v>
      </c>
      <c r="AH54" s="47">
        <f t="shared" si="2"/>
        <v>533.5</v>
      </c>
      <c r="AI54" s="48">
        <f t="shared" si="3"/>
        <v>457.4</v>
      </c>
      <c r="AK54" s="50"/>
    </row>
    <row r="55" spans="1:41" x14ac:dyDescent="0.25">
      <c r="A55" s="44" t="s">
        <v>63</v>
      </c>
      <c r="B55" s="45">
        <v>131</v>
      </c>
      <c r="C55" s="45">
        <v>131</v>
      </c>
      <c r="D55" s="45">
        <v>131</v>
      </c>
      <c r="E55" s="45">
        <v>129.69999999999999</v>
      </c>
      <c r="F55" s="45">
        <v>133</v>
      </c>
      <c r="G55" s="45">
        <v>132.5</v>
      </c>
      <c r="H55" s="45">
        <v>133.5</v>
      </c>
      <c r="I55" s="45">
        <v>133.5</v>
      </c>
      <c r="J55" s="45">
        <v>110</v>
      </c>
      <c r="K55" s="45">
        <v>101</v>
      </c>
      <c r="L55" s="45">
        <v>91</v>
      </c>
      <c r="M55" s="45">
        <v>113.3</v>
      </c>
      <c r="N55" s="45">
        <v>113.3</v>
      </c>
      <c r="O55" s="45">
        <v>132</v>
      </c>
      <c r="P55" s="45">
        <v>131.69999999999999</v>
      </c>
      <c r="Q55" s="45">
        <v>125.6</v>
      </c>
      <c r="R55" s="45">
        <v>121.3</v>
      </c>
      <c r="S55" s="45">
        <v>121.3</v>
      </c>
      <c r="T55" s="45">
        <v>121.4</v>
      </c>
      <c r="U55" s="45">
        <v>121.4</v>
      </c>
      <c r="V55" s="45">
        <v>121.4</v>
      </c>
      <c r="W55" s="45">
        <v>121.4</v>
      </c>
      <c r="X55" s="45">
        <v>133</v>
      </c>
      <c r="Y55" s="45">
        <v>133</v>
      </c>
      <c r="Z55" s="45">
        <v>133</v>
      </c>
      <c r="AA55" s="45">
        <v>133</v>
      </c>
      <c r="AB55" s="45">
        <v>132.5</v>
      </c>
      <c r="AC55" s="45">
        <v>132.5</v>
      </c>
      <c r="AD55" s="45">
        <v>132.1</v>
      </c>
      <c r="AE55" s="45">
        <v>132.1</v>
      </c>
      <c r="AF55" s="45">
        <v>121.3</v>
      </c>
      <c r="AG55" s="51">
        <v>144</v>
      </c>
      <c r="AH55" s="47">
        <f t="shared" si="2"/>
        <v>133.5</v>
      </c>
      <c r="AI55" s="48">
        <f t="shared" si="3"/>
        <v>91</v>
      </c>
      <c r="AK55" s="50"/>
    </row>
    <row r="56" spans="1:41" x14ac:dyDescent="0.25">
      <c r="A56" s="53" t="s">
        <v>64</v>
      </c>
      <c r="B56" s="64">
        <v>71.7</v>
      </c>
      <c r="C56" s="64">
        <v>71.7</v>
      </c>
      <c r="D56" s="64">
        <v>71.7</v>
      </c>
      <c r="E56" s="64">
        <v>71.7</v>
      </c>
      <c r="F56" s="64">
        <v>69.599999999999994</v>
      </c>
      <c r="G56" s="64">
        <v>69.8</v>
      </c>
      <c r="H56" s="64">
        <v>70.2</v>
      </c>
      <c r="I56" s="64">
        <v>70.2</v>
      </c>
      <c r="J56" s="64">
        <v>70.2</v>
      </c>
      <c r="K56" s="64">
        <v>70.2</v>
      </c>
      <c r="L56" s="64">
        <v>70.2</v>
      </c>
      <c r="M56" s="64">
        <v>70.2</v>
      </c>
      <c r="N56" s="64">
        <v>70.2</v>
      </c>
      <c r="O56" s="64">
        <v>70.2</v>
      </c>
      <c r="P56" s="64">
        <v>70.8</v>
      </c>
      <c r="Q56" s="64">
        <v>65</v>
      </c>
      <c r="R56" s="64">
        <v>51</v>
      </c>
      <c r="S56" s="64">
        <v>60</v>
      </c>
      <c r="T56" s="45">
        <v>59.6</v>
      </c>
      <c r="U56" s="45">
        <v>70.8</v>
      </c>
      <c r="V56" s="45">
        <v>60</v>
      </c>
      <c r="W56" s="45">
        <v>60</v>
      </c>
      <c r="X56" s="45">
        <v>60</v>
      </c>
      <c r="Y56" s="45">
        <v>60</v>
      </c>
      <c r="Z56" s="45">
        <v>69.8</v>
      </c>
      <c r="AA56" s="45">
        <v>69.8</v>
      </c>
      <c r="AB56" s="45">
        <v>70.099999999999994</v>
      </c>
      <c r="AC56" s="45">
        <v>70.099999999999994</v>
      </c>
      <c r="AD56" s="64">
        <v>69.8</v>
      </c>
      <c r="AE56" s="64">
        <v>69.8</v>
      </c>
      <c r="AF56" s="45">
        <v>67.900000000000006</v>
      </c>
      <c r="AG56" s="54">
        <v>70</v>
      </c>
      <c r="AH56" s="47">
        <f t="shared" si="2"/>
        <v>71.7</v>
      </c>
      <c r="AI56" s="48">
        <f t="shared" si="3"/>
        <v>51</v>
      </c>
      <c r="AK56" s="50"/>
    </row>
    <row r="57" spans="1:41" x14ac:dyDescent="0.25">
      <c r="A57" s="53" t="s">
        <v>65</v>
      </c>
      <c r="B57" s="64">
        <v>65</v>
      </c>
      <c r="C57" s="64">
        <v>65</v>
      </c>
      <c r="D57" s="64">
        <v>65</v>
      </c>
      <c r="E57" s="64">
        <v>63.9</v>
      </c>
      <c r="F57" s="64">
        <v>63.8</v>
      </c>
      <c r="G57" s="64">
        <v>64.2</v>
      </c>
      <c r="H57" s="64">
        <v>64.400000000000006</v>
      </c>
      <c r="I57" s="64">
        <v>64.400000000000006</v>
      </c>
      <c r="J57" s="64">
        <v>64.400000000000006</v>
      </c>
      <c r="K57" s="64">
        <v>64.400000000000006</v>
      </c>
      <c r="L57" s="64">
        <v>64.400000000000006</v>
      </c>
      <c r="M57" s="64">
        <v>64.400000000000006</v>
      </c>
      <c r="N57" s="64">
        <v>64.400000000000006</v>
      </c>
      <c r="O57" s="64">
        <v>64.400000000000006</v>
      </c>
      <c r="P57" s="64">
        <v>63.8</v>
      </c>
      <c r="Q57" s="64">
        <v>51</v>
      </c>
      <c r="R57" s="64">
        <v>41.3</v>
      </c>
      <c r="S57" s="64">
        <v>60.6</v>
      </c>
      <c r="T57" s="45">
        <v>63.8</v>
      </c>
      <c r="U57" s="45">
        <v>54</v>
      </c>
      <c r="V57" s="45">
        <v>54</v>
      </c>
      <c r="W57" s="45">
        <v>54</v>
      </c>
      <c r="X57" s="45">
        <v>52</v>
      </c>
      <c r="Y57" s="45">
        <v>52</v>
      </c>
      <c r="Z57" s="45">
        <v>63.8</v>
      </c>
      <c r="AA57" s="45">
        <v>63.8</v>
      </c>
      <c r="AB57" s="45">
        <v>63.8</v>
      </c>
      <c r="AC57" s="45">
        <v>63.8</v>
      </c>
      <c r="AD57" s="64">
        <v>64.400000000000006</v>
      </c>
      <c r="AE57" s="64">
        <v>64.400000000000006</v>
      </c>
      <c r="AF57" s="45">
        <v>64.3</v>
      </c>
      <c r="AG57" s="54">
        <v>69</v>
      </c>
      <c r="AH57" s="47">
        <f t="shared" si="2"/>
        <v>65</v>
      </c>
      <c r="AI57" s="48">
        <f t="shared" si="3"/>
        <v>41.3</v>
      </c>
      <c r="AK57" s="50"/>
    </row>
    <row r="58" spans="1:41" x14ac:dyDescent="0.25">
      <c r="A58" s="53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61</v>
      </c>
      <c r="O58" s="64">
        <v>61</v>
      </c>
      <c r="P58" s="64">
        <v>51.6</v>
      </c>
      <c r="Q58" s="64">
        <v>51.6</v>
      </c>
      <c r="R58" s="64">
        <v>51.6</v>
      </c>
      <c r="S58" s="64">
        <v>51.6</v>
      </c>
      <c r="T58" s="45">
        <v>50.9</v>
      </c>
      <c r="U58" s="45">
        <v>50.9</v>
      </c>
      <c r="V58" s="45">
        <v>50.9</v>
      </c>
      <c r="W58" s="45">
        <v>50.9</v>
      </c>
      <c r="X58" s="45">
        <v>50.9</v>
      </c>
      <c r="Y58" s="45">
        <v>50.9</v>
      </c>
      <c r="Z58" s="45">
        <v>61.4</v>
      </c>
      <c r="AA58" s="45">
        <v>61.4</v>
      </c>
      <c r="AB58" s="45">
        <v>61.4</v>
      </c>
      <c r="AC58" s="45">
        <v>61.4</v>
      </c>
      <c r="AD58" s="64">
        <v>61.4</v>
      </c>
      <c r="AE58" s="64">
        <v>0</v>
      </c>
      <c r="AF58" s="45">
        <v>41.5</v>
      </c>
      <c r="AG58" s="54">
        <v>60</v>
      </c>
      <c r="AH58" s="47">
        <f t="shared" si="2"/>
        <v>61.4</v>
      </c>
      <c r="AI58" s="48">
        <f t="shared" si="3"/>
        <v>0</v>
      </c>
      <c r="AK58" s="50"/>
    </row>
    <row r="59" spans="1:41" x14ac:dyDescent="0.25">
      <c r="A59" s="53" t="s">
        <v>67</v>
      </c>
      <c r="B59" s="64">
        <v>30</v>
      </c>
      <c r="C59" s="64">
        <v>30</v>
      </c>
      <c r="D59" s="64">
        <v>30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64">
        <v>30</v>
      </c>
      <c r="L59" s="64">
        <v>30</v>
      </c>
      <c r="M59" s="64">
        <v>30</v>
      </c>
      <c r="N59" s="64">
        <v>30</v>
      </c>
      <c r="O59" s="64">
        <v>30</v>
      </c>
      <c r="P59" s="64">
        <v>30</v>
      </c>
      <c r="Q59" s="64">
        <v>30</v>
      </c>
      <c r="R59" s="64">
        <v>30</v>
      </c>
      <c r="S59" s="64">
        <v>30</v>
      </c>
      <c r="T59" s="45">
        <v>30</v>
      </c>
      <c r="U59" s="45">
        <v>0</v>
      </c>
      <c r="V59" s="45">
        <v>15</v>
      </c>
      <c r="W59" s="45">
        <v>15</v>
      </c>
      <c r="X59" s="45">
        <v>15</v>
      </c>
      <c r="Y59" s="45">
        <v>15</v>
      </c>
      <c r="Z59" s="45">
        <v>24</v>
      </c>
      <c r="AA59" s="45">
        <v>30</v>
      </c>
      <c r="AB59" s="45">
        <v>30</v>
      </c>
      <c r="AC59" s="45">
        <v>30</v>
      </c>
      <c r="AD59" s="64">
        <v>30</v>
      </c>
      <c r="AE59" s="64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5.6</v>
      </c>
      <c r="T60" s="45">
        <v>4.3</v>
      </c>
      <c r="U60" s="45">
        <v>1.2</v>
      </c>
      <c r="V60" s="45">
        <v>0.6</v>
      </c>
      <c r="W60" s="45">
        <v>1</v>
      </c>
      <c r="X60" s="45">
        <v>0.6</v>
      </c>
      <c r="Y60" s="45">
        <v>0.6</v>
      </c>
      <c r="Z60" s="45">
        <v>0</v>
      </c>
      <c r="AA60" s="45">
        <v>0</v>
      </c>
      <c r="AB60" s="45">
        <v>0</v>
      </c>
      <c r="AC60" s="45">
        <v>0</v>
      </c>
      <c r="AD60" s="64">
        <v>0</v>
      </c>
      <c r="AE60" s="64">
        <v>0</v>
      </c>
      <c r="AF60" s="45">
        <v>0</v>
      </c>
      <c r="AG60" s="54">
        <v>25</v>
      </c>
      <c r="AH60" s="47">
        <f t="shared" si="2"/>
        <v>5.6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2</v>
      </c>
      <c r="W62" s="64">
        <v>2</v>
      </c>
      <c r="X62" s="64">
        <v>2</v>
      </c>
      <c r="Y62" s="64">
        <v>2</v>
      </c>
      <c r="Z62" s="64">
        <v>2</v>
      </c>
      <c r="AA62" s="64">
        <v>2</v>
      </c>
      <c r="AB62" s="64">
        <v>2</v>
      </c>
      <c r="AC62" s="64">
        <v>2</v>
      </c>
      <c r="AD62" s="64">
        <v>2</v>
      </c>
      <c r="AE62" s="64">
        <v>2</v>
      </c>
      <c r="AF62" s="64">
        <v>2</v>
      </c>
      <c r="AG62" s="54">
        <v>15</v>
      </c>
      <c r="AH62" s="47">
        <f t="shared" si="2"/>
        <v>2</v>
      </c>
      <c r="AI62" s="48">
        <f t="shared" si="3"/>
        <v>0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10</v>
      </c>
      <c r="C63" s="64">
        <v>10</v>
      </c>
      <c r="D63" s="64">
        <v>10</v>
      </c>
      <c r="E63" s="64">
        <v>10</v>
      </c>
      <c r="F63" s="64">
        <v>10</v>
      </c>
      <c r="G63" s="64">
        <v>10</v>
      </c>
      <c r="H63" s="64">
        <v>10</v>
      </c>
      <c r="I63" s="64">
        <v>10</v>
      </c>
      <c r="J63" s="64">
        <v>10</v>
      </c>
      <c r="K63" s="64">
        <v>10</v>
      </c>
      <c r="L63" s="64">
        <v>10</v>
      </c>
      <c r="M63" s="64">
        <v>10</v>
      </c>
      <c r="N63" s="64">
        <v>10</v>
      </c>
      <c r="O63" s="64">
        <v>10</v>
      </c>
      <c r="P63" s="64">
        <v>10</v>
      </c>
      <c r="Q63" s="64">
        <v>10</v>
      </c>
      <c r="R63" s="64">
        <v>10</v>
      </c>
      <c r="S63" s="64">
        <v>11.4</v>
      </c>
      <c r="T63" s="64">
        <v>11.4</v>
      </c>
      <c r="U63" s="64">
        <v>11.4</v>
      </c>
      <c r="V63" s="64">
        <v>11.4</v>
      </c>
      <c r="W63" s="64">
        <v>9.8000000000000007</v>
      </c>
      <c r="X63" s="64">
        <v>9.8000000000000007</v>
      </c>
      <c r="Y63" s="64">
        <v>9.8000000000000007</v>
      </c>
      <c r="Z63" s="64">
        <v>9.8000000000000007</v>
      </c>
      <c r="AA63" s="64">
        <v>9.8000000000000007</v>
      </c>
      <c r="AB63" s="64">
        <v>9.8000000000000007</v>
      </c>
      <c r="AC63" s="64">
        <v>9.8000000000000007</v>
      </c>
      <c r="AD63" s="64">
        <v>10.4</v>
      </c>
      <c r="AE63" s="64">
        <v>10.199999999999999</v>
      </c>
      <c r="AF63" s="64">
        <v>10.199999999999999</v>
      </c>
      <c r="AG63" s="54">
        <v>14.1</v>
      </c>
      <c r="AH63" s="47">
        <f t="shared" si="2"/>
        <v>11.4</v>
      </c>
      <c r="AI63" s="48">
        <f t="shared" si="3"/>
        <v>9.8000000000000007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13.5</v>
      </c>
      <c r="C64" s="64">
        <v>13.5</v>
      </c>
      <c r="D64" s="64">
        <v>13.5</v>
      </c>
      <c r="E64" s="64">
        <v>11.2</v>
      </c>
      <c r="F64" s="64">
        <v>3.8</v>
      </c>
      <c r="G64" s="64">
        <v>13.6</v>
      </c>
      <c r="H64" s="64">
        <v>13.6</v>
      </c>
      <c r="I64" s="64">
        <v>13.6</v>
      </c>
      <c r="J64" s="64">
        <v>7.7</v>
      </c>
      <c r="K64" s="64">
        <v>8.4</v>
      </c>
      <c r="L64" s="64">
        <v>10.1</v>
      </c>
      <c r="M64" s="64">
        <v>10.1</v>
      </c>
      <c r="N64" s="64">
        <v>10.1</v>
      </c>
      <c r="O64" s="64">
        <v>13.5</v>
      </c>
      <c r="P64" s="64">
        <v>13.5</v>
      </c>
      <c r="Q64" s="64">
        <v>13.5</v>
      </c>
      <c r="R64" s="64">
        <v>13.5</v>
      </c>
      <c r="S64" s="64">
        <v>4.9000000000000004</v>
      </c>
      <c r="T64" s="64">
        <v>4.9000000000000004</v>
      </c>
      <c r="U64" s="64">
        <v>7.1</v>
      </c>
      <c r="V64" s="64">
        <v>9.8000000000000007</v>
      </c>
      <c r="W64" s="64">
        <v>9.6</v>
      </c>
      <c r="X64" s="64">
        <v>9.6</v>
      </c>
      <c r="Y64" s="64">
        <v>9.6</v>
      </c>
      <c r="Z64" s="64">
        <v>9.6</v>
      </c>
      <c r="AA64" s="64">
        <v>9.6</v>
      </c>
      <c r="AB64" s="64">
        <v>9.6</v>
      </c>
      <c r="AC64" s="64">
        <v>9.6</v>
      </c>
      <c r="AD64" s="64">
        <v>13.6</v>
      </c>
      <c r="AE64" s="64">
        <v>13.6</v>
      </c>
      <c r="AF64" s="64">
        <v>13.6</v>
      </c>
      <c r="AG64" s="54">
        <v>14</v>
      </c>
      <c r="AH64" s="47">
        <f t="shared" si="2"/>
        <v>13.6</v>
      </c>
      <c r="AI64" s="48">
        <f t="shared" si="3"/>
        <v>3.8</v>
      </c>
      <c r="AK64" s="50"/>
    </row>
    <row r="65" spans="1:40" x14ac:dyDescent="0.25">
      <c r="A65" s="53" t="s">
        <v>73</v>
      </c>
      <c r="B65" s="64">
        <v>6.1</v>
      </c>
      <c r="C65" s="64">
        <v>6.1</v>
      </c>
      <c r="D65" s="64">
        <v>6.1</v>
      </c>
      <c r="E65" s="64">
        <v>6.1</v>
      </c>
      <c r="F65" s="64">
        <v>6.1</v>
      </c>
      <c r="G65" s="64">
        <v>6.1</v>
      </c>
      <c r="H65" s="64">
        <v>6.1</v>
      </c>
      <c r="I65" s="64">
        <v>6.1</v>
      </c>
      <c r="J65" s="64">
        <v>6.1</v>
      </c>
      <c r="K65" s="64">
        <v>6.1</v>
      </c>
      <c r="L65" s="64">
        <v>6.1</v>
      </c>
      <c r="M65" s="64">
        <v>6.1</v>
      </c>
      <c r="N65" s="64">
        <v>6.1</v>
      </c>
      <c r="O65" s="64">
        <v>6.1</v>
      </c>
      <c r="P65" s="64">
        <v>6.1</v>
      </c>
      <c r="Q65" s="64">
        <v>6.1</v>
      </c>
      <c r="R65" s="64">
        <v>6.1</v>
      </c>
      <c r="S65" s="64">
        <v>6.5</v>
      </c>
      <c r="T65" s="64">
        <v>6.5</v>
      </c>
      <c r="U65" s="64">
        <v>6.5</v>
      </c>
      <c r="V65" s="64">
        <v>6.5</v>
      </c>
      <c r="W65" s="64">
        <v>6.5</v>
      </c>
      <c r="X65" s="64">
        <v>6.5</v>
      </c>
      <c r="Y65" s="64">
        <v>6.5</v>
      </c>
      <c r="Z65" s="64">
        <v>6.5</v>
      </c>
      <c r="AA65" s="64">
        <v>6.5</v>
      </c>
      <c r="AB65" s="64">
        <v>6.5</v>
      </c>
      <c r="AC65" s="64">
        <v>6.5</v>
      </c>
      <c r="AD65" s="64">
        <v>9.8000000000000007</v>
      </c>
      <c r="AE65" s="64">
        <v>9.8000000000000007</v>
      </c>
      <c r="AF65" s="64">
        <v>9.8000000000000007</v>
      </c>
      <c r="AG65" s="54">
        <v>10.050000000000001</v>
      </c>
      <c r="AH65" s="47">
        <f t="shared" si="2"/>
        <v>9.8000000000000007</v>
      </c>
      <c r="AI65" s="48">
        <f t="shared" si="3"/>
        <v>6.1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22">SUM(B55:B67)</f>
        <v>352.04</v>
      </c>
      <c r="C68" s="60">
        <f t="shared" si="22"/>
        <v>352.04</v>
      </c>
      <c r="D68" s="60">
        <f t="shared" si="22"/>
        <v>352.04</v>
      </c>
      <c r="E68" s="60">
        <f t="shared" ref="E68:F68" si="23">SUM(E55:E67)</f>
        <v>347.34</v>
      </c>
      <c r="F68" s="60">
        <f t="shared" si="23"/>
        <v>341.04</v>
      </c>
      <c r="G68" s="60">
        <f t="shared" ref="G68:H68" si="24">SUM(G55:G67)</f>
        <v>350.94000000000005</v>
      </c>
      <c r="H68" s="60">
        <f t="shared" si="24"/>
        <v>352.54000000000008</v>
      </c>
      <c r="I68" s="60">
        <f t="shared" ref="I68" si="25">SUM(I55:I67)</f>
        <v>352.54000000000008</v>
      </c>
      <c r="J68" s="60">
        <f t="shared" si="22"/>
        <v>323.14000000000004</v>
      </c>
      <c r="K68" s="60">
        <f t="shared" si="22"/>
        <v>314.84000000000003</v>
      </c>
      <c r="L68" s="60">
        <f t="shared" si="22"/>
        <v>306.54000000000008</v>
      </c>
      <c r="M68" s="60">
        <f t="shared" ref="M68" si="26">SUM(M55:M67)</f>
        <v>328.84000000000003</v>
      </c>
      <c r="N68" s="60">
        <f t="shared" si="22"/>
        <v>389.84000000000003</v>
      </c>
      <c r="O68" s="60">
        <f t="shared" ref="O68:P68" si="27">SUM(O55:O67)</f>
        <v>411.94000000000005</v>
      </c>
      <c r="P68" s="60">
        <f t="shared" si="27"/>
        <v>402.24000000000007</v>
      </c>
      <c r="Q68" s="60">
        <f t="shared" ref="Q68:R68" si="28">SUM(Q55:Q67)</f>
        <v>377.54</v>
      </c>
      <c r="R68" s="60">
        <f t="shared" si="28"/>
        <v>349.54000000000008</v>
      </c>
      <c r="S68" s="60">
        <f t="shared" si="22"/>
        <v>376.64</v>
      </c>
      <c r="T68" s="60">
        <f t="shared" si="22"/>
        <v>377.53999999999996</v>
      </c>
      <c r="U68" s="60">
        <f t="shared" si="22"/>
        <v>348.03999999999996</v>
      </c>
      <c r="V68" s="60">
        <f t="shared" si="22"/>
        <v>356.34000000000003</v>
      </c>
      <c r="W68" s="60">
        <f t="shared" si="22"/>
        <v>354.94000000000005</v>
      </c>
      <c r="X68" s="60">
        <f t="shared" si="22"/>
        <v>364.14000000000004</v>
      </c>
      <c r="Y68" s="60">
        <f t="shared" si="22"/>
        <v>364.14000000000004</v>
      </c>
      <c r="Z68" s="60">
        <f t="shared" si="22"/>
        <v>404.64000000000004</v>
      </c>
      <c r="AA68" s="60">
        <f t="shared" si="22"/>
        <v>410.64000000000004</v>
      </c>
      <c r="AB68" s="60">
        <f t="shared" si="22"/>
        <v>410.44</v>
      </c>
      <c r="AC68" s="60">
        <f t="shared" ref="AC68" si="29">SUM(AC55:AC67)</f>
        <v>410.44</v>
      </c>
      <c r="AD68" s="60">
        <f t="shared" si="22"/>
        <v>418.23999999999995</v>
      </c>
      <c r="AE68" s="60">
        <f t="shared" ref="AE68" si="30">SUM(AE55:AE67)</f>
        <v>356.64</v>
      </c>
      <c r="AF68" s="60">
        <f t="shared" si="22"/>
        <v>385.34000000000003</v>
      </c>
      <c r="AG68" s="61">
        <f t="shared" si="22"/>
        <v>489.91</v>
      </c>
      <c r="AH68" s="47">
        <f t="shared" si="2"/>
        <v>418.23999999999995</v>
      </c>
      <c r="AI68" s="48">
        <f t="shared" si="3"/>
        <v>306.54000000000008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/>
      <c r="T69" s="45"/>
      <c r="U69" s="45"/>
      <c r="V69" s="45"/>
      <c r="W69" s="45"/>
      <c r="X69" s="45"/>
      <c r="Y69" s="45"/>
      <c r="Z69" s="45"/>
      <c r="AA69" s="45"/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/>
      <c r="T70" s="64"/>
      <c r="U70" s="64"/>
      <c r="V70" s="64"/>
      <c r="W70" s="64"/>
      <c r="X70" s="64"/>
      <c r="Y70" s="64"/>
      <c r="Z70" s="64"/>
      <c r="AA70" s="64"/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>M69+M70+M71</f>
        <v>0</v>
      </c>
      <c r="N72" s="60">
        <f t="shared" ref="N72:AF72" si="31">N69+N70+N71</f>
        <v>0</v>
      </c>
      <c r="O72" s="60">
        <f t="shared" ref="O72:P72" si="32">O69+O70+O71</f>
        <v>0</v>
      </c>
      <c r="P72" s="60">
        <f t="shared" si="32"/>
        <v>0</v>
      </c>
      <c r="Q72" s="60">
        <f t="shared" ref="Q72:R72" si="33">Q69+Q70+Q71</f>
        <v>0</v>
      </c>
      <c r="R72" s="60">
        <f t="shared" si="33"/>
        <v>0</v>
      </c>
      <c r="S72" s="60">
        <f t="shared" si="31"/>
        <v>0</v>
      </c>
      <c r="T72" s="60">
        <f t="shared" si="31"/>
        <v>0</v>
      </c>
      <c r="U72" s="60">
        <f t="shared" si="31"/>
        <v>0</v>
      </c>
      <c r="V72" s="60">
        <f t="shared" si="31"/>
        <v>0</v>
      </c>
      <c r="W72" s="60">
        <f t="shared" si="31"/>
        <v>0</v>
      </c>
      <c r="X72" s="60">
        <f t="shared" si="31"/>
        <v>0</v>
      </c>
      <c r="Y72" s="60">
        <f t="shared" si="31"/>
        <v>0</v>
      </c>
      <c r="Z72" s="60">
        <f t="shared" si="31"/>
        <v>0</v>
      </c>
      <c r="AA72" s="60">
        <f t="shared" si="31"/>
        <v>0</v>
      </c>
      <c r="AB72" s="60">
        <f t="shared" si="31"/>
        <v>0</v>
      </c>
      <c r="AC72" s="60">
        <f t="shared" ref="AC72" si="34">AC69+AC70+AC71</f>
        <v>0</v>
      </c>
      <c r="AD72" s="60">
        <f t="shared" si="31"/>
        <v>0</v>
      </c>
      <c r="AE72" s="60">
        <f t="shared" si="31"/>
        <v>0</v>
      </c>
      <c r="AF72" s="60">
        <f t="shared" si="31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-10</v>
      </c>
      <c r="C73" s="45">
        <v>-11</v>
      </c>
      <c r="D73" s="45">
        <v>-5.8</v>
      </c>
      <c r="E73" s="45">
        <v>-6.3</v>
      </c>
      <c r="F73" s="45">
        <v>-18.399999999999999</v>
      </c>
      <c r="G73" s="45">
        <v>-5.6</v>
      </c>
      <c r="H73" s="45">
        <v>-7.2</v>
      </c>
      <c r="I73" s="45">
        <v>-22.1</v>
      </c>
      <c r="J73" s="45">
        <v>-18.899999999999999</v>
      </c>
      <c r="K73" s="45">
        <v>-27.6</v>
      </c>
      <c r="L73" s="45">
        <v>-28.8</v>
      </c>
      <c r="M73" s="45">
        <v>-31</v>
      </c>
      <c r="N73" s="45">
        <v>-14.7</v>
      </c>
      <c r="O73" s="45">
        <v>0</v>
      </c>
      <c r="P73" s="45">
        <v>-1.3</v>
      </c>
      <c r="Q73" s="45">
        <v>-32</v>
      </c>
      <c r="R73" s="45">
        <v>-47</v>
      </c>
      <c r="S73" s="45">
        <v>-40</v>
      </c>
      <c r="T73" s="45">
        <v>-40</v>
      </c>
      <c r="U73" s="45">
        <v>-7.5</v>
      </c>
      <c r="V73" s="45">
        <v>-17.600000000000001</v>
      </c>
      <c r="W73" s="45">
        <v>-25.4</v>
      </c>
      <c r="X73" s="45">
        <v>-24.3</v>
      </c>
      <c r="Y73" s="45">
        <v>-14.5</v>
      </c>
      <c r="Z73" s="45">
        <v>-21.6</v>
      </c>
      <c r="AA73" s="45">
        <v>13</v>
      </c>
      <c r="AB73" s="45">
        <v>15.4</v>
      </c>
      <c r="AC73" s="45">
        <v>10</v>
      </c>
      <c r="AD73" s="45">
        <v>5</v>
      </c>
      <c r="AE73" s="45">
        <v>-8.5</v>
      </c>
      <c r="AF73" s="45">
        <v>-10.5</v>
      </c>
      <c r="AG73" s="51"/>
      <c r="AH73" s="47">
        <f t="shared" si="2"/>
        <v>15.4</v>
      </c>
      <c r="AI73" s="48">
        <f t="shared" si="3"/>
        <v>-47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/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/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-320</v>
      </c>
      <c r="C75" s="64">
        <v>-350</v>
      </c>
      <c r="D75" s="64">
        <v>-354</v>
      </c>
      <c r="E75" s="64">
        <v>-351.5</v>
      </c>
      <c r="F75" s="64">
        <v>-374.1</v>
      </c>
      <c r="G75" s="64">
        <v>-405</v>
      </c>
      <c r="H75" s="64">
        <v>-422.5</v>
      </c>
      <c r="I75" s="64">
        <v>-466</v>
      </c>
      <c r="J75" s="64">
        <v>517.1</v>
      </c>
      <c r="K75" s="64">
        <v>-463.7</v>
      </c>
      <c r="L75" s="64">
        <v>-462.1</v>
      </c>
      <c r="M75" s="64">
        <v>-452</v>
      </c>
      <c r="N75" s="64">
        <v>-405</v>
      </c>
      <c r="O75" s="64">
        <v>-490</v>
      </c>
      <c r="P75" s="64">
        <v>-489.6</v>
      </c>
      <c r="Q75" s="64">
        <v>-502.3</v>
      </c>
      <c r="R75" s="64">
        <v>512.6</v>
      </c>
      <c r="S75" s="64">
        <v>-497</v>
      </c>
      <c r="T75" s="64">
        <v>-470.7</v>
      </c>
      <c r="U75" s="64">
        <v>-442</v>
      </c>
      <c r="V75" s="64">
        <v>-508</v>
      </c>
      <c r="W75" s="64">
        <v>-496</v>
      </c>
      <c r="X75" s="64">
        <v>-461</v>
      </c>
      <c r="Y75" s="64">
        <v>-479</v>
      </c>
      <c r="Z75" s="64">
        <v>-389</v>
      </c>
      <c r="AA75" s="64">
        <v>-141</v>
      </c>
      <c r="AB75" s="64">
        <v>-400.9</v>
      </c>
      <c r="AC75" s="64">
        <v>-400</v>
      </c>
      <c r="AD75" s="64">
        <v>-425</v>
      </c>
      <c r="AE75" s="64">
        <v>-436.8</v>
      </c>
      <c r="AF75" s="64">
        <v>-435</v>
      </c>
      <c r="AG75" s="74"/>
      <c r="AH75" s="47">
        <f t="shared" si="2"/>
        <v>517.1</v>
      </c>
      <c r="AI75" s="48">
        <f t="shared" si="3"/>
        <v>-508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/>
      <c r="AB76" s="75">
        <v>0</v>
      </c>
      <c r="AC76" s="75">
        <v>0</v>
      </c>
      <c r="AD76" s="64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75">
        <v>0</v>
      </c>
      <c r="M77" s="7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/>
      <c r="AB77" s="45">
        <v>0</v>
      </c>
      <c r="AC77" s="45">
        <v>0</v>
      </c>
      <c r="AD77" s="64">
        <v>0</v>
      </c>
      <c r="AE77" s="45">
        <v>0</v>
      </c>
      <c r="AF77" s="45">
        <v>0</v>
      </c>
      <c r="AG77" s="74"/>
      <c r="AH77" s="47">
        <f t="shared" ref="AH77:AH120" si="35">MAX(B77:AF77)</f>
        <v>0</v>
      </c>
      <c r="AI77" s="48">
        <f t="shared" ref="AI77:AI120" si="36">MIN(B77:AF77)</f>
        <v>0</v>
      </c>
      <c r="AK77" s="50"/>
    </row>
    <row r="78" spans="1:40" x14ac:dyDescent="0.25">
      <c r="A78" s="53" t="s">
        <v>86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75">
        <v>0</v>
      </c>
      <c r="M78" s="75">
        <v>0</v>
      </c>
      <c r="N78" s="45">
        <v>0</v>
      </c>
      <c r="O78" s="45">
        <v>0</v>
      </c>
      <c r="P78" s="45">
        <v>0</v>
      </c>
      <c r="Q78" s="45">
        <v>0</v>
      </c>
      <c r="R78" s="45">
        <v>0</v>
      </c>
      <c r="S78" s="45">
        <v>0</v>
      </c>
      <c r="T78" s="45">
        <v>0</v>
      </c>
      <c r="U78" s="45">
        <v>0</v>
      </c>
      <c r="V78" s="45">
        <v>0</v>
      </c>
      <c r="W78" s="45">
        <v>0</v>
      </c>
      <c r="X78" s="45">
        <v>0</v>
      </c>
      <c r="Y78" s="45">
        <v>0</v>
      </c>
      <c r="Z78" s="45">
        <v>0</v>
      </c>
      <c r="AA78" s="76"/>
      <c r="AB78" s="76">
        <v>0</v>
      </c>
      <c r="AC78" s="76">
        <v>0</v>
      </c>
      <c r="AD78" s="64">
        <v>0</v>
      </c>
      <c r="AE78" s="76">
        <v>0</v>
      </c>
      <c r="AF78" s="76">
        <v>0</v>
      </c>
      <c r="AG78" s="74"/>
      <c r="AH78" s="47">
        <f t="shared" si="35"/>
        <v>0</v>
      </c>
      <c r="AI78" s="48">
        <f t="shared" si="36"/>
        <v>0</v>
      </c>
      <c r="AK78" s="50"/>
    </row>
    <row r="79" spans="1:40" ht="15.75" thickBot="1" x14ac:dyDescent="0.3">
      <c r="A79" s="53" t="s">
        <v>87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75">
        <v>0</v>
      </c>
      <c r="M79" s="7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>
        <v>0</v>
      </c>
      <c r="T79" s="45">
        <v>0</v>
      </c>
      <c r="U79" s="45">
        <v>0</v>
      </c>
      <c r="V79" s="45">
        <v>0</v>
      </c>
      <c r="W79" s="45">
        <v>0</v>
      </c>
      <c r="X79" s="45">
        <v>0</v>
      </c>
      <c r="Y79" s="45">
        <v>0</v>
      </c>
      <c r="Z79" s="45">
        <v>0</v>
      </c>
      <c r="AA79" s="76"/>
      <c r="AB79" s="76">
        <v>0</v>
      </c>
      <c r="AC79" s="76">
        <v>0</v>
      </c>
      <c r="AD79" s="64">
        <v>0</v>
      </c>
      <c r="AE79" s="76">
        <v>0</v>
      </c>
      <c r="AF79" s="76">
        <v>0</v>
      </c>
      <c r="AG79" s="74"/>
      <c r="AH79" s="47">
        <f t="shared" si="35"/>
        <v>0</v>
      </c>
      <c r="AI79" s="48">
        <f t="shared" si="36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75">
        <v>0</v>
      </c>
      <c r="M80" s="75">
        <v>0</v>
      </c>
      <c r="N80" s="45">
        <v>0</v>
      </c>
      <c r="O80" s="45">
        <v>0</v>
      </c>
      <c r="P80" s="45">
        <v>0</v>
      </c>
      <c r="Q80" s="45">
        <v>0</v>
      </c>
      <c r="R80" s="45">
        <v>0</v>
      </c>
      <c r="S80" s="45">
        <v>0</v>
      </c>
      <c r="T80" s="45">
        <v>0</v>
      </c>
      <c r="U80" s="45">
        <v>0</v>
      </c>
      <c r="V80" s="45">
        <v>0</v>
      </c>
      <c r="W80" s="45">
        <v>0</v>
      </c>
      <c r="X80" s="45">
        <v>0</v>
      </c>
      <c r="Y80" s="45">
        <v>0</v>
      </c>
      <c r="Z80" s="45">
        <v>0</v>
      </c>
      <c r="AA80" s="76"/>
      <c r="AB80" s="76">
        <v>0</v>
      </c>
      <c r="AC80" s="76">
        <v>0</v>
      </c>
      <c r="AD80" s="64">
        <v>0</v>
      </c>
      <c r="AE80" s="76">
        <v>0</v>
      </c>
      <c r="AF80" s="76">
        <v>0</v>
      </c>
      <c r="AG80" s="74"/>
      <c r="AH80" s="47">
        <f t="shared" si="35"/>
        <v>0</v>
      </c>
      <c r="AI80" s="48">
        <f t="shared" si="36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75">
        <v>0</v>
      </c>
      <c r="M81" s="75">
        <v>0</v>
      </c>
      <c r="N81" s="45">
        <v>0</v>
      </c>
      <c r="O81" s="45">
        <v>0</v>
      </c>
      <c r="P81" s="45">
        <v>0</v>
      </c>
      <c r="Q81" s="45">
        <v>0</v>
      </c>
      <c r="R81" s="45">
        <v>0</v>
      </c>
      <c r="S81" s="45">
        <v>0</v>
      </c>
      <c r="T81" s="45">
        <v>0</v>
      </c>
      <c r="U81" s="45">
        <v>0</v>
      </c>
      <c r="V81" s="45">
        <v>0</v>
      </c>
      <c r="W81" s="45">
        <v>0</v>
      </c>
      <c r="X81" s="45">
        <v>0</v>
      </c>
      <c r="Y81" s="45">
        <v>0</v>
      </c>
      <c r="Z81" s="45">
        <v>0</v>
      </c>
      <c r="AA81" s="76"/>
      <c r="AB81" s="76">
        <v>0</v>
      </c>
      <c r="AC81" s="76">
        <v>0</v>
      </c>
      <c r="AD81" s="64">
        <v>0</v>
      </c>
      <c r="AE81" s="76">
        <v>0</v>
      </c>
      <c r="AF81" s="76">
        <v>0</v>
      </c>
      <c r="AG81" s="74"/>
      <c r="AH81" s="47">
        <f t="shared" si="35"/>
        <v>0</v>
      </c>
      <c r="AI81" s="48">
        <f t="shared" si="36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75">
        <v>0</v>
      </c>
      <c r="M82" s="7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45">
        <v>0</v>
      </c>
      <c r="T82" s="45">
        <v>0</v>
      </c>
      <c r="U82" s="45">
        <v>0</v>
      </c>
      <c r="V82" s="45">
        <v>0</v>
      </c>
      <c r="W82" s="45">
        <v>0</v>
      </c>
      <c r="X82" s="45">
        <v>0</v>
      </c>
      <c r="Y82" s="45">
        <v>0</v>
      </c>
      <c r="Z82" s="45">
        <v>0</v>
      </c>
      <c r="AA82" s="76"/>
      <c r="AB82" s="76">
        <v>0</v>
      </c>
      <c r="AC82" s="76">
        <v>0</v>
      </c>
      <c r="AD82" s="64">
        <v>0</v>
      </c>
      <c r="AE82" s="76">
        <v>0</v>
      </c>
      <c r="AF82" s="76">
        <v>0</v>
      </c>
      <c r="AG82" s="84"/>
      <c r="AH82" s="47">
        <f t="shared" si="35"/>
        <v>0</v>
      </c>
      <c r="AI82" s="48">
        <f t="shared" si="36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75">
        <v>0</v>
      </c>
      <c r="M83" s="75">
        <v>0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45">
        <v>0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76"/>
      <c r="AB83" s="76">
        <v>0</v>
      </c>
      <c r="AC83" s="76">
        <v>0</v>
      </c>
      <c r="AD83" s="64">
        <v>0</v>
      </c>
      <c r="AE83" s="76">
        <v>0</v>
      </c>
      <c r="AF83" s="76">
        <v>0</v>
      </c>
      <c r="AG83" s="84"/>
      <c r="AH83" s="47">
        <f t="shared" si="35"/>
        <v>0</v>
      </c>
      <c r="AI83" s="48">
        <f t="shared" si="36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37">SUMIF(B73:B83,"&gt;0")</f>
        <v>0</v>
      </c>
      <c r="C84" s="60">
        <f t="shared" si="37"/>
        <v>0</v>
      </c>
      <c r="D84" s="60">
        <f t="shared" si="37"/>
        <v>0</v>
      </c>
      <c r="E84" s="60">
        <f t="shared" ref="E84:F84" si="38">SUMIF(E73:E83,"&gt;0")</f>
        <v>0</v>
      </c>
      <c r="F84" s="60">
        <f t="shared" si="38"/>
        <v>0</v>
      </c>
      <c r="G84" s="60">
        <f t="shared" ref="G84:H84" si="39">SUMIF(G73:G83,"&gt;0")</f>
        <v>0</v>
      </c>
      <c r="H84" s="60">
        <f t="shared" si="39"/>
        <v>0</v>
      </c>
      <c r="I84" s="60">
        <f t="shared" ref="I84" si="40">SUMIF(I73:I83,"&gt;0")</f>
        <v>0</v>
      </c>
      <c r="J84" s="60">
        <f t="shared" si="37"/>
        <v>517.1</v>
      </c>
      <c r="K84" s="60">
        <f t="shared" si="37"/>
        <v>0</v>
      </c>
      <c r="L84" s="60">
        <f t="shared" si="37"/>
        <v>0</v>
      </c>
      <c r="M84" s="60">
        <f t="shared" ref="M84" si="41">SUMIF(M73:M83,"&gt;0")</f>
        <v>0</v>
      </c>
      <c r="N84" s="60">
        <f t="shared" si="37"/>
        <v>0</v>
      </c>
      <c r="O84" s="60">
        <f t="shared" ref="O84:P84" si="42">SUMIF(O73:O83,"&gt;0")</f>
        <v>0</v>
      </c>
      <c r="P84" s="60">
        <f t="shared" si="42"/>
        <v>0</v>
      </c>
      <c r="Q84" s="60">
        <f t="shared" ref="Q84:R84" si="43">SUMIF(Q73:Q83,"&gt;0")</f>
        <v>0</v>
      </c>
      <c r="R84" s="60">
        <f t="shared" si="43"/>
        <v>512.6</v>
      </c>
      <c r="S84" s="60">
        <f t="shared" si="37"/>
        <v>0</v>
      </c>
      <c r="T84" s="60">
        <f t="shared" si="37"/>
        <v>0</v>
      </c>
      <c r="U84" s="60">
        <f t="shared" si="37"/>
        <v>0</v>
      </c>
      <c r="V84" s="60">
        <f t="shared" si="37"/>
        <v>0</v>
      </c>
      <c r="W84" s="60">
        <f t="shared" si="37"/>
        <v>0</v>
      </c>
      <c r="X84" s="60">
        <f t="shared" si="37"/>
        <v>0</v>
      </c>
      <c r="Y84" s="60">
        <f t="shared" si="37"/>
        <v>0</v>
      </c>
      <c r="Z84" s="60">
        <f t="shared" si="37"/>
        <v>0</v>
      </c>
      <c r="AA84" s="60">
        <f t="shared" si="37"/>
        <v>13</v>
      </c>
      <c r="AB84" s="60">
        <f t="shared" si="37"/>
        <v>15.4</v>
      </c>
      <c r="AC84" s="60">
        <f t="shared" ref="AC84" si="44">SUMIF(AC73:AC83,"&gt;0")</f>
        <v>10</v>
      </c>
      <c r="AD84" s="60">
        <f t="shared" si="37"/>
        <v>5</v>
      </c>
      <c r="AE84" s="60">
        <f t="shared" si="37"/>
        <v>0</v>
      </c>
      <c r="AF84" s="60">
        <f t="shared" si="37"/>
        <v>0</v>
      </c>
      <c r="AG84" s="87">
        <f>SUM(AG73:AG83)</f>
        <v>0</v>
      </c>
      <c r="AH84" s="47">
        <f t="shared" si="35"/>
        <v>517.1</v>
      </c>
      <c r="AI84" s="48">
        <f t="shared" si="36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35"/>
        <v>0</v>
      </c>
      <c r="AI85" s="48">
        <f t="shared" si="36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35"/>
        <v>0</v>
      </c>
      <c r="AI86" s="48">
        <f t="shared" si="36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35"/>
        <v>0</v>
      </c>
      <c r="AI87" s="48">
        <f t="shared" si="36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35"/>
        <v>0</v>
      </c>
      <c r="AI88" s="48">
        <f t="shared" si="36"/>
        <v>0</v>
      </c>
    </row>
    <row r="89" spans="1:40" ht="15.75" thickBot="1" x14ac:dyDescent="0.3">
      <c r="A89" s="73" t="s">
        <v>100</v>
      </c>
      <c r="B89" s="94">
        <f t="shared" ref="B89:AG89" si="45">B50+B54+B72+B68+B84+B88</f>
        <v>1911.94</v>
      </c>
      <c r="C89" s="94">
        <f t="shared" si="45"/>
        <v>1911.94</v>
      </c>
      <c r="D89" s="94">
        <f t="shared" si="45"/>
        <v>1893.94</v>
      </c>
      <c r="E89" s="94">
        <f t="shared" ref="E89:F89" si="46">E50+E54+E72+E68+E84+E88</f>
        <v>1884.24</v>
      </c>
      <c r="F89" s="94">
        <f t="shared" si="46"/>
        <v>1877.94</v>
      </c>
      <c r="G89" s="94">
        <f t="shared" ref="G89:H89" si="47">G50+G54+G72+G68+G84+G88</f>
        <v>1887.8400000000001</v>
      </c>
      <c r="H89" s="94">
        <f t="shared" si="47"/>
        <v>1889.44</v>
      </c>
      <c r="I89" s="94">
        <f t="shared" ref="I89" si="48">I50+I54+I72+I68+I84+I88</f>
        <v>1889.44</v>
      </c>
      <c r="J89" s="94">
        <f t="shared" si="45"/>
        <v>2353.2400000000002</v>
      </c>
      <c r="K89" s="94">
        <f t="shared" si="45"/>
        <v>1846.7400000000002</v>
      </c>
      <c r="L89" s="94">
        <f t="shared" si="45"/>
        <v>1863.54</v>
      </c>
      <c r="M89" s="94">
        <f t="shared" ref="M89" si="49">M50+M54+M72+M68+M84+M88</f>
        <v>1895.8400000000001</v>
      </c>
      <c r="N89" s="94">
        <f t="shared" si="45"/>
        <v>1851.94</v>
      </c>
      <c r="O89" s="94">
        <f t="shared" ref="O89:P89" si="50">O50+O54+O72+O68+O84+O88</f>
        <v>1944.74</v>
      </c>
      <c r="P89" s="94">
        <f t="shared" si="50"/>
        <v>1922.34</v>
      </c>
      <c r="Q89" s="94">
        <f t="shared" ref="Q89:R89" si="51">Q50+Q54+Q72+Q68+Q84+Q88</f>
        <v>1897.6399999999999</v>
      </c>
      <c r="R89" s="94">
        <f t="shared" si="51"/>
        <v>2382.2399999999998</v>
      </c>
      <c r="S89" s="94">
        <f t="shared" si="45"/>
        <v>1917.62</v>
      </c>
      <c r="T89" s="94">
        <f t="shared" si="45"/>
        <v>1920.7199999999998</v>
      </c>
      <c r="U89" s="94">
        <f t="shared" si="45"/>
        <v>1891.2199999999998</v>
      </c>
      <c r="V89" s="94">
        <f t="shared" si="45"/>
        <v>1873.52</v>
      </c>
      <c r="W89" s="94">
        <f t="shared" si="45"/>
        <v>1872.12</v>
      </c>
      <c r="X89" s="94">
        <f t="shared" si="45"/>
        <v>1881.32</v>
      </c>
      <c r="Y89" s="94">
        <f t="shared" si="45"/>
        <v>1907.32</v>
      </c>
      <c r="Z89" s="94">
        <f t="shared" si="45"/>
        <v>1995.1200000000001</v>
      </c>
      <c r="AA89" s="94">
        <f t="shared" si="45"/>
        <v>2044.22</v>
      </c>
      <c r="AB89" s="94">
        <f t="shared" si="45"/>
        <v>2019.12</v>
      </c>
      <c r="AC89" s="94">
        <f t="shared" ref="AC89" si="52">AC50+AC54+AC72+AC68+AC84+AC88</f>
        <v>1994.8200000000002</v>
      </c>
      <c r="AD89" s="94">
        <f t="shared" si="45"/>
        <v>1981.4199999999998</v>
      </c>
      <c r="AE89" s="94">
        <f t="shared" si="45"/>
        <v>1914.8199999999997</v>
      </c>
      <c r="AF89" s="94">
        <f t="shared" si="45"/>
        <v>1911.62</v>
      </c>
      <c r="AG89" s="61">
        <f t="shared" si="45"/>
        <v>2111.5500000000002</v>
      </c>
      <c r="AH89" s="47">
        <f t="shared" si="35"/>
        <v>2382.2399999999998</v>
      </c>
      <c r="AI89" s="48">
        <f t="shared" si="36"/>
        <v>1846.7400000000002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35"/>
        <v>0</v>
      </c>
      <c r="AI90" s="48">
        <f t="shared" si="36"/>
        <v>0</v>
      </c>
    </row>
    <row r="91" spans="1:40" ht="15.75" thickBot="1" x14ac:dyDescent="0.3">
      <c r="A91" s="73" t="s">
        <v>102</v>
      </c>
      <c r="B91" s="94">
        <f t="shared" ref="B91:AF91" si="53">B89+B90</f>
        <v>1911.94</v>
      </c>
      <c r="C91" s="94">
        <f t="shared" si="53"/>
        <v>1911.94</v>
      </c>
      <c r="D91" s="94">
        <f t="shared" si="53"/>
        <v>1893.94</v>
      </c>
      <c r="E91" s="94">
        <f t="shared" ref="E91:F91" si="54">E89+E90</f>
        <v>1884.24</v>
      </c>
      <c r="F91" s="94">
        <f t="shared" si="54"/>
        <v>1877.94</v>
      </c>
      <c r="G91" s="94">
        <f t="shared" ref="G91:H91" si="55">G89+G90</f>
        <v>1887.8400000000001</v>
      </c>
      <c r="H91" s="94">
        <f t="shared" si="55"/>
        <v>1889.44</v>
      </c>
      <c r="I91" s="94">
        <f t="shared" ref="I91" si="56">I89+I90</f>
        <v>1889.44</v>
      </c>
      <c r="J91" s="94">
        <f t="shared" si="53"/>
        <v>2353.2400000000002</v>
      </c>
      <c r="K91" s="94">
        <f t="shared" si="53"/>
        <v>1846.7400000000002</v>
      </c>
      <c r="L91" s="94">
        <f t="shared" si="53"/>
        <v>1863.54</v>
      </c>
      <c r="M91" s="94">
        <f t="shared" ref="M91" si="57">M89+M90</f>
        <v>1895.8400000000001</v>
      </c>
      <c r="N91" s="94">
        <f t="shared" si="53"/>
        <v>1851.94</v>
      </c>
      <c r="O91" s="94">
        <f t="shared" ref="O91:P91" si="58">O89+O90</f>
        <v>1944.74</v>
      </c>
      <c r="P91" s="94">
        <f t="shared" si="58"/>
        <v>1922.34</v>
      </c>
      <c r="Q91" s="94">
        <f t="shared" ref="Q91:R91" si="59">Q89+Q90</f>
        <v>1897.6399999999999</v>
      </c>
      <c r="R91" s="94">
        <f t="shared" si="59"/>
        <v>2382.2399999999998</v>
      </c>
      <c r="S91" s="94">
        <f t="shared" si="53"/>
        <v>1917.62</v>
      </c>
      <c r="T91" s="94">
        <f t="shared" si="53"/>
        <v>1920.7199999999998</v>
      </c>
      <c r="U91" s="94">
        <f t="shared" si="53"/>
        <v>1891.2199999999998</v>
      </c>
      <c r="V91" s="94">
        <f t="shared" si="53"/>
        <v>1873.52</v>
      </c>
      <c r="W91" s="94">
        <f t="shared" si="53"/>
        <v>1872.12</v>
      </c>
      <c r="X91" s="94">
        <f t="shared" si="53"/>
        <v>1881.32</v>
      </c>
      <c r="Y91" s="94">
        <f t="shared" si="53"/>
        <v>1907.32</v>
      </c>
      <c r="Z91" s="94">
        <f t="shared" si="53"/>
        <v>1995.1200000000001</v>
      </c>
      <c r="AA91" s="94">
        <f t="shared" si="53"/>
        <v>2044.22</v>
      </c>
      <c r="AB91" s="94">
        <f t="shared" si="53"/>
        <v>2019.12</v>
      </c>
      <c r="AC91" s="94">
        <f t="shared" ref="AC91" si="60">AC89+AC90</f>
        <v>1994.8200000000002</v>
      </c>
      <c r="AD91" s="94">
        <f t="shared" si="53"/>
        <v>1981.4199999999998</v>
      </c>
      <c r="AE91" s="94">
        <f t="shared" si="53"/>
        <v>1914.8199999999997</v>
      </c>
      <c r="AF91" s="94">
        <f t="shared" si="53"/>
        <v>1911.62</v>
      </c>
      <c r="AG91" s="87">
        <f>AG88+AG84+AG72+AG68+AG50+AG90</f>
        <v>1573.45</v>
      </c>
      <c r="AH91" s="47">
        <f t="shared" si="35"/>
        <v>2382.2399999999998</v>
      </c>
      <c r="AI91" s="48">
        <f t="shared" si="36"/>
        <v>1846.7400000000002</v>
      </c>
    </row>
    <row r="92" spans="1:40" ht="15.75" thickBot="1" x14ac:dyDescent="0.3">
      <c r="A92" s="73" t="s">
        <v>103</v>
      </c>
      <c r="B92" s="94">
        <f t="shared" ref="B92:AF92" si="61">B91-B99</f>
        <v>1911.94</v>
      </c>
      <c r="C92" s="94">
        <f t="shared" si="61"/>
        <v>1911.94</v>
      </c>
      <c r="D92" s="94">
        <f t="shared" si="61"/>
        <v>1893.94</v>
      </c>
      <c r="E92" s="94">
        <f t="shared" ref="E92:F92" si="62">E91-E99</f>
        <v>1884.24</v>
      </c>
      <c r="F92" s="94">
        <f t="shared" si="62"/>
        <v>1877.94</v>
      </c>
      <c r="G92" s="94">
        <f t="shared" ref="G92:H92" si="63">G91-G99</f>
        <v>1887.8400000000001</v>
      </c>
      <c r="H92" s="94">
        <f t="shared" si="63"/>
        <v>1889.44</v>
      </c>
      <c r="I92" s="94">
        <f t="shared" ref="I92" si="64">I91-I99</f>
        <v>1889.44</v>
      </c>
      <c r="J92" s="94">
        <f t="shared" si="61"/>
        <v>2353.2400000000002</v>
      </c>
      <c r="K92" s="94">
        <f t="shared" si="61"/>
        <v>1846.7400000000002</v>
      </c>
      <c r="L92" s="94">
        <f t="shared" si="61"/>
        <v>1863.54</v>
      </c>
      <c r="M92" s="94">
        <f t="shared" ref="M92" si="65">M91-M99</f>
        <v>1895.8400000000001</v>
      </c>
      <c r="N92" s="94">
        <f t="shared" si="61"/>
        <v>1851.94</v>
      </c>
      <c r="O92" s="94">
        <f t="shared" ref="O92:P92" si="66">O91-O99</f>
        <v>1944.74</v>
      </c>
      <c r="P92" s="94">
        <f t="shared" si="66"/>
        <v>1922.34</v>
      </c>
      <c r="Q92" s="94">
        <f t="shared" ref="Q92:R92" si="67">Q91-Q99</f>
        <v>1897.6399999999999</v>
      </c>
      <c r="R92" s="94">
        <f t="shared" si="67"/>
        <v>2382.2399999999998</v>
      </c>
      <c r="S92" s="94">
        <f t="shared" si="61"/>
        <v>1917.62</v>
      </c>
      <c r="T92" s="94">
        <f t="shared" si="61"/>
        <v>1920.7199999999998</v>
      </c>
      <c r="U92" s="94">
        <f t="shared" si="61"/>
        <v>1891.2199999999998</v>
      </c>
      <c r="V92" s="94">
        <f t="shared" si="61"/>
        <v>1873.52</v>
      </c>
      <c r="W92" s="94">
        <f t="shared" si="61"/>
        <v>1872.12</v>
      </c>
      <c r="X92" s="94">
        <f t="shared" si="61"/>
        <v>1881.32</v>
      </c>
      <c r="Y92" s="94">
        <f t="shared" si="61"/>
        <v>1907.32</v>
      </c>
      <c r="Z92" s="94">
        <f t="shared" si="61"/>
        <v>1995.1200000000001</v>
      </c>
      <c r="AA92" s="94">
        <f t="shared" si="61"/>
        <v>2044.22</v>
      </c>
      <c r="AB92" s="94">
        <f t="shared" si="61"/>
        <v>2019.12</v>
      </c>
      <c r="AC92" s="94">
        <f t="shared" ref="AC92" si="68">AC91-AC99</f>
        <v>1994.8200000000002</v>
      </c>
      <c r="AD92" s="94">
        <f t="shared" si="61"/>
        <v>1981.4199999999998</v>
      </c>
      <c r="AE92" s="94">
        <f t="shared" si="61"/>
        <v>1914.8199999999997</v>
      </c>
      <c r="AF92" s="94">
        <f t="shared" si="61"/>
        <v>1911.62</v>
      </c>
      <c r="AG92" s="87"/>
      <c r="AH92" s="47">
        <f t="shared" si="35"/>
        <v>2382.2399999999998</v>
      </c>
      <c r="AI92" s="48">
        <f t="shared" si="36"/>
        <v>1846.7400000000002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35"/>
        <v>0</v>
      </c>
      <c r="AI93" s="48">
        <f t="shared" si="36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35"/>
        <v>0</v>
      </c>
      <c r="AI94" s="48">
        <f t="shared" si="36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35"/>
        <v>0</v>
      </c>
      <c r="AI95" s="48">
        <f t="shared" si="36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35"/>
        <v>0</v>
      </c>
      <c r="AI96" s="48">
        <f t="shared" si="36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35"/>
        <v>0</v>
      </c>
      <c r="AI97" s="48">
        <f t="shared" si="36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35"/>
        <v>0</v>
      </c>
      <c r="AI98" s="48">
        <f t="shared" si="36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35"/>
        <v>0</v>
      </c>
      <c r="AI99" s="48">
        <f t="shared" si="36"/>
        <v>0</v>
      </c>
      <c r="AK99" s="50"/>
    </row>
    <row r="100" spans="1:37" ht="15.75" thickBot="1" x14ac:dyDescent="0.3">
      <c r="A100" s="73" t="s">
        <v>108</v>
      </c>
      <c r="B100" s="60">
        <f t="shared" ref="B100:AF100" si="69">B84-B99</f>
        <v>0</v>
      </c>
      <c r="C100" s="60">
        <f t="shared" si="69"/>
        <v>0</v>
      </c>
      <c r="D100" s="60">
        <f t="shared" si="69"/>
        <v>0</v>
      </c>
      <c r="E100" s="60">
        <f t="shared" ref="E100:F100" si="70">E84-E99</f>
        <v>0</v>
      </c>
      <c r="F100" s="60">
        <f t="shared" si="70"/>
        <v>0</v>
      </c>
      <c r="G100" s="60">
        <f t="shared" ref="G100:H100" si="71">G84-G99</f>
        <v>0</v>
      </c>
      <c r="H100" s="60">
        <f t="shared" si="71"/>
        <v>0</v>
      </c>
      <c r="I100" s="60">
        <f t="shared" ref="I100" si="72">I84-I99</f>
        <v>0</v>
      </c>
      <c r="J100" s="60">
        <f t="shared" si="69"/>
        <v>517.1</v>
      </c>
      <c r="K100" s="60">
        <f t="shared" si="69"/>
        <v>0</v>
      </c>
      <c r="L100" s="60">
        <f t="shared" si="69"/>
        <v>0</v>
      </c>
      <c r="M100" s="60">
        <f t="shared" ref="M100" si="73">M84-M99</f>
        <v>0</v>
      </c>
      <c r="N100" s="60">
        <f t="shared" si="69"/>
        <v>0</v>
      </c>
      <c r="O100" s="60">
        <f t="shared" ref="O100:P100" si="74">O84-O99</f>
        <v>0</v>
      </c>
      <c r="P100" s="60">
        <f t="shared" si="74"/>
        <v>0</v>
      </c>
      <c r="Q100" s="60">
        <f t="shared" ref="Q100:R100" si="75">Q84-Q99</f>
        <v>0</v>
      </c>
      <c r="R100" s="60">
        <f t="shared" si="75"/>
        <v>512.6</v>
      </c>
      <c r="S100" s="60">
        <f t="shared" si="69"/>
        <v>0</v>
      </c>
      <c r="T100" s="60">
        <f t="shared" si="69"/>
        <v>0</v>
      </c>
      <c r="U100" s="60">
        <f t="shared" si="69"/>
        <v>0</v>
      </c>
      <c r="V100" s="60">
        <f t="shared" si="69"/>
        <v>0</v>
      </c>
      <c r="W100" s="60">
        <f t="shared" si="69"/>
        <v>0</v>
      </c>
      <c r="X100" s="60">
        <f t="shared" si="69"/>
        <v>0</v>
      </c>
      <c r="Y100" s="60">
        <f t="shared" si="69"/>
        <v>0</v>
      </c>
      <c r="Z100" s="60">
        <f t="shared" si="69"/>
        <v>0</v>
      </c>
      <c r="AA100" s="60">
        <f t="shared" si="69"/>
        <v>13</v>
      </c>
      <c r="AB100" s="60">
        <f t="shared" si="69"/>
        <v>15.4</v>
      </c>
      <c r="AC100" s="60">
        <f t="shared" ref="AC100" si="76">AC84-AC99</f>
        <v>10</v>
      </c>
      <c r="AD100" s="60">
        <f t="shared" si="69"/>
        <v>5</v>
      </c>
      <c r="AE100" s="60">
        <f t="shared" si="69"/>
        <v>0</v>
      </c>
      <c r="AF100" s="60">
        <f t="shared" si="69"/>
        <v>0</v>
      </c>
      <c r="AG100" s="87"/>
      <c r="AH100" s="47">
        <f t="shared" si="35"/>
        <v>517.1</v>
      </c>
      <c r="AI100" s="48">
        <f t="shared" si="36"/>
        <v>0</v>
      </c>
    </row>
    <row r="101" spans="1:37" x14ac:dyDescent="0.25">
      <c r="A101" s="99" t="s">
        <v>109</v>
      </c>
      <c r="B101" s="100">
        <v>50.030999999999999</v>
      </c>
      <c r="C101" s="100">
        <v>50.030999999999999</v>
      </c>
      <c r="D101" s="100">
        <v>50.012999999999998</v>
      </c>
      <c r="E101" s="100">
        <v>49.978999999999999</v>
      </c>
      <c r="F101" s="100">
        <v>50.069000000000003</v>
      </c>
      <c r="G101" s="100">
        <v>50.055999999999997</v>
      </c>
      <c r="H101" s="100">
        <v>50.034999999999997</v>
      </c>
      <c r="I101" s="100">
        <v>50.017000000000003</v>
      </c>
      <c r="J101" s="100">
        <v>50.017000000000003</v>
      </c>
      <c r="K101" s="100">
        <v>50.017000000000003</v>
      </c>
      <c r="L101" s="100">
        <v>50.015000000000001</v>
      </c>
      <c r="M101" s="100">
        <v>50.015000000000001</v>
      </c>
      <c r="N101" s="100">
        <v>50.04</v>
      </c>
      <c r="O101" s="100">
        <v>50.051000000000002</v>
      </c>
      <c r="P101" s="100">
        <v>50.011000000000003</v>
      </c>
      <c r="Q101" s="100">
        <v>49.957999999999998</v>
      </c>
      <c r="R101" s="100">
        <v>50.011000000000003</v>
      </c>
      <c r="S101" s="100">
        <v>50.006999999999998</v>
      </c>
      <c r="T101" s="100">
        <v>50.006</v>
      </c>
      <c r="U101" s="100">
        <v>50.02</v>
      </c>
      <c r="V101" s="100">
        <v>49.984000000000002</v>
      </c>
      <c r="W101" s="100">
        <v>49.988</v>
      </c>
      <c r="X101" s="100">
        <v>50.012999999999998</v>
      </c>
      <c r="Y101" s="100">
        <v>50.048000000000002</v>
      </c>
      <c r="Z101" s="100">
        <v>50.078000000000003</v>
      </c>
      <c r="AA101" s="100">
        <v>50.03</v>
      </c>
      <c r="AB101" s="100">
        <v>49.95</v>
      </c>
      <c r="AC101" s="100">
        <v>49.99</v>
      </c>
      <c r="AD101" s="100">
        <v>49.99</v>
      </c>
      <c r="AE101" s="100">
        <v>50.02</v>
      </c>
      <c r="AF101" s="100">
        <v>49.97</v>
      </c>
      <c r="AG101" s="101"/>
      <c r="AH101" s="47">
        <f t="shared" si="35"/>
        <v>50.078000000000003</v>
      </c>
      <c r="AI101" s="48">
        <f t="shared" si="36"/>
        <v>49.95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35"/>
        <v>0</v>
      </c>
      <c r="AI102" s="48">
        <f t="shared" si="36"/>
        <v>0</v>
      </c>
    </row>
    <row r="103" spans="1:37" x14ac:dyDescent="0.25">
      <c r="A103" s="102" t="s">
        <v>111</v>
      </c>
      <c r="B103" s="64">
        <v>129.1</v>
      </c>
      <c r="C103" s="64">
        <v>129.1</v>
      </c>
      <c r="D103" s="64">
        <v>129.5</v>
      </c>
      <c r="E103" s="64">
        <v>128.9</v>
      </c>
      <c r="F103" s="64">
        <v>128.9</v>
      </c>
      <c r="G103" s="64">
        <v>128.9</v>
      </c>
      <c r="H103" s="64">
        <v>127.8</v>
      </c>
      <c r="I103" s="64">
        <v>127.8</v>
      </c>
      <c r="J103" s="64">
        <v>127.8</v>
      </c>
      <c r="K103" s="64">
        <v>127.8</v>
      </c>
      <c r="L103" s="64">
        <v>125.4</v>
      </c>
      <c r="M103" s="64">
        <v>125.4</v>
      </c>
      <c r="N103" s="64">
        <v>128.6</v>
      </c>
      <c r="O103" s="64">
        <v>128.6</v>
      </c>
      <c r="P103" s="64">
        <v>129.6</v>
      </c>
      <c r="Q103" s="64">
        <v>129.6</v>
      </c>
      <c r="R103" s="64">
        <v>129.6</v>
      </c>
      <c r="S103" s="64">
        <v>130.30000000000001</v>
      </c>
      <c r="T103" s="64">
        <v>129.5</v>
      </c>
      <c r="U103" s="64">
        <v>129.80000000000001</v>
      </c>
      <c r="V103" s="64">
        <v>130.9</v>
      </c>
      <c r="W103" s="64">
        <v>130.19999999999999</v>
      </c>
      <c r="X103" s="64">
        <v>129.19999999999999</v>
      </c>
      <c r="Y103" s="64">
        <v>128.1</v>
      </c>
      <c r="Z103" s="64">
        <v>127.2</v>
      </c>
      <c r="AA103" s="64">
        <v>126.8</v>
      </c>
      <c r="AB103" s="64">
        <v>128.19999999999999</v>
      </c>
      <c r="AC103" s="64">
        <v>129.19999999999999</v>
      </c>
      <c r="AD103" s="64">
        <v>130</v>
      </c>
      <c r="AE103" s="64">
        <v>129.19999999999999</v>
      </c>
      <c r="AF103" s="64">
        <v>130.30000000000001</v>
      </c>
      <c r="AG103" s="103"/>
      <c r="AH103" s="47">
        <f t="shared" si="35"/>
        <v>130.9</v>
      </c>
      <c r="AI103" s="48">
        <f t="shared" si="36"/>
        <v>125.4</v>
      </c>
    </row>
    <row r="104" spans="1:37" x14ac:dyDescent="0.25">
      <c r="A104" s="102" t="s">
        <v>112</v>
      </c>
      <c r="B104" s="64">
        <v>128.19999999999999</v>
      </c>
      <c r="C104" s="64">
        <v>128.19999999999999</v>
      </c>
      <c r="D104" s="64">
        <v>128.69999999999999</v>
      </c>
      <c r="E104" s="64">
        <v>129</v>
      </c>
      <c r="F104" s="64">
        <v>129</v>
      </c>
      <c r="G104" s="64">
        <v>129</v>
      </c>
      <c r="H104" s="64">
        <v>131.4</v>
      </c>
      <c r="I104" s="64">
        <v>131.4</v>
      </c>
      <c r="J104" s="64">
        <v>131.4</v>
      </c>
      <c r="K104" s="64">
        <v>131.4</v>
      </c>
      <c r="L104" s="64">
        <v>127.8</v>
      </c>
      <c r="M104" s="64">
        <v>127.8</v>
      </c>
      <c r="N104" s="64">
        <v>130.1</v>
      </c>
      <c r="O104" s="64">
        <v>130.1</v>
      </c>
      <c r="P104" s="64">
        <v>127.8</v>
      </c>
      <c r="Q104" s="64">
        <v>127.8</v>
      </c>
      <c r="R104" s="64">
        <v>127.8</v>
      </c>
      <c r="S104" s="64">
        <v>128.69999999999999</v>
      </c>
      <c r="T104" s="64">
        <v>128.69999999999999</v>
      </c>
      <c r="U104" s="64">
        <v>127.6</v>
      </c>
      <c r="V104" s="64">
        <v>126.4</v>
      </c>
      <c r="W104" s="64">
        <v>127.5</v>
      </c>
      <c r="X104" s="64">
        <v>129.80000000000001</v>
      </c>
      <c r="Y104" s="64">
        <v>128.9</v>
      </c>
      <c r="Z104" s="64">
        <v>127.2</v>
      </c>
      <c r="AA104" s="64">
        <v>126.2</v>
      </c>
      <c r="AB104" s="64">
        <v>129</v>
      </c>
      <c r="AC104" s="64">
        <v>128.5</v>
      </c>
      <c r="AD104" s="64">
        <v>128</v>
      </c>
      <c r="AE104" s="64">
        <v>128.69999999999999</v>
      </c>
      <c r="AF104" s="64">
        <v>127.5</v>
      </c>
      <c r="AG104" s="103"/>
      <c r="AH104" s="47">
        <f t="shared" si="35"/>
        <v>131.4</v>
      </c>
      <c r="AI104" s="48">
        <f t="shared" si="36"/>
        <v>126.2</v>
      </c>
    </row>
    <row r="105" spans="1:37" x14ac:dyDescent="0.25">
      <c r="A105" s="104" t="s">
        <v>113</v>
      </c>
      <c r="B105" s="64">
        <v>132.69999999999999</v>
      </c>
      <c r="C105" s="64">
        <v>132.69999999999999</v>
      </c>
      <c r="D105" s="64">
        <v>132.9</v>
      </c>
      <c r="E105" s="64">
        <v>132.5</v>
      </c>
      <c r="F105" s="64">
        <v>132.5</v>
      </c>
      <c r="G105" s="64">
        <v>132.5</v>
      </c>
      <c r="H105" s="64">
        <v>135.4</v>
      </c>
      <c r="I105" s="64">
        <v>135.4</v>
      </c>
      <c r="J105" s="64">
        <v>135.4</v>
      </c>
      <c r="K105" s="64">
        <v>135.4</v>
      </c>
      <c r="L105" s="64">
        <v>131.69999999999999</v>
      </c>
      <c r="M105" s="64">
        <v>131.69999999999999</v>
      </c>
      <c r="N105" s="64">
        <v>132.80000000000001</v>
      </c>
      <c r="O105" s="64">
        <v>132.80000000000001</v>
      </c>
      <c r="P105" s="105">
        <v>130.30000000000001</v>
      </c>
      <c r="Q105" s="105">
        <v>130.30000000000001</v>
      </c>
      <c r="R105" s="105">
        <v>130.30000000000001</v>
      </c>
      <c r="S105" s="64">
        <v>131.1</v>
      </c>
      <c r="T105" s="64">
        <v>131.1</v>
      </c>
      <c r="U105" s="64">
        <v>131.19999999999999</v>
      </c>
      <c r="V105" s="64">
        <v>131.30000000000001</v>
      </c>
      <c r="W105" s="64">
        <v>132.30000000000001</v>
      </c>
      <c r="X105" s="64">
        <v>132.6</v>
      </c>
      <c r="Y105" s="64">
        <v>130.30000000000001</v>
      </c>
      <c r="Z105" s="64">
        <v>130.6</v>
      </c>
      <c r="AA105" s="64">
        <v>131.6</v>
      </c>
      <c r="AB105" s="64">
        <v>131.5</v>
      </c>
      <c r="AC105" s="64">
        <v>131.6</v>
      </c>
      <c r="AD105" s="64">
        <v>131</v>
      </c>
      <c r="AE105" s="64">
        <v>132.30000000000001</v>
      </c>
      <c r="AF105" s="64">
        <v>131.5</v>
      </c>
      <c r="AG105" s="103"/>
      <c r="AH105" s="47">
        <f t="shared" si="35"/>
        <v>135.4</v>
      </c>
      <c r="AI105" s="48">
        <f t="shared" si="36"/>
        <v>130.30000000000001</v>
      </c>
    </row>
    <row r="106" spans="1:37" x14ac:dyDescent="0.25">
      <c r="A106" s="104" t="s">
        <v>114</v>
      </c>
      <c r="B106" s="105">
        <v>134.1</v>
      </c>
      <c r="C106" s="105">
        <v>134.1</v>
      </c>
      <c r="D106" s="105">
        <v>133.6</v>
      </c>
      <c r="E106" s="105">
        <v>132.30000000000001</v>
      </c>
      <c r="F106" s="105">
        <v>132.30000000000001</v>
      </c>
      <c r="G106" s="105">
        <v>132.30000000000001</v>
      </c>
      <c r="H106" s="105">
        <v>132.4</v>
      </c>
      <c r="I106" s="105">
        <v>132.4</v>
      </c>
      <c r="J106" s="105">
        <v>132.4</v>
      </c>
      <c r="K106" s="105">
        <v>132.4</v>
      </c>
      <c r="L106" s="105">
        <v>134.6</v>
      </c>
      <c r="M106" s="105">
        <v>134.6</v>
      </c>
      <c r="N106" s="105">
        <v>132.69999999999999</v>
      </c>
      <c r="O106" s="105">
        <v>132.69999999999999</v>
      </c>
      <c r="P106" s="64">
        <v>133.9</v>
      </c>
      <c r="Q106" s="64">
        <v>133.9</v>
      </c>
      <c r="R106" s="64">
        <v>133.9</v>
      </c>
      <c r="S106" s="105">
        <v>132.5</v>
      </c>
      <c r="T106" s="105">
        <v>131.5</v>
      </c>
      <c r="U106" s="105">
        <v>135.30000000000001</v>
      </c>
      <c r="V106" s="105">
        <v>135</v>
      </c>
      <c r="W106" s="105">
        <v>133.1</v>
      </c>
      <c r="X106" s="105">
        <v>133.6</v>
      </c>
      <c r="Y106" s="105">
        <v>131.19999999999999</v>
      </c>
      <c r="Z106" s="105">
        <v>133</v>
      </c>
      <c r="AA106" s="105">
        <v>135</v>
      </c>
      <c r="AB106" s="105">
        <v>132.4</v>
      </c>
      <c r="AC106" s="105">
        <v>133.4</v>
      </c>
      <c r="AD106" s="105">
        <v>132.30000000000001</v>
      </c>
      <c r="AE106" s="105">
        <v>131.5</v>
      </c>
      <c r="AF106" s="105">
        <v>131.69999999999999</v>
      </c>
      <c r="AG106" s="106"/>
      <c r="AH106" s="47">
        <f t="shared" si="35"/>
        <v>135.30000000000001</v>
      </c>
      <c r="AI106" s="48">
        <f t="shared" si="36"/>
        <v>131.19999999999999</v>
      </c>
    </row>
    <row r="107" spans="1:37" x14ac:dyDescent="0.25">
      <c r="A107" s="102" t="s">
        <v>115</v>
      </c>
      <c r="B107" s="64">
        <v>126</v>
      </c>
      <c r="C107" s="64">
        <v>126</v>
      </c>
      <c r="D107" s="64">
        <v>123.3</v>
      </c>
      <c r="E107" s="64">
        <v>132.30000000000001</v>
      </c>
      <c r="F107" s="64">
        <v>132.30000000000001</v>
      </c>
      <c r="G107" s="64">
        <v>132.30000000000001</v>
      </c>
      <c r="H107" s="64">
        <v>130.6</v>
      </c>
      <c r="I107" s="64">
        <v>130.6</v>
      </c>
      <c r="J107" s="64">
        <v>130.6</v>
      </c>
      <c r="K107" s="64">
        <v>130.6</v>
      </c>
      <c r="L107" s="64">
        <v>131.69999999999999</v>
      </c>
      <c r="M107" s="64">
        <v>131.69999999999999</v>
      </c>
      <c r="N107" s="64">
        <v>128</v>
      </c>
      <c r="O107" s="64">
        <v>128</v>
      </c>
      <c r="P107" s="64">
        <v>128.4</v>
      </c>
      <c r="Q107" s="64">
        <v>128.4</v>
      </c>
      <c r="R107" s="64">
        <v>128.4</v>
      </c>
      <c r="S107" s="64">
        <v>136.9</v>
      </c>
      <c r="T107" s="64">
        <v>133.4</v>
      </c>
      <c r="U107" s="64">
        <v>141.1</v>
      </c>
      <c r="V107" s="64">
        <v>138.6</v>
      </c>
      <c r="W107" s="64">
        <v>136.4</v>
      </c>
      <c r="X107" s="64">
        <v>136.69999999999999</v>
      </c>
      <c r="Y107" s="64">
        <v>135.19999999999999</v>
      </c>
      <c r="Z107" s="64">
        <v>127.2</v>
      </c>
      <c r="AA107" s="64">
        <v>130</v>
      </c>
      <c r="AB107" s="64">
        <v>127.4</v>
      </c>
      <c r="AC107" s="64">
        <v>127.1</v>
      </c>
      <c r="AD107" s="64">
        <v>125.5</v>
      </c>
      <c r="AE107" s="64">
        <v>132</v>
      </c>
      <c r="AF107" s="64">
        <v>132.6</v>
      </c>
      <c r="AG107" s="103"/>
      <c r="AH107" s="47">
        <f t="shared" si="35"/>
        <v>141.1</v>
      </c>
      <c r="AI107" s="48">
        <f t="shared" si="36"/>
        <v>123.3</v>
      </c>
    </row>
    <row r="108" spans="1:37" ht="15.75" thickBot="1" x14ac:dyDescent="0.3">
      <c r="A108" s="102" t="s">
        <v>116</v>
      </c>
      <c r="B108" s="91">
        <v>65.3</v>
      </c>
      <c r="C108" s="91">
        <v>65.3</v>
      </c>
      <c r="D108" s="91">
        <v>65.400000000000006</v>
      </c>
      <c r="E108" s="91">
        <v>64.900000000000006</v>
      </c>
      <c r="F108" s="91">
        <v>64.900000000000006</v>
      </c>
      <c r="G108" s="91">
        <v>64.900000000000006</v>
      </c>
      <c r="H108" s="91">
        <v>64.7</v>
      </c>
      <c r="I108" s="91">
        <v>64.7</v>
      </c>
      <c r="J108" s="91">
        <v>64.7</v>
      </c>
      <c r="K108" s="91">
        <v>64.7</v>
      </c>
      <c r="L108" s="91">
        <v>63.1</v>
      </c>
      <c r="M108" s="91">
        <v>63.1</v>
      </c>
      <c r="N108" s="91">
        <v>64.7</v>
      </c>
      <c r="O108" s="91">
        <v>64.7</v>
      </c>
      <c r="P108" s="91">
        <v>64.7</v>
      </c>
      <c r="Q108" s="91">
        <v>64.7</v>
      </c>
      <c r="R108" s="91">
        <v>64.7</v>
      </c>
      <c r="S108" s="91">
        <v>65.3</v>
      </c>
      <c r="T108" s="91">
        <v>65</v>
      </c>
      <c r="U108" s="91">
        <v>65.400000000000006</v>
      </c>
      <c r="V108" s="91">
        <v>65.8</v>
      </c>
      <c r="W108" s="91">
        <v>65.599999999999994</v>
      </c>
      <c r="X108" s="91">
        <v>64.8</v>
      </c>
      <c r="Y108" s="91">
        <v>64.3</v>
      </c>
      <c r="Z108" s="91">
        <v>63.7</v>
      </c>
      <c r="AA108" s="91">
        <v>63.6</v>
      </c>
      <c r="AB108" s="91">
        <v>64.3</v>
      </c>
      <c r="AC108" s="91">
        <v>65</v>
      </c>
      <c r="AD108" s="91">
        <v>65.5</v>
      </c>
      <c r="AE108" s="91">
        <v>65.2</v>
      </c>
      <c r="AF108" s="91">
        <v>65.7</v>
      </c>
      <c r="AG108" s="107"/>
      <c r="AH108" s="47">
        <f t="shared" si="35"/>
        <v>65.8</v>
      </c>
      <c r="AI108" s="48">
        <f t="shared" si="36"/>
        <v>63.1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35"/>
        <v>0</v>
      </c>
      <c r="AI109" s="48">
        <f t="shared" si="36"/>
        <v>0</v>
      </c>
    </row>
    <row r="110" spans="1:37" ht="15.75" thickBot="1" x14ac:dyDescent="0.3">
      <c r="A110" s="109" t="s">
        <v>118</v>
      </c>
      <c r="B110" s="110">
        <f t="shared" ref="B110:N110" si="77">SUM(B20,B26,B29:B30,B58,B60:B61,B63,B65,B111:B115,B138,B144,B150,B159,B161,B173,B180,B183:B184,B191,B193,B195,B199:B201,B203:B205,B210,B216:B217,B219:B221,B229,B234)</f>
        <v>31.099999999999994</v>
      </c>
      <c r="C110" s="110">
        <f t="shared" si="77"/>
        <v>32.039999999999992</v>
      </c>
      <c r="D110" s="110">
        <f t="shared" si="77"/>
        <v>17.739999999999998</v>
      </c>
      <c r="E110" s="110">
        <f t="shared" ref="E110:F110" si="78">SUM(E20,E26,E29:E30,E58,E60:E61,E63,E65,E111:E115,E138,E144,E150,E159,E161,E173,E180,E183:E184,E191,E193,E195,E199:E201,E203:E205,E210,E216:E217,E219:E221,E229,E234)</f>
        <v>26.44</v>
      </c>
      <c r="F110" s="110">
        <f t="shared" si="78"/>
        <v>18.440000000000019</v>
      </c>
      <c r="G110" s="110">
        <f t="shared" ref="G110:H110" si="79">SUM(G20,G26,G29:G30,G58,G60:G61,G63,G65,G111:G115,G138,G144,G150,G159,G161,G173,G180,G183:G184,G191,G193,G195,G199:G201,G203:G205,G210,G216:G217,G219:G221,G229,G234)</f>
        <v>35.539999999999978</v>
      </c>
      <c r="H110" s="110">
        <f t="shared" si="79"/>
        <v>38.839999999999989</v>
      </c>
      <c r="I110" s="110">
        <f t="shared" ref="I110" si="80">SUM(I20,I26,I29:I30,I58,I60:I61,I63,I65,I111:I115,I138,I144,I150,I159,I161,I173,I180,I183:I184,I191,I193,I195,I199:I201,I203:I205,I210,I216:I217,I219:I221,I229,I234)</f>
        <v>38.839999999999989</v>
      </c>
      <c r="J110" s="110">
        <f t="shared" si="77"/>
        <v>38.839999999999989</v>
      </c>
      <c r="K110" s="110">
        <f t="shared" si="77"/>
        <v>43.839999999999989</v>
      </c>
      <c r="L110" s="110">
        <f t="shared" si="77"/>
        <v>121.84</v>
      </c>
      <c r="M110" s="110">
        <f t="shared" ref="M110" si="81">SUM(M20,M26,M29:M30,M58,M60:M61,M63,M65,M111:M115,M138,M144,M150,M159,M161,M173,M180,M183:M184,M191,M193,M195,M199:M201,M203:M205,M210,M216:M217,M219:M221,M229,M234)</f>
        <v>121.84</v>
      </c>
      <c r="N110" s="110">
        <f t="shared" si="77"/>
        <v>142.13999999999999</v>
      </c>
      <c r="O110" s="110">
        <f t="shared" ref="O110:P110" si="82">SUM(O20,O26,O29:O30,O58,O60:O61,O63,O65,O111:O115,O138,O144,O150,O159,O161,O173,O180,O183:O184,O191,O193,O195,O199:O201,O203:O205,O210,O216:O217,O219:O221,O229,O234)</f>
        <v>137.03999999999996</v>
      </c>
      <c r="P110" s="110">
        <f t="shared" si="82"/>
        <v>127.64</v>
      </c>
      <c r="Q110" s="110">
        <f t="shared" ref="Q110:R110" si="83">SUM(Q20,Q26,Q29:Q30,Q58,Q60:Q61,Q63,Q65,Q111:Q115,Q138,Q144,Q150,Q159,Q161,Q173,Q180,Q183:Q184,Q191,Q193,Q195,Q199:Q201,Q203:Q205,Q210,Q216:Q217,Q219:Q221,Q229,Q234)</f>
        <v>126.7</v>
      </c>
      <c r="R110" s="110">
        <f t="shared" si="83"/>
        <v>100.39999999999999</v>
      </c>
      <c r="S110" s="110">
        <f t="shared" ref="S110:AF110" si="84">SUM(S20,S26,S29:S30,S58,S60:S61,S63,S65,S111:S115,S138,S144,S150,S159,S161,S173,S180,S183:S184,S191,S193,S195,S199:S201,S203:S205,S210,S216:S217,S219:S221,S229,S234)</f>
        <v>96.2</v>
      </c>
      <c r="T110" s="110">
        <f t="shared" si="84"/>
        <v>97.000000000000014</v>
      </c>
      <c r="U110" s="110">
        <f t="shared" si="84"/>
        <v>94.1</v>
      </c>
      <c r="V110" s="110">
        <f t="shared" si="84"/>
        <v>97.7</v>
      </c>
      <c r="W110" s="110">
        <f t="shared" si="84"/>
        <v>98.299999999999983</v>
      </c>
      <c r="X110" s="110">
        <f t="shared" si="84"/>
        <v>133.20000000000002</v>
      </c>
      <c r="Y110" s="110">
        <f t="shared" si="84"/>
        <v>148.5</v>
      </c>
      <c r="Z110" s="110">
        <f t="shared" si="84"/>
        <v>183.7</v>
      </c>
      <c r="AA110" s="110">
        <f t="shared" si="84"/>
        <v>182.20000000000005</v>
      </c>
      <c r="AB110" s="110">
        <f t="shared" si="84"/>
        <v>139.90000000000003</v>
      </c>
      <c r="AC110" s="110">
        <f t="shared" si="84"/>
        <v>130.60000000000005</v>
      </c>
      <c r="AD110" s="110"/>
      <c r="AE110" s="110">
        <f t="shared" si="84"/>
        <v>45.800000000000011</v>
      </c>
      <c r="AF110" s="110">
        <f t="shared" si="84"/>
        <v>26.599999999999987</v>
      </c>
      <c r="AG110" s="111"/>
      <c r="AH110" s="47">
        <f t="shared" si="35"/>
        <v>183.7</v>
      </c>
      <c r="AI110" s="48">
        <f t="shared" si="36"/>
        <v>17.739999999999998</v>
      </c>
    </row>
    <row r="111" spans="1:37" x14ac:dyDescent="0.25">
      <c r="A111" s="99" t="s">
        <v>119</v>
      </c>
      <c r="B111" s="112">
        <v>23.9</v>
      </c>
      <c r="C111" s="112">
        <v>23.9</v>
      </c>
      <c r="D111" s="112">
        <v>21.1</v>
      </c>
      <c r="E111" s="112">
        <v>25.5</v>
      </c>
      <c r="F111" s="112">
        <v>24.5</v>
      </c>
      <c r="G111" s="112">
        <v>29.1</v>
      </c>
      <c r="H111" s="112">
        <v>29.5</v>
      </c>
      <c r="I111" s="112">
        <v>29.5</v>
      </c>
      <c r="J111" s="112">
        <v>29.5</v>
      </c>
      <c r="K111" s="112">
        <v>29.5</v>
      </c>
      <c r="L111" s="112">
        <v>50.4</v>
      </c>
      <c r="M111" s="112">
        <v>50.4</v>
      </c>
      <c r="N111" s="112">
        <v>34.9</v>
      </c>
      <c r="O111" s="112">
        <v>40.799999999999997</v>
      </c>
      <c r="P111" s="112">
        <v>40.799999999999997</v>
      </c>
      <c r="Q111" s="112">
        <v>40.799999999999997</v>
      </c>
      <c r="R111" s="112">
        <v>34.1</v>
      </c>
      <c r="S111" s="112">
        <v>33.4</v>
      </c>
      <c r="T111" s="112">
        <v>31.1</v>
      </c>
      <c r="U111" s="112">
        <v>34.1</v>
      </c>
      <c r="V111" s="112">
        <v>29.6</v>
      </c>
      <c r="W111" s="112">
        <v>26.2</v>
      </c>
      <c r="X111" s="112">
        <v>30</v>
      </c>
      <c r="Y111" s="112">
        <v>39.200000000000003</v>
      </c>
      <c r="Z111" s="112">
        <v>39.5</v>
      </c>
      <c r="AA111" s="112">
        <v>45.2</v>
      </c>
      <c r="AB111" s="112">
        <v>36.200000000000003</v>
      </c>
      <c r="AC111" s="112">
        <v>32.700000000000003</v>
      </c>
      <c r="AD111" s="112">
        <v>32.700000000000003</v>
      </c>
      <c r="AE111" s="112">
        <v>33.799999999999997</v>
      </c>
      <c r="AF111" s="112">
        <v>16</v>
      </c>
      <c r="AG111" s="113">
        <v>75</v>
      </c>
      <c r="AH111" s="47">
        <f t="shared" si="35"/>
        <v>50.4</v>
      </c>
      <c r="AI111" s="48">
        <f t="shared" si="36"/>
        <v>16</v>
      </c>
    </row>
    <row r="112" spans="1:37" x14ac:dyDescent="0.25">
      <c r="A112" s="102" t="s">
        <v>120</v>
      </c>
      <c r="B112" s="114">
        <v>39.1</v>
      </c>
      <c r="C112" s="114">
        <v>39.1</v>
      </c>
      <c r="D112" s="114">
        <v>36.9</v>
      </c>
      <c r="E112" s="114">
        <v>39.9</v>
      </c>
      <c r="F112" s="114">
        <v>38.700000000000003</v>
      </c>
      <c r="G112" s="114">
        <v>45.6</v>
      </c>
      <c r="H112" s="114">
        <v>44.6</v>
      </c>
      <c r="I112" s="114">
        <v>44.6</v>
      </c>
      <c r="J112" s="114">
        <v>44.6</v>
      </c>
      <c r="K112" s="114">
        <v>44.6</v>
      </c>
      <c r="L112" s="114">
        <v>73</v>
      </c>
      <c r="M112" s="114">
        <v>73</v>
      </c>
      <c r="N112" s="114">
        <v>49.2</v>
      </c>
      <c r="O112" s="114">
        <v>55.5</v>
      </c>
      <c r="P112" s="114">
        <v>55.5</v>
      </c>
      <c r="Q112" s="114">
        <v>55.5</v>
      </c>
      <c r="R112" s="114">
        <v>45.4</v>
      </c>
      <c r="S112" s="114">
        <v>44.9</v>
      </c>
      <c r="T112" s="114">
        <v>41.2</v>
      </c>
      <c r="U112" s="114">
        <v>47.1</v>
      </c>
      <c r="V112" s="114">
        <v>40</v>
      </c>
      <c r="W112" s="114">
        <v>34.299999999999997</v>
      </c>
      <c r="X112" s="114">
        <v>38.299999999999997</v>
      </c>
      <c r="Y112" s="114">
        <v>51.1</v>
      </c>
      <c r="Z112" s="114">
        <v>52.8</v>
      </c>
      <c r="AA112" s="114">
        <v>63.1</v>
      </c>
      <c r="AB112" s="114">
        <v>48.5</v>
      </c>
      <c r="AC112" s="114">
        <v>42.9</v>
      </c>
      <c r="AD112" s="114">
        <v>43.6</v>
      </c>
      <c r="AE112" s="114">
        <v>45.5</v>
      </c>
      <c r="AF112" s="114">
        <v>26.5</v>
      </c>
      <c r="AG112" s="113">
        <v>240</v>
      </c>
      <c r="AH112" s="47">
        <f t="shared" si="35"/>
        <v>73</v>
      </c>
      <c r="AI112" s="48">
        <f t="shared" si="36"/>
        <v>26.5</v>
      </c>
    </row>
    <row r="113" spans="1:37" x14ac:dyDescent="0.25">
      <c r="A113" s="102" t="s">
        <v>121</v>
      </c>
      <c r="B113" s="114">
        <v>-118</v>
      </c>
      <c r="C113" s="114">
        <v>-118</v>
      </c>
      <c r="D113" s="114">
        <v>-125</v>
      </c>
      <c r="E113" s="114">
        <v>-115</v>
      </c>
      <c r="F113" s="114">
        <v>-119.6</v>
      </c>
      <c r="G113" s="114">
        <v>-112</v>
      </c>
      <c r="H113" s="114">
        <v>-112</v>
      </c>
      <c r="I113" s="114">
        <v>-112</v>
      </c>
      <c r="J113" s="114">
        <v>-112</v>
      </c>
      <c r="K113" s="114">
        <v>-112</v>
      </c>
      <c r="L113" s="114">
        <v>-98</v>
      </c>
      <c r="M113" s="114">
        <v>-98</v>
      </c>
      <c r="N113" s="114">
        <f>-50.5-54.9</f>
        <v>-105.4</v>
      </c>
      <c r="O113" s="114">
        <v>-102</v>
      </c>
      <c r="P113" s="114">
        <v>-102</v>
      </c>
      <c r="Q113" s="114">
        <v>-102</v>
      </c>
      <c r="R113" s="114">
        <v>-112</v>
      </c>
      <c r="S113" s="114">
        <v>-120</v>
      </c>
      <c r="T113" s="114">
        <f>-53.1-57.7</f>
        <v>-110.80000000000001</v>
      </c>
      <c r="U113" s="114">
        <v>-120</v>
      </c>
      <c r="V113" s="114">
        <v>-104</v>
      </c>
      <c r="W113" s="114">
        <v>-97</v>
      </c>
      <c r="X113" s="114">
        <v>-72</v>
      </c>
      <c r="Y113" s="114">
        <v>-80</v>
      </c>
      <c r="Z113" s="114">
        <v>-75</v>
      </c>
      <c r="AA113" s="114">
        <v>-100</v>
      </c>
      <c r="AB113" s="114">
        <f>-51.2-55.4</f>
        <v>-106.6</v>
      </c>
      <c r="AC113" s="114">
        <f>-47.9-51.9</f>
        <v>-99.8</v>
      </c>
      <c r="AD113" s="114">
        <f>-52.4-56.8</f>
        <v>-109.19999999999999</v>
      </c>
      <c r="AE113" s="114">
        <f>-54-58.8</f>
        <v>-112.8</v>
      </c>
      <c r="AF113" s="114">
        <f>-64-68.8</f>
        <v>-132.80000000000001</v>
      </c>
      <c r="AG113" s="113">
        <v>240</v>
      </c>
      <c r="AH113" s="47">
        <f t="shared" si="35"/>
        <v>-72</v>
      </c>
      <c r="AI113" s="48">
        <f t="shared" si="36"/>
        <v>-132.80000000000001</v>
      </c>
    </row>
    <row r="114" spans="1:37" x14ac:dyDescent="0.25">
      <c r="A114" s="102" t="s">
        <v>122</v>
      </c>
      <c r="B114" s="114">
        <v>-10.9</v>
      </c>
      <c r="C114" s="114">
        <v>-10.9</v>
      </c>
      <c r="D114" s="114">
        <v>-8.1999999999999993</v>
      </c>
      <c r="E114" s="114">
        <v>-8.9</v>
      </c>
      <c r="F114" s="114">
        <v>-10.199999999999999</v>
      </c>
      <c r="G114" s="114">
        <v>-9.1999999999999993</v>
      </c>
      <c r="H114" s="114">
        <v>-6.9</v>
      </c>
      <c r="I114" s="114">
        <v>-6.9</v>
      </c>
      <c r="J114" s="114">
        <v>-6.9</v>
      </c>
      <c r="K114" s="114">
        <v>-6.9</v>
      </c>
      <c r="L114" s="114">
        <v>-11.1</v>
      </c>
      <c r="M114" s="114">
        <v>-11.1</v>
      </c>
      <c r="N114" s="114">
        <v>4.4000000000000004</v>
      </c>
      <c r="O114" s="114">
        <v>1.2</v>
      </c>
      <c r="P114" s="114">
        <v>1.2</v>
      </c>
      <c r="Q114" s="114">
        <v>1.2</v>
      </c>
      <c r="R114" s="114">
        <v>3.2</v>
      </c>
      <c r="S114" s="114">
        <v>-0.8</v>
      </c>
      <c r="T114" s="114">
        <v>-0.4</v>
      </c>
      <c r="U114" s="114">
        <v>0</v>
      </c>
      <c r="V114" s="114">
        <v>0</v>
      </c>
      <c r="W114" s="114">
        <v>4</v>
      </c>
      <c r="X114" s="114">
        <v>6</v>
      </c>
      <c r="Y114" s="114">
        <v>9.4</v>
      </c>
      <c r="Z114" s="114">
        <v>10.1</v>
      </c>
      <c r="AA114" s="114">
        <v>8.1999999999999993</v>
      </c>
      <c r="AB114" s="114">
        <v>4.9000000000000004</v>
      </c>
      <c r="AC114" s="114">
        <v>4</v>
      </c>
      <c r="AD114" s="114">
        <v>2.1</v>
      </c>
      <c r="AE114" s="114">
        <v>-3.2</v>
      </c>
      <c r="AF114" s="114">
        <v>-7</v>
      </c>
      <c r="AG114" s="113">
        <v>60</v>
      </c>
      <c r="AH114" s="47">
        <f t="shared" si="35"/>
        <v>10.1</v>
      </c>
      <c r="AI114" s="48">
        <f t="shared" si="36"/>
        <v>-11.1</v>
      </c>
    </row>
    <row r="115" spans="1:37" x14ac:dyDescent="0.25">
      <c r="A115" s="115" t="s">
        <v>123</v>
      </c>
      <c r="B115" s="116">
        <v>8.9</v>
      </c>
      <c r="C115" s="116">
        <v>8.9</v>
      </c>
      <c r="D115" s="116">
        <v>8.9</v>
      </c>
      <c r="E115" s="116">
        <v>5.9</v>
      </c>
      <c r="F115" s="116">
        <v>6</v>
      </c>
      <c r="G115" s="116">
        <v>3</v>
      </c>
      <c r="H115" s="116">
        <v>4.5999999999999996</v>
      </c>
      <c r="I115" s="116">
        <v>4.5999999999999996</v>
      </c>
      <c r="J115" s="116">
        <v>4.5999999999999996</v>
      </c>
      <c r="K115" s="116">
        <v>4.5999999999999996</v>
      </c>
      <c r="L115" s="116">
        <v>13.5</v>
      </c>
      <c r="M115" s="116">
        <v>13.5</v>
      </c>
      <c r="N115" s="116">
        <v>13</v>
      </c>
      <c r="O115" s="114">
        <v>1.5</v>
      </c>
      <c r="P115" s="114">
        <v>1.5</v>
      </c>
      <c r="Q115" s="114">
        <v>1.5</v>
      </c>
      <c r="R115" s="114">
        <v>0</v>
      </c>
      <c r="S115" s="116">
        <v>1.6</v>
      </c>
      <c r="T115" s="116">
        <v>1.8</v>
      </c>
      <c r="U115" s="116">
        <v>1.9</v>
      </c>
      <c r="V115" s="116">
        <v>1.7</v>
      </c>
      <c r="W115" s="116">
        <v>1.6</v>
      </c>
      <c r="X115" s="116">
        <v>2.1</v>
      </c>
      <c r="Y115" s="116">
        <v>0</v>
      </c>
      <c r="Z115" s="116">
        <v>12.4</v>
      </c>
      <c r="AA115" s="116">
        <v>12</v>
      </c>
      <c r="AB115" s="116">
        <v>12.2</v>
      </c>
      <c r="AC115" s="116">
        <v>12.1</v>
      </c>
      <c r="AD115" s="116">
        <v>0</v>
      </c>
      <c r="AE115" s="116">
        <v>1.5</v>
      </c>
      <c r="AF115" s="116">
        <v>1.4</v>
      </c>
      <c r="AG115" s="117">
        <v>120</v>
      </c>
      <c r="AH115" s="47">
        <f t="shared" si="35"/>
        <v>13.5</v>
      </c>
      <c r="AI115" s="48">
        <f t="shared" si="36"/>
        <v>0</v>
      </c>
    </row>
    <row r="116" spans="1:37" x14ac:dyDescent="0.25">
      <c r="A116" s="115" t="s">
        <v>124</v>
      </c>
      <c r="B116" s="116">
        <v>52.1</v>
      </c>
      <c r="C116" s="116">
        <v>52.1</v>
      </c>
      <c r="D116" s="116">
        <v>57.8</v>
      </c>
      <c r="E116" s="116">
        <v>53.4</v>
      </c>
      <c r="F116" s="116">
        <v>50</v>
      </c>
      <c r="G116" s="116">
        <v>43</v>
      </c>
      <c r="H116" s="116">
        <v>40</v>
      </c>
      <c r="I116" s="116">
        <v>55.5</v>
      </c>
      <c r="J116" s="116">
        <v>55.5</v>
      </c>
      <c r="K116" s="116">
        <v>55.5</v>
      </c>
      <c r="L116" s="116">
        <v>66.7</v>
      </c>
      <c r="M116" s="116">
        <v>66.7</v>
      </c>
      <c r="N116" s="116">
        <v>71</v>
      </c>
      <c r="O116" s="116">
        <v>20</v>
      </c>
      <c r="P116" s="116">
        <v>20</v>
      </c>
      <c r="Q116" s="116">
        <v>20</v>
      </c>
      <c r="R116" s="116">
        <v>11</v>
      </c>
      <c r="S116" s="116">
        <v>6.4</v>
      </c>
      <c r="T116" s="116">
        <v>19.899999999999999</v>
      </c>
      <c r="U116" s="116">
        <v>14</v>
      </c>
      <c r="V116" s="116">
        <v>8</v>
      </c>
      <c r="W116" s="116">
        <v>21</v>
      </c>
      <c r="X116" s="116">
        <v>26</v>
      </c>
      <c r="Y116" s="116">
        <v>13</v>
      </c>
      <c r="Z116" s="116">
        <v>31</v>
      </c>
      <c r="AA116" s="116">
        <v>11</v>
      </c>
      <c r="AB116" s="116">
        <v>10.1</v>
      </c>
      <c r="AC116" s="116">
        <v>14.2</v>
      </c>
      <c r="AD116" s="116">
        <v>13.2</v>
      </c>
      <c r="AE116" s="116">
        <v>5.9</v>
      </c>
      <c r="AF116" s="116">
        <v>28.6</v>
      </c>
      <c r="AG116" s="117"/>
      <c r="AH116" s="47">
        <f t="shared" si="35"/>
        <v>71</v>
      </c>
      <c r="AI116" s="48">
        <f t="shared" si="36"/>
        <v>5.9</v>
      </c>
    </row>
    <row r="117" spans="1:37" x14ac:dyDescent="0.25">
      <c r="A117" s="115" t="s">
        <v>125</v>
      </c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>
        <v>-2</v>
      </c>
      <c r="X117" s="116">
        <v>4</v>
      </c>
      <c r="Y117" s="116">
        <v>-3</v>
      </c>
      <c r="Z117" s="116">
        <v>-0.2</v>
      </c>
      <c r="AA117" s="116">
        <v>4.4000000000000004</v>
      </c>
      <c r="AB117" s="116"/>
      <c r="AC117" s="116"/>
      <c r="AD117" s="116"/>
      <c r="AE117" s="116"/>
      <c r="AF117" s="116"/>
      <c r="AG117" s="118"/>
      <c r="AH117" s="47">
        <f t="shared" si="35"/>
        <v>4.4000000000000004</v>
      </c>
      <c r="AI117" s="48">
        <f t="shared" si="36"/>
        <v>-3</v>
      </c>
    </row>
    <row r="118" spans="1:37" x14ac:dyDescent="0.25">
      <c r="A118" s="119" t="s">
        <v>126</v>
      </c>
      <c r="B118" s="105">
        <v>44.7</v>
      </c>
      <c r="C118" s="105">
        <v>44.7</v>
      </c>
      <c r="D118" s="105">
        <v>44.5</v>
      </c>
      <c r="E118" s="105">
        <v>49</v>
      </c>
      <c r="F118" s="105">
        <v>51.3</v>
      </c>
      <c r="G118" s="105">
        <v>54.6</v>
      </c>
      <c r="H118" s="105">
        <v>56.5</v>
      </c>
      <c r="I118" s="105">
        <v>56.5</v>
      </c>
      <c r="J118" s="105">
        <v>56.5</v>
      </c>
      <c r="K118" s="105">
        <v>56.5</v>
      </c>
      <c r="L118" s="105">
        <v>55.4</v>
      </c>
      <c r="M118" s="105">
        <v>55.4</v>
      </c>
      <c r="N118" s="105">
        <v>55.1</v>
      </c>
      <c r="O118" s="116">
        <v>54.1</v>
      </c>
      <c r="P118" s="116">
        <v>54.1</v>
      </c>
      <c r="Q118" s="116">
        <v>54.1</v>
      </c>
      <c r="R118" s="116">
        <v>45.5</v>
      </c>
      <c r="S118" s="105">
        <v>32.299999999999997</v>
      </c>
      <c r="T118" s="105">
        <v>35.1</v>
      </c>
      <c r="U118" s="105">
        <v>42.1</v>
      </c>
      <c r="V118" s="105">
        <v>41</v>
      </c>
      <c r="W118" s="105">
        <v>43</v>
      </c>
      <c r="X118" s="105">
        <v>38</v>
      </c>
      <c r="Y118" s="105">
        <v>31</v>
      </c>
      <c r="Z118" s="105">
        <v>21</v>
      </c>
      <c r="AA118" s="105">
        <v>18</v>
      </c>
      <c r="AB118" s="105">
        <v>26.8</v>
      </c>
      <c r="AC118" s="105">
        <v>31.4</v>
      </c>
      <c r="AD118" s="105">
        <v>32.299999999999997</v>
      </c>
      <c r="AE118" s="105">
        <v>32.6</v>
      </c>
      <c r="AF118" s="105">
        <v>44.8</v>
      </c>
      <c r="AG118" s="118"/>
      <c r="AH118" s="47">
        <f t="shared" si="35"/>
        <v>56.5</v>
      </c>
      <c r="AI118" s="48">
        <f t="shared" si="36"/>
        <v>18</v>
      </c>
    </row>
    <row r="119" spans="1:37" x14ac:dyDescent="0.25">
      <c r="A119" s="120" t="s">
        <v>127</v>
      </c>
      <c r="B119" s="105">
        <v>85.7</v>
      </c>
      <c r="C119" s="105">
        <v>85.7</v>
      </c>
      <c r="D119" s="105">
        <v>86</v>
      </c>
      <c r="E119" s="105">
        <v>88.8</v>
      </c>
      <c r="F119" s="105">
        <v>88.5</v>
      </c>
      <c r="G119" s="105">
        <v>92</v>
      </c>
      <c r="H119" s="105">
        <v>95</v>
      </c>
      <c r="I119" s="105">
        <v>95</v>
      </c>
      <c r="J119" s="105">
        <v>95</v>
      </c>
      <c r="K119" s="105">
        <v>95</v>
      </c>
      <c r="L119" s="105">
        <v>88.5</v>
      </c>
      <c r="M119" s="105">
        <v>88.5</v>
      </c>
      <c r="N119" s="105">
        <v>79.8</v>
      </c>
      <c r="O119" s="105">
        <v>86.5</v>
      </c>
      <c r="P119" s="105">
        <v>86.5</v>
      </c>
      <c r="Q119" s="105">
        <v>86.5</v>
      </c>
      <c r="R119" s="105">
        <v>94</v>
      </c>
      <c r="S119" s="105">
        <v>94.1</v>
      </c>
      <c r="T119" s="105">
        <v>86</v>
      </c>
      <c r="U119" s="105">
        <v>97</v>
      </c>
      <c r="V119" s="105">
        <v>83</v>
      </c>
      <c r="W119" s="105">
        <v>71.2</v>
      </c>
      <c r="X119" s="105">
        <v>58</v>
      </c>
      <c r="Y119" s="105">
        <v>68</v>
      </c>
      <c r="Z119" s="105">
        <v>65.7</v>
      </c>
      <c r="AA119" s="105">
        <v>87</v>
      </c>
      <c r="AB119" s="105">
        <v>80.3</v>
      </c>
      <c r="AC119" s="105">
        <v>86.2</v>
      </c>
      <c r="AD119" s="105">
        <v>85</v>
      </c>
      <c r="AE119" s="105">
        <v>96.2</v>
      </c>
      <c r="AF119" s="105">
        <v>93.4</v>
      </c>
      <c r="AG119" s="118"/>
      <c r="AH119" s="47">
        <f t="shared" si="35"/>
        <v>97</v>
      </c>
      <c r="AI119" s="48">
        <f t="shared" si="36"/>
        <v>58</v>
      </c>
    </row>
    <row r="120" spans="1:37" ht="15.75" thickBot="1" x14ac:dyDescent="0.3">
      <c r="A120" s="119" t="s">
        <v>128</v>
      </c>
      <c r="B120" s="105">
        <v>20.7</v>
      </c>
      <c r="C120" s="105">
        <v>20.7</v>
      </c>
      <c r="D120" s="105">
        <v>20.2</v>
      </c>
      <c r="E120" s="105">
        <v>25</v>
      </c>
      <c r="F120" s="105">
        <v>13</v>
      </c>
      <c r="G120" s="105">
        <v>4</v>
      </c>
      <c r="H120" s="105">
        <v>-4.0999999999999996</v>
      </c>
      <c r="I120" s="105">
        <v>-4.0999999999999996</v>
      </c>
      <c r="J120" s="105">
        <v>-4.0999999999999996</v>
      </c>
      <c r="K120" s="105">
        <v>-4.0999999999999996</v>
      </c>
      <c r="L120" s="105">
        <v>-10.9</v>
      </c>
      <c r="M120" s="105">
        <v>-10.9</v>
      </c>
      <c r="N120" s="105">
        <v>-1.3</v>
      </c>
      <c r="O120" s="105">
        <v>2</v>
      </c>
      <c r="P120" s="105">
        <v>2</v>
      </c>
      <c r="Q120" s="105">
        <v>2</v>
      </c>
      <c r="R120" s="105">
        <v>6</v>
      </c>
      <c r="S120" s="105">
        <v>13</v>
      </c>
      <c r="T120" s="105">
        <v>8.1</v>
      </c>
      <c r="U120" s="105">
        <v>4</v>
      </c>
      <c r="V120" s="105">
        <v>-0.3</v>
      </c>
      <c r="W120" s="105">
        <v>-3.3</v>
      </c>
      <c r="X120" s="105">
        <v>8</v>
      </c>
      <c r="Y120" s="105">
        <v>19</v>
      </c>
      <c r="Z120" s="105">
        <v>38</v>
      </c>
      <c r="AA120" s="105">
        <v>39</v>
      </c>
      <c r="AB120" s="105">
        <v>39.1</v>
      </c>
      <c r="AC120" s="105">
        <v>35.700000000000003</v>
      </c>
      <c r="AD120" s="105">
        <v>30</v>
      </c>
      <c r="AE120" s="105">
        <v>28.8</v>
      </c>
      <c r="AF120" s="105">
        <v>17.5</v>
      </c>
      <c r="AG120" s="118"/>
      <c r="AH120" s="47">
        <f t="shared" si="35"/>
        <v>39.1</v>
      </c>
      <c r="AI120" s="48">
        <f t="shared" si="36"/>
        <v>-10.9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85">SUM(B122:B226)</f>
        <v>0</v>
      </c>
      <c r="C227" s="136">
        <f t="shared" si="85"/>
        <v>0</v>
      </c>
      <c r="D227" s="136">
        <f t="shared" si="85"/>
        <v>0</v>
      </c>
      <c r="E227" s="136">
        <f t="shared" si="85"/>
        <v>0</v>
      </c>
      <c r="F227" s="136">
        <f t="shared" si="85"/>
        <v>0</v>
      </c>
      <c r="G227" s="136">
        <f t="shared" si="85"/>
        <v>0</v>
      </c>
      <c r="H227" s="136">
        <f t="shared" si="85"/>
        <v>0</v>
      </c>
      <c r="I227" s="136">
        <f t="shared" si="85"/>
        <v>0</v>
      </c>
      <c r="J227" s="136">
        <f t="shared" si="85"/>
        <v>0</v>
      </c>
      <c r="K227" s="136">
        <f t="shared" si="85"/>
        <v>0</v>
      </c>
      <c r="L227" s="136">
        <f t="shared" si="85"/>
        <v>0</v>
      </c>
      <c r="M227" s="136">
        <f t="shared" si="85"/>
        <v>0</v>
      </c>
      <c r="N227" s="136">
        <f t="shared" si="85"/>
        <v>0</v>
      </c>
      <c r="O227" s="136">
        <f t="shared" si="85"/>
        <v>0</v>
      </c>
      <c r="P227" s="136">
        <f t="shared" si="85"/>
        <v>0</v>
      </c>
      <c r="Q227" s="136">
        <f t="shared" si="85"/>
        <v>0</v>
      </c>
      <c r="R227" s="136">
        <f t="shared" si="85"/>
        <v>0</v>
      </c>
      <c r="S227" s="136">
        <f t="shared" si="85"/>
        <v>0</v>
      </c>
      <c r="T227" s="136">
        <f t="shared" si="85"/>
        <v>0</v>
      </c>
      <c r="U227" s="136">
        <f t="shared" si="85"/>
        <v>0</v>
      </c>
      <c r="V227" s="136">
        <f t="shared" si="85"/>
        <v>0</v>
      </c>
      <c r="W227" s="136">
        <f t="shared" si="85"/>
        <v>0</v>
      </c>
      <c r="X227" s="136">
        <f t="shared" si="85"/>
        <v>0</v>
      </c>
      <c r="Y227" s="136">
        <f t="shared" si="85"/>
        <v>0</v>
      </c>
      <c r="Z227" s="136">
        <f t="shared" si="85"/>
        <v>0</v>
      </c>
      <c r="AA227" s="136">
        <f t="shared" si="85"/>
        <v>0</v>
      </c>
      <c r="AB227" s="136">
        <f t="shared" si="85"/>
        <v>0</v>
      </c>
      <c r="AC227" s="136">
        <f t="shared" si="85"/>
        <v>0</v>
      </c>
      <c r="AD227" s="136">
        <f t="shared" si="85"/>
        <v>0</v>
      </c>
      <c r="AE227" s="136">
        <f t="shared" si="85"/>
        <v>0</v>
      </c>
      <c r="AF227" s="137">
        <f t="shared" si="85"/>
        <v>0</v>
      </c>
      <c r="AG227" s="138">
        <f t="shared" si="85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86">AF229</f>
        <v>0</v>
      </c>
      <c r="C229" s="140">
        <v>0.3</v>
      </c>
      <c r="D229" s="140">
        <f t="shared" ref="D229:P234" si="87">C229</f>
        <v>0.3</v>
      </c>
      <c r="E229" s="140">
        <f t="shared" si="87"/>
        <v>0.3</v>
      </c>
      <c r="F229" s="140">
        <f t="shared" si="87"/>
        <v>0.3</v>
      </c>
      <c r="G229" s="140">
        <f t="shared" si="87"/>
        <v>0.3</v>
      </c>
      <c r="H229" s="140">
        <f t="shared" si="87"/>
        <v>0.3</v>
      </c>
      <c r="I229" s="140">
        <f t="shared" si="87"/>
        <v>0.3</v>
      </c>
      <c r="J229" s="140">
        <f t="shared" si="87"/>
        <v>0.3</v>
      </c>
      <c r="K229" s="140">
        <f t="shared" si="87"/>
        <v>0.3</v>
      </c>
      <c r="L229" s="140">
        <f t="shared" si="87"/>
        <v>0.3</v>
      </c>
      <c r="M229" s="140">
        <f t="shared" si="87"/>
        <v>0.3</v>
      </c>
      <c r="N229" s="140">
        <f t="shared" si="87"/>
        <v>0.3</v>
      </c>
      <c r="O229" s="140">
        <f t="shared" si="87"/>
        <v>0.3</v>
      </c>
      <c r="P229" s="140">
        <f t="shared" si="87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86"/>
        <v>0</v>
      </c>
      <c r="C230" s="128">
        <v>0.4</v>
      </c>
      <c r="D230" s="128">
        <f t="shared" si="87"/>
        <v>0.4</v>
      </c>
      <c r="E230" s="128">
        <f t="shared" si="87"/>
        <v>0.4</v>
      </c>
      <c r="F230" s="128">
        <f t="shared" si="87"/>
        <v>0.4</v>
      </c>
      <c r="G230" s="128">
        <f t="shared" si="87"/>
        <v>0.4</v>
      </c>
      <c r="H230" s="128">
        <f t="shared" si="87"/>
        <v>0.4</v>
      </c>
      <c r="I230" s="128">
        <f t="shared" si="87"/>
        <v>0.4</v>
      </c>
      <c r="J230" s="128">
        <f t="shared" si="87"/>
        <v>0.4</v>
      </c>
      <c r="K230" s="128">
        <f t="shared" si="87"/>
        <v>0.4</v>
      </c>
      <c r="L230" s="128">
        <f t="shared" si="87"/>
        <v>0.4</v>
      </c>
      <c r="M230" s="128">
        <f t="shared" si="87"/>
        <v>0.4</v>
      </c>
      <c r="N230" s="128">
        <f t="shared" si="87"/>
        <v>0.4</v>
      </c>
      <c r="O230" s="128">
        <f t="shared" si="87"/>
        <v>0.4</v>
      </c>
      <c r="P230" s="128">
        <f t="shared" si="87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86"/>
        <v>0</v>
      </c>
      <c r="C231" s="128">
        <v>1.5</v>
      </c>
      <c r="D231" s="128">
        <f t="shared" si="87"/>
        <v>1.5</v>
      </c>
      <c r="E231" s="128">
        <f t="shared" si="87"/>
        <v>1.5</v>
      </c>
      <c r="F231" s="128">
        <f t="shared" si="87"/>
        <v>1.5</v>
      </c>
      <c r="G231" s="128">
        <f t="shared" si="87"/>
        <v>1.5</v>
      </c>
      <c r="H231" s="128">
        <f t="shared" si="87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87"/>
        <v>123.21900000000009</v>
      </c>
      <c r="K231" s="128">
        <f t="shared" ca="1" si="87"/>
        <v>123.21900000000009</v>
      </c>
      <c r="L231" s="128">
        <f t="shared" ca="1" si="87"/>
        <v>123.21900000000009</v>
      </c>
      <c r="M231" s="128">
        <f t="shared" ca="1" si="87"/>
        <v>119.19900000000008</v>
      </c>
      <c r="N231" s="128">
        <f t="shared" ca="1" si="87"/>
        <v>119.19900000000008</v>
      </c>
      <c r="O231" s="128">
        <f t="shared" ca="1" si="87"/>
        <v>119.19900000000008</v>
      </c>
      <c r="P231" s="128">
        <f t="shared" ca="1" si="87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86"/>
        <v>0</v>
      </c>
      <c r="C232" s="128">
        <v>0.3</v>
      </c>
      <c r="D232" s="128">
        <f t="shared" si="87"/>
        <v>0.3</v>
      </c>
      <c r="E232" s="128">
        <f t="shared" si="87"/>
        <v>0.3</v>
      </c>
      <c r="F232" s="128">
        <f t="shared" si="87"/>
        <v>0.3</v>
      </c>
      <c r="G232" s="128">
        <f t="shared" si="87"/>
        <v>0.3</v>
      </c>
      <c r="H232" s="128">
        <f t="shared" si="87"/>
        <v>0.3</v>
      </c>
      <c r="I232" s="128">
        <f t="shared" si="87"/>
        <v>0.3</v>
      </c>
      <c r="J232" s="128">
        <f t="shared" si="87"/>
        <v>0.3</v>
      </c>
      <c r="K232" s="128">
        <f t="shared" si="87"/>
        <v>0.3</v>
      </c>
      <c r="L232" s="128">
        <f t="shared" si="87"/>
        <v>0.3</v>
      </c>
      <c r="M232" s="128">
        <f t="shared" si="87"/>
        <v>0.3</v>
      </c>
      <c r="N232" s="128">
        <f t="shared" si="87"/>
        <v>0.3</v>
      </c>
      <c r="O232" s="128">
        <f t="shared" si="87"/>
        <v>0.3</v>
      </c>
      <c r="P232" s="128">
        <f t="shared" si="87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86"/>
        <v>0</v>
      </c>
      <c r="C233" s="128">
        <v>0.4</v>
      </c>
      <c r="D233" s="128">
        <f t="shared" si="87"/>
        <v>0.4</v>
      </c>
      <c r="E233" s="128">
        <f t="shared" si="87"/>
        <v>0.4</v>
      </c>
      <c r="F233" s="128">
        <f t="shared" si="87"/>
        <v>0.4</v>
      </c>
      <c r="G233" s="128">
        <f t="shared" si="87"/>
        <v>0.4</v>
      </c>
      <c r="H233" s="128">
        <f t="shared" si="87"/>
        <v>0.4</v>
      </c>
      <c r="I233" s="128">
        <f t="shared" si="87"/>
        <v>0.4</v>
      </c>
      <c r="J233" s="128">
        <f t="shared" si="87"/>
        <v>0.4</v>
      </c>
      <c r="K233" s="128">
        <f t="shared" si="87"/>
        <v>0.4</v>
      </c>
      <c r="L233" s="128">
        <f t="shared" si="87"/>
        <v>0.4</v>
      </c>
      <c r="M233" s="128">
        <f t="shared" si="87"/>
        <v>0.4</v>
      </c>
      <c r="N233" s="128">
        <f t="shared" si="87"/>
        <v>0.4</v>
      </c>
      <c r="O233" s="128">
        <f t="shared" si="87"/>
        <v>0.4</v>
      </c>
      <c r="P233" s="128">
        <f t="shared" si="87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86"/>
        <v>0</v>
      </c>
      <c r="C234" s="132">
        <v>0.64</v>
      </c>
      <c r="D234" s="132">
        <f t="shared" si="87"/>
        <v>0.64</v>
      </c>
      <c r="E234" s="132">
        <f t="shared" si="87"/>
        <v>0.64</v>
      </c>
      <c r="F234" s="132">
        <f t="shared" si="87"/>
        <v>0.64</v>
      </c>
      <c r="G234" s="132">
        <f t="shared" si="87"/>
        <v>0.64</v>
      </c>
      <c r="H234" s="132">
        <f t="shared" si="87"/>
        <v>0.64</v>
      </c>
      <c r="I234" s="132">
        <f t="shared" si="87"/>
        <v>0.64</v>
      </c>
      <c r="J234" s="132">
        <f t="shared" si="87"/>
        <v>0.64</v>
      </c>
      <c r="K234" s="132">
        <f t="shared" si="87"/>
        <v>0.64</v>
      </c>
      <c r="L234" s="132">
        <f t="shared" si="87"/>
        <v>0.64</v>
      </c>
      <c r="M234" s="132">
        <f t="shared" si="87"/>
        <v>0.64</v>
      </c>
      <c r="N234" s="132">
        <f t="shared" si="87"/>
        <v>0.64</v>
      </c>
      <c r="O234" s="132">
        <f t="shared" si="87"/>
        <v>0.64</v>
      </c>
      <c r="P234" s="132">
        <f t="shared" si="87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88">SUM(B229:B234)</f>
        <v>0</v>
      </c>
      <c r="C235" s="136">
        <f t="shared" si="88"/>
        <v>3.54</v>
      </c>
      <c r="D235" s="136">
        <f t="shared" si="88"/>
        <v>3.54</v>
      </c>
      <c r="E235" s="136">
        <f t="shared" si="88"/>
        <v>3.54</v>
      </c>
      <c r="F235" s="136">
        <f t="shared" si="88"/>
        <v>3.54</v>
      </c>
      <c r="G235" s="136">
        <f t="shared" si="88"/>
        <v>3.54</v>
      </c>
      <c r="H235" s="136">
        <f t="shared" si="88"/>
        <v>3.54</v>
      </c>
      <c r="I235" s="136">
        <f t="shared" ca="1" si="88"/>
        <v>121.23900000000009</v>
      </c>
      <c r="J235" s="136">
        <f t="shared" ca="1" si="88"/>
        <v>121.23900000000009</v>
      </c>
      <c r="K235" s="136">
        <f t="shared" ca="1" si="88"/>
        <v>121.23900000000009</v>
      </c>
      <c r="L235" s="136">
        <f t="shared" ca="1" si="88"/>
        <v>125.2590000000001</v>
      </c>
      <c r="M235" s="136">
        <f t="shared" ca="1" si="88"/>
        <v>121.23900000000009</v>
      </c>
      <c r="N235" s="136">
        <f t="shared" ca="1" si="88"/>
        <v>121.23900000000009</v>
      </c>
      <c r="O235" s="136">
        <f t="shared" ca="1" si="88"/>
        <v>121.23900000000009</v>
      </c>
      <c r="P235" s="136">
        <f t="shared" ca="1" si="88"/>
        <v>121.23900000000009</v>
      </c>
      <c r="Q235" s="136">
        <f t="shared" si="88"/>
        <v>0</v>
      </c>
      <c r="R235" s="136">
        <f t="shared" si="88"/>
        <v>0</v>
      </c>
      <c r="S235" s="136">
        <f t="shared" si="88"/>
        <v>0</v>
      </c>
      <c r="T235" s="136">
        <f t="shared" si="88"/>
        <v>0</v>
      </c>
      <c r="U235" s="136">
        <f t="shared" si="88"/>
        <v>0</v>
      </c>
      <c r="V235" s="136">
        <f t="shared" si="88"/>
        <v>0</v>
      </c>
      <c r="W235" s="136">
        <f t="shared" si="88"/>
        <v>0</v>
      </c>
      <c r="X235" s="136">
        <f t="shared" si="88"/>
        <v>0</v>
      </c>
      <c r="Y235" s="136">
        <f t="shared" si="88"/>
        <v>0</v>
      </c>
      <c r="Z235" s="136">
        <f t="shared" si="88"/>
        <v>0</v>
      </c>
      <c r="AA235" s="136">
        <f t="shared" si="88"/>
        <v>0</v>
      </c>
      <c r="AB235" s="136">
        <f t="shared" si="88"/>
        <v>0</v>
      </c>
      <c r="AC235" s="136">
        <f t="shared" si="88"/>
        <v>0</v>
      </c>
      <c r="AD235" s="136">
        <f t="shared" si="88"/>
        <v>0</v>
      </c>
      <c r="AE235" s="136">
        <f t="shared" si="88"/>
        <v>0</v>
      </c>
      <c r="AF235" s="136">
        <f t="shared" si="88"/>
        <v>0</v>
      </c>
      <c r="AG235" s="145">
        <f t="shared" si="88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2353.2400000000002</v>
      </c>
      <c r="C244" s="161">
        <f>INDEX(G9:N9,1,MATCH(MAX(G91:N91),G91:N91,0))</f>
        <v>0.27083333333333331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27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2080/04/27)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2080/04/27)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89">B91</f>
        <v>1911.94</v>
      </c>
      <c r="U249" s="170">
        <f t="shared" si="89"/>
        <v>1911.94</v>
      </c>
      <c r="V249" s="170">
        <f t="shared" si="89"/>
        <v>1893.94</v>
      </c>
      <c r="W249" s="170">
        <f t="shared" si="89"/>
        <v>1884.24</v>
      </c>
      <c r="X249" s="170">
        <f t="shared" si="89"/>
        <v>1877.94</v>
      </c>
      <c r="Y249" s="170">
        <f t="shared" si="89"/>
        <v>1887.8400000000001</v>
      </c>
      <c r="Z249" s="170">
        <f t="shared" si="89"/>
        <v>1889.44</v>
      </c>
      <c r="AA249" s="170">
        <f t="shared" si="89"/>
        <v>1889.44</v>
      </c>
      <c r="AB249" s="170">
        <f t="shared" si="89"/>
        <v>2353.2400000000002</v>
      </c>
      <c r="AC249" s="170">
        <f t="shared" si="89"/>
        <v>1846.7400000000002</v>
      </c>
      <c r="AD249" s="170">
        <f t="shared" si="89"/>
        <v>1863.54</v>
      </c>
      <c r="AE249" s="170">
        <f t="shared" si="89"/>
        <v>1895.8400000000001</v>
      </c>
      <c r="AF249" s="170">
        <f t="shared" si="89"/>
        <v>1851.94</v>
      </c>
      <c r="AG249" s="170">
        <f t="shared" si="89"/>
        <v>1944.74</v>
      </c>
      <c r="AH249" s="170">
        <f t="shared" si="89"/>
        <v>1922.34</v>
      </c>
      <c r="AI249" s="170">
        <f t="shared" si="89"/>
        <v>1897.6399999999999</v>
      </c>
      <c r="AJ249" s="170">
        <f t="shared" si="89"/>
        <v>2382.2399999999998</v>
      </c>
      <c r="AK249" s="170">
        <f t="shared" si="89"/>
        <v>1917.62</v>
      </c>
      <c r="AL249" s="170">
        <f t="shared" si="89"/>
        <v>1920.7199999999998</v>
      </c>
      <c r="AM249" s="170">
        <f t="shared" si="89"/>
        <v>1891.2199999999998</v>
      </c>
      <c r="AN249" s="170">
        <f t="shared" si="89"/>
        <v>1873.52</v>
      </c>
      <c r="AO249" s="170">
        <f t="shared" si="89"/>
        <v>1872.12</v>
      </c>
      <c r="AP249" s="170">
        <f t="shared" si="89"/>
        <v>1881.32</v>
      </c>
      <c r="AQ249" s="170">
        <f t="shared" si="89"/>
        <v>1907.32</v>
      </c>
      <c r="AR249" s="170">
        <f t="shared" si="89"/>
        <v>1995.1200000000001</v>
      </c>
      <c r="AS249" s="170">
        <f t="shared" si="89"/>
        <v>2044.22</v>
      </c>
      <c r="AT249" s="170">
        <f t="shared" si="89"/>
        <v>2019.12</v>
      </c>
      <c r="AU249" s="170">
        <f t="shared" si="89"/>
        <v>1994.8200000000002</v>
      </c>
      <c r="AV249" s="170">
        <f t="shared" si="89"/>
        <v>1981.4199999999998</v>
      </c>
      <c r="AW249" s="170">
        <f t="shared" si="89"/>
        <v>1914.8199999999997</v>
      </c>
      <c r="AX249" s="170">
        <f t="shared" si="89"/>
        <v>1911.62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90">C234</f>
        <v>0.64</v>
      </c>
      <c r="C270" s="173">
        <f t="shared" si="90"/>
        <v>0.64</v>
      </c>
      <c r="D270" s="173">
        <f t="shared" si="90"/>
        <v>0.64</v>
      </c>
      <c r="E270" s="173">
        <f t="shared" si="90"/>
        <v>0.64</v>
      </c>
      <c r="F270" s="173">
        <f t="shared" si="90"/>
        <v>0.64</v>
      </c>
      <c r="G270" s="173">
        <f t="shared" si="90"/>
        <v>0.64</v>
      </c>
      <c r="H270" s="173">
        <f t="shared" si="90"/>
        <v>0.64</v>
      </c>
      <c r="I270" s="173">
        <f t="shared" si="90"/>
        <v>0.64</v>
      </c>
      <c r="J270" s="173">
        <f t="shared" si="90"/>
        <v>0.64</v>
      </c>
      <c r="K270" s="173">
        <f t="shared" si="90"/>
        <v>0.64</v>
      </c>
      <c r="L270" s="173">
        <f t="shared" si="90"/>
        <v>0.64</v>
      </c>
      <c r="M270" s="173">
        <f t="shared" si="90"/>
        <v>0.64</v>
      </c>
      <c r="N270" s="173">
        <f t="shared" si="90"/>
        <v>0.64</v>
      </c>
      <c r="O270" s="173">
        <f t="shared" si="90"/>
        <v>0.64</v>
      </c>
      <c r="P270" s="173">
        <f t="shared" si="90"/>
        <v>0</v>
      </c>
      <c r="Q270" s="173">
        <f t="shared" si="90"/>
        <v>0</v>
      </c>
      <c r="R270" s="173">
        <f t="shared" si="90"/>
        <v>0</v>
      </c>
      <c r="S270" s="173">
        <f t="shared" si="90"/>
        <v>0</v>
      </c>
      <c r="T270" s="173">
        <f t="shared" si="90"/>
        <v>0</v>
      </c>
      <c r="U270" s="173">
        <f t="shared" si="90"/>
        <v>0</v>
      </c>
      <c r="V270" s="173">
        <f t="shared" si="90"/>
        <v>0</v>
      </c>
      <c r="W270" s="173">
        <f t="shared" si="90"/>
        <v>0</v>
      </c>
      <c r="X270" s="173">
        <f t="shared" si="90"/>
        <v>0</v>
      </c>
      <c r="Y270" s="173">
        <f t="shared" si="90"/>
        <v>0</v>
      </c>
      <c r="Z270" s="173">
        <f t="shared" si="90"/>
        <v>0</v>
      </c>
      <c r="AA270" s="173">
        <f t="shared" si="90"/>
        <v>0</v>
      </c>
      <c r="AB270" s="173">
        <f t="shared" si="90"/>
        <v>0</v>
      </c>
      <c r="AC270" s="173">
        <f t="shared" si="90"/>
        <v>0</v>
      </c>
      <c r="AD270" s="173">
        <f t="shared" si="90"/>
        <v>0</v>
      </c>
      <c r="AE270" s="173">
        <f t="shared" si="90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91">IF(B238&lt;100,"",B238-520)</f>
        <v/>
      </c>
      <c r="C271" s="174" t="str">
        <f t="shared" si="91"/>
        <v/>
      </c>
      <c r="D271" s="174" t="str">
        <f t="shared" si="91"/>
        <v/>
      </c>
      <c r="E271" s="174" t="str">
        <f t="shared" si="91"/>
        <v/>
      </c>
      <c r="F271" s="174" t="str">
        <f t="shared" si="91"/>
        <v/>
      </c>
      <c r="G271" s="174" t="str">
        <f t="shared" si="91"/>
        <v/>
      </c>
      <c r="H271" s="174" t="str">
        <f t="shared" si="91"/>
        <v/>
      </c>
      <c r="I271" s="174" t="str">
        <f t="shared" si="91"/>
        <v/>
      </c>
      <c r="J271" s="174" t="str">
        <f t="shared" si="91"/>
        <v/>
      </c>
      <c r="K271" s="174" t="str">
        <f t="shared" si="91"/>
        <v/>
      </c>
      <c r="L271" s="174" t="str">
        <f t="shared" si="91"/>
        <v/>
      </c>
      <c r="M271" s="174" t="str">
        <f t="shared" si="91"/>
        <v/>
      </c>
      <c r="N271" s="174" t="str">
        <f t="shared" si="91"/>
        <v/>
      </c>
      <c r="O271" s="174" t="str">
        <f t="shared" si="91"/>
        <v/>
      </c>
      <c r="P271" s="174" t="str">
        <f t="shared" si="91"/>
        <v/>
      </c>
      <c r="Q271" s="174" t="str">
        <f t="shared" si="91"/>
        <v/>
      </c>
      <c r="R271" s="174" t="str">
        <f t="shared" si="91"/>
        <v/>
      </c>
      <c r="S271" s="174" t="str">
        <f t="shared" si="91"/>
        <v/>
      </c>
      <c r="T271" s="174" t="str">
        <f t="shared" si="91"/>
        <v/>
      </c>
      <c r="U271" s="174" t="str">
        <f t="shared" si="91"/>
        <v/>
      </c>
      <c r="V271" s="174" t="str">
        <f t="shared" si="91"/>
        <v/>
      </c>
      <c r="W271" s="174" t="str">
        <f t="shared" si="91"/>
        <v/>
      </c>
      <c r="X271" s="174" t="str">
        <f t="shared" si="91"/>
        <v/>
      </c>
      <c r="Y271" s="174" t="str">
        <f t="shared" si="91"/>
        <v/>
      </c>
      <c r="Z271" s="174" t="str">
        <f t="shared" si="91"/>
        <v/>
      </c>
      <c r="AA271" s="174" t="str">
        <f t="shared" si="91"/>
        <v/>
      </c>
      <c r="AB271" s="174" t="str">
        <f t="shared" si="91"/>
        <v/>
      </c>
      <c r="AC271" s="174" t="str">
        <f t="shared" si="91"/>
        <v/>
      </c>
      <c r="AD271" s="174" t="str">
        <f t="shared" si="91"/>
        <v/>
      </c>
      <c r="AE271" s="174" t="str">
        <f t="shared" si="91"/>
        <v/>
      </c>
      <c r="AF271" s="174" t="str">
        <f t="shared" si="91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92">IF(B239&lt;100,"",B239-620)</f>
        <v/>
      </c>
      <c r="C272" s="174" t="str">
        <f t="shared" si="92"/>
        <v/>
      </c>
      <c r="D272" s="174" t="str">
        <f t="shared" si="92"/>
        <v/>
      </c>
      <c r="E272" s="174" t="str">
        <f t="shared" si="92"/>
        <v/>
      </c>
      <c r="F272" s="174" t="str">
        <f t="shared" si="92"/>
        <v/>
      </c>
      <c r="G272" s="174" t="str">
        <f t="shared" si="92"/>
        <v/>
      </c>
      <c r="H272" s="174" t="str">
        <f t="shared" si="92"/>
        <v/>
      </c>
      <c r="I272" s="174" t="str">
        <f t="shared" si="92"/>
        <v/>
      </c>
      <c r="J272" s="174" t="str">
        <f t="shared" si="92"/>
        <v/>
      </c>
      <c r="K272" s="174" t="str">
        <f t="shared" si="92"/>
        <v/>
      </c>
      <c r="L272" s="174" t="str">
        <f t="shared" si="92"/>
        <v/>
      </c>
      <c r="M272" s="174" t="str">
        <f t="shared" si="92"/>
        <v/>
      </c>
      <c r="N272" s="174" t="str">
        <f t="shared" si="92"/>
        <v/>
      </c>
      <c r="O272" s="174" t="str">
        <f t="shared" si="92"/>
        <v/>
      </c>
      <c r="P272" s="174" t="str">
        <f t="shared" si="92"/>
        <v/>
      </c>
      <c r="Q272" s="174" t="str">
        <f t="shared" si="92"/>
        <v/>
      </c>
      <c r="R272" s="174" t="str">
        <f t="shared" si="92"/>
        <v/>
      </c>
      <c r="S272" s="174" t="str">
        <f t="shared" si="92"/>
        <v/>
      </c>
      <c r="T272" s="174" t="str">
        <f t="shared" si="92"/>
        <v/>
      </c>
      <c r="U272" s="174" t="str">
        <f t="shared" si="92"/>
        <v/>
      </c>
      <c r="V272" s="174" t="str">
        <f t="shared" si="92"/>
        <v/>
      </c>
      <c r="W272" s="174" t="str">
        <f t="shared" si="92"/>
        <v/>
      </c>
      <c r="X272" s="174" t="str">
        <f t="shared" si="92"/>
        <v/>
      </c>
      <c r="Y272" s="174" t="str">
        <f t="shared" si="92"/>
        <v/>
      </c>
      <c r="Z272" s="174" t="str">
        <f t="shared" si="92"/>
        <v/>
      </c>
      <c r="AA272" s="174" t="str">
        <f t="shared" si="92"/>
        <v/>
      </c>
      <c r="AB272" s="174" t="str">
        <f t="shared" si="92"/>
        <v/>
      </c>
      <c r="AC272" s="174" t="str">
        <f t="shared" si="92"/>
        <v/>
      </c>
      <c r="AD272" s="174" t="str">
        <f t="shared" si="92"/>
        <v/>
      </c>
      <c r="AE272" s="174" t="str">
        <f t="shared" si="92"/>
        <v/>
      </c>
      <c r="AF272" s="174" t="str">
        <f t="shared" si="92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93">IF(B240&lt;100,"",B240-330)</f>
        <v/>
      </c>
      <c r="C273" s="174" t="str">
        <f t="shared" si="93"/>
        <v/>
      </c>
      <c r="D273" s="174" t="str">
        <f t="shared" si="93"/>
        <v/>
      </c>
      <c r="E273" s="174" t="str">
        <f t="shared" si="93"/>
        <v/>
      </c>
      <c r="F273" s="174" t="str">
        <f t="shared" si="93"/>
        <v/>
      </c>
      <c r="G273" s="174" t="str">
        <f t="shared" si="93"/>
        <v/>
      </c>
      <c r="H273" s="174" t="str">
        <f t="shared" si="93"/>
        <v/>
      </c>
      <c r="I273" s="174" t="str">
        <f t="shared" si="93"/>
        <v/>
      </c>
      <c r="J273" s="174" t="str">
        <f t="shared" si="93"/>
        <v/>
      </c>
      <c r="K273" s="174" t="str">
        <f t="shared" si="93"/>
        <v/>
      </c>
      <c r="L273" s="174" t="str">
        <f t="shared" si="93"/>
        <v/>
      </c>
      <c r="M273" s="174" t="str">
        <f t="shared" si="93"/>
        <v/>
      </c>
      <c r="N273" s="174" t="str">
        <f t="shared" si="93"/>
        <v/>
      </c>
      <c r="O273" s="174" t="str">
        <f t="shared" si="93"/>
        <v/>
      </c>
      <c r="P273" s="174" t="str">
        <f t="shared" si="93"/>
        <v/>
      </c>
      <c r="Q273" s="174" t="str">
        <f t="shared" si="93"/>
        <v/>
      </c>
      <c r="R273" s="174" t="str">
        <f t="shared" si="93"/>
        <v/>
      </c>
      <c r="S273" s="174" t="str">
        <f t="shared" si="93"/>
        <v/>
      </c>
      <c r="T273" s="174" t="str">
        <f t="shared" si="93"/>
        <v/>
      </c>
      <c r="U273" s="174" t="str">
        <f t="shared" si="93"/>
        <v/>
      </c>
      <c r="V273" s="174" t="str">
        <f t="shared" si="93"/>
        <v/>
      </c>
      <c r="W273" s="174" t="str">
        <f t="shared" si="93"/>
        <v/>
      </c>
      <c r="X273" s="174" t="str">
        <f t="shared" si="93"/>
        <v/>
      </c>
      <c r="Y273" s="174" t="str">
        <f t="shared" si="93"/>
        <v/>
      </c>
      <c r="Z273" s="174" t="str">
        <f t="shared" si="93"/>
        <v/>
      </c>
      <c r="AA273" s="174" t="str">
        <f t="shared" si="93"/>
        <v/>
      </c>
      <c r="AB273" s="174" t="str">
        <f t="shared" si="93"/>
        <v/>
      </c>
      <c r="AC273" s="174" t="str">
        <f t="shared" si="93"/>
        <v/>
      </c>
      <c r="AD273" s="174" t="str">
        <f t="shared" si="93"/>
        <v/>
      </c>
      <c r="AE273" s="174" t="str">
        <f t="shared" si="93"/>
        <v/>
      </c>
      <c r="AF273" s="174" t="str">
        <f t="shared" si="93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94">IF(B241&lt;100,"",B241-1500)</f>
        <v/>
      </c>
      <c r="C274" s="174" t="str">
        <f t="shared" si="94"/>
        <v/>
      </c>
      <c r="D274" s="174" t="str">
        <f t="shared" si="94"/>
        <v/>
      </c>
      <c r="E274" s="174" t="str">
        <f t="shared" si="94"/>
        <v/>
      </c>
      <c r="F274" s="174" t="str">
        <f t="shared" si="94"/>
        <v/>
      </c>
      <c r="G274" s="174" t="str">
        <f t="shared" si="94"/>
        <v/>
      </c>
      <c r="H274" s="174" t="str">
        <f t="shared" si="94"/>
        <v/>
      </c>
      <c r="I274" s="174" t="str">
        <f t="shared" si="94"/>
        <v/>
      </c>
      <c r="J274" s="174" t="str">
        <f t="shared" si="94"/>
        <v/>
      </c>
      <c r="K274" s="174" t="str">
        <f t="shared" si="94"/>
        <v/>
      </c>
      <c r="L274" s="174" t="str">
        <f t="shared" si="94"/>
        <v/>
      </c>
      <c r="M274" s="174" t="str">
        <f t="shared" si="94"/>
        <v/>
      </c>
      <c r="N274" s="174" t="str">
        <f t="shared" si="94"/>
        <v/>
      </c>
      <c r="O274" s="174" t="str">
        <f t="shared" si="94"/>
        <v/>
      </c>
      <c r="P274" s="174" t="str">
        <f t="shared" si="94"/>
        <v/>
      </c>
      <c r="Q274" s="174" t="str">
        <f t="shared" si="94"/>
        <v/>
      </c>
      <c r="R274" s="174" t="str">
        <f t="shared" si="94"/>
        <v/>
      </c>
      <c r="S274" s="174" t="str">
        <f t="shared" si="94"/>
        <v/>
      </c>
      <c r="T274" s="174" t="str">
        <f t="shared" si="94"/>
        <v/>
      </c>
      <c r="U274" s="174" t="str">
        <f t="shared" si="94"/>
        <v/>
      </c>
      <c r="V274" s="174" t="str">
        <f t="shared" si="94"/>
        <v/>
      </c>
      <c r="W274" s="174" t="str">
        <f t="shared" si="94"/>
        <v/>
      </c>
      <c r="X274" s="174" t="str">
        <f t="shared" si="94"/>
        <v/>
      </c>
      <c r="Y274" s="174" t="str">
        <f t="shared" si="94"/>
        <v/>
      </c>
      <c r="Z274" s="174" t="str">
        <f t="shared" si="94"/>
        <v/>
      </c>
      <c r="AA274" s="174" t="str">
        <f t="shared" si="94"/>
        <v/>
      </c>
      <c r="AB274" s="174" t="str">
        <f t="shared" si="94"/>
        <v/>
      </c>
      <c r="AC274" s="174" t="str">
        <f t="shared" si="94"/>
        <v/>
      </c>
      <c r="AD274" s="174" t="str">
        <f t="shared" si="94"/>
        <v/>
      </c>
      <c r="AE274" s="174" t="str">
        <f t="shared" si="94"/>
        <v/>
      </c>
      <c r="AF274" s="174" t="str">
        <f t="shared" si="94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4050" priority="64">
      <formula>$AH11=0</formula>
    </cfRule>
  </conditionalFormatting>
  <conditionalFormatting sqref="B8 M8 S8 AB8">
    <cfRule type="expression" dxfId="4049" priority="115">
      <formula>AND(C$9&gt;=14/24,C$9&lt;20/24)</formula>
    </cfRule>
    <cfRule type="expression" dxfId="4048" priority="117">
      <formula>C$9&lt;8/24</formula>
    </cfRule>
    <cfRule type="expression" dxfId="4047" priority="116">
      <formula>AND(C$9&gt;=8/24,C$9&lt;14/24)</formula>
    </cfRule>
  </conditionalFormatting>
  <conditionalFormatting sqref="B54:C54">
    <cfRule type="expression" dxfId="4046" priority="38">
      <formula>B$9&gt;=20/24</formula>
    </cfRule>
    <cfRule type="expression" dxfId="4045" priority="39">
      <formula>AND(B$9&gt;=14/24,B$9&lt;20/24)</formula>
    </cfRule>
    <cfRule type="expression" dxfId="4044" priority="40">
      <formula>AND(B$9&gt;=8/24,B$9&lt;14/24)</formula>
    </cfRule>
    <cfRule type="expression" dxfId="4043" priority="41">
      <formula>B$9&lt;8/24</formula>
    </cfRule>
  </conditionalFormatting>
  <conditionalFormatting sqref="B55:S60">
    <cfRule type="expression" dxfId="4042" priority="54">
      <formula>B$9&lt;8/24</formula>
    </cfRule>
    <cfRule type="expression" dxfId="4041" priority="53">
      <formula>AND(B$9&gt;=8/24,B$9&lt;14/24)</formula>
    </cfRule>
    <cfRule type="expression" dxfId="4040" priority="52">
      <formula>AND(B$9&gt;=14/24,B$9&lt;20/24)</formula>
    </cfRule>
    <cfRule type="expression" dxfId="4039" priority="51">
      <formula>B$9&gt;=20/24</formula>
    </cfRule>
  </conditionalFormatting>
  <conditionalFormatting sqref="B61:AE66 W62:AF62 AF62:AF66">
    <cfRule type="expression" dxfId="4038" priority="34">
      <formula>B$9&gt;=20/24</formula>
    </cfRule>
    <cfRule type="expression" dxfId="4037" priority="35">
      <formula>AND(B$9&gt;=14/24,B$9&lt;20/24)</formula>
    </cfRule>
    <cfRule type="expression" dxfId="4036" priority="36">
      <formula>AND(B$9&gt;=8/24,B$9&lt;14/24)</formula>
    </cfRule>
    <cfRule type="expression" dxfId="4035" priority="37">
      <formula>B$9&lt;8/24</formula>
    </cfRule>
  </conditionalFormatting>
  <conditionalFormatting sqref="B9:AF45">
    <cfRule type="expression" dxfId="4034" priority="23">
      <formula>B$9&gt;=20/24</formula>
    </cfRule>
    <cfRule type="expression" dxfId="4033" priority="24">
      <formula>AND(B$9&gt;=14/24,B$9&lt;20/24)</formula>
    </cfRule>
    <cfRule type="expression" dxfId="4032" priority="25">
      <formula>AND(B$9&gt;=8/24,B$9&lt;14/24)</formula>
    </cfRule>
    <cfRule type="expression" dxfId="4031" priority="26">
      <formula>B$9&lt;8/24</formula>
    </cfRule>
  </conditionalFormatting>
  <conditionalFormatting sqref="B11:AF46">
    <cfRule type="expression" dxfId="4030" priority="22">
      <formula>B11&gt;$AG11</formula>
    </cfRule>
  </conditionalFormatting>
  <conditionalFormatting sqref="B46:AF46">
    <cfRule type="expression" dxfId="4029" priority="18">
      <formula>B$9&gt;=20/24</formula>
    </cfRule>
    <cfRule type="expression" dxfId="4028" priority="19">
      <formula>AND(B$9&gt;=14/24,B$9&lt;20/24)</formula>
    </cfRule>
    <cfRule type="expression" dxfId="4027" priority="20">
      <formula>AND(B$9&gt;=8/24,B$9&lt;14/24)</formula>
    </cfRule>
    <cfRule type="expression" dxfId="4026" priority="21">
      <formula>B$9&lt;8/24</formula>
    </cfRule>
  </conditionalFormatting>
  <conditionalFormatting sqref="B47:AF47">
    <cfRule type="expression" dxfId="4025" priority="32">
      <formula>B47&gt;$AG47</formula>
    </cfRule>
  </conditionalFormatting>
  <conditionalFormatting sqref="B47:AF49">
    <cfRule type="expression" dxfId="4024" priority="31">
      <formula>B$9&lt;8/24</formula>
    </cfRule>
    <cfRule type="expression" dxfId="4023" priority="28">
      <formula>B$9&gt;=20/24</formula>
    </cfRule>
    <cfRule type="expression" dxfId="4022" priority="29">
      <formula>AND(B$9&gt;=14/24,B$9&lt;20/24)</formula>
    </cfRule>
    <cfRule type="expression" dxfId="4021" priority="30">
      <formula>AND(B$9&gt;=8/24,B$9&lt;14/24)</formula>
    </cfRule>
  </conditionalFormatting>
  <conditionalFormatting sqref="B48:AF53">
    <cfRule type="expression" dxfId="4020" priority="27">
      <formula>B48&gt;$AG48</formula>
    </cfRule>
  </conditionalFormatting>
  <conditionalFormatting sqref="B51:AF53">
    <cfRule type="expression" dxfId="4019" priority="48">
      <formula>AND(B$9&gt;=14/24,B$9&lt;20/24)</formula>
    </cfRule>
    <cfRule type="expression" dxfId="4018" priority="49">
      <formula>AND(B$9&gt;=8/24,B$9&lt;14/24)</formula>
    </cfRule>
    <cfRule type="expression" dxfId="4017" priority="50">
      <formula>B$9&lt;8/24</formula>
    </cfRule>
    <cfRule type="expression" dxfId="4016" priority="47">
      <formula>B$9&gt;=20/24</formula>
    </cfRule>
  </conditionalFormatting>
  <conditionalFormatting sqref="B69:AF71">
    <cfRule type="expression" dxfId="4015" priority="59">
      <formula>B$9&lt;8/24</formula>
    </cfRule>
    <cfRule type="expression" dxfId="4014" priority="55">
      <formula>B69&gt;$AG69</formula>
    </cfRule>
    <cfRule type="expression" dxfId="4013" priority="56">
      <formula>B$9&gt;=20/24</formula>
    </cfRule>
    <cfRule type="expression" dxfId="4012" priority="57">
      <formula>AND(B$9&gt;=14/24,B$9&lt;20/24)</formula>
    </cfRule>
    <cfRule type="expression" dxfId="4011" priority="58">
      <formula>AND(B$9&gt;=8/24,B$9&lt;14/24)</formula>
    </cfRule>
  </conditionalFormatting>
  <conditionalFormatting sqref="B73:AF91">
    <cfRule type="expression" dxfId="4010" priority="2">
      <formula>AND(B$9&gt;=14/24,B$9&lt;20/24)</formula>
    </cfRule>
    <cfRule type="expression" dxfId="4009" priority="3">
      <formula>AND(B$9&gt;=8/24,B$9&lt;14/24)</formula>
    </cfRule>
    <cfRule type="expression" dxfId="4008" priority="4">
      <formula>B$9&lt;8/24</formula>
    </cfRule>
    <cfRule type="expression" dxfId="4007" priority="1">
      <formula>B$9&gt;=20/24</formula>
    </cfRule>
  </conditionalFormatting>
  <conditionalFormatting sqref="B111:AF120">
    <cfRule type="expression" dxfId="4006" priority="16">
      <formula>AND(B$9&gt;=8/24,B$9&lt;14/24)</formula>
    </cfRule>
    <cfRule type="expression" dxfId="4005" priority="17">
      <formula>B$9&lt;8/24</formula>
    </cfRule>
    <cfRule type="expression" dxfId="4004" priority="14">
      <formula>B$9&gt;=20/24</formula>
    </cfRule>
    <cfRule type="expression" dxfId="4003" priority="15">
      <formula>AND(B$9&gt;=14/24,B$9&lt;20/24)</formula>
    </cfRule>
  </conditionalFormatting>
  <conditionalFormatting sqref="B227:AF227 D229:AF230 B229:B235 D231:H231 J231:AF231 D232:AF235 U248:AF248">
    <cfRule type="expression" dxfId="4002" priority="111">
      <formula>B$9&lt;8/24</formula>
    </cfRule>
    <cfRule type="expression" dxfId="4001" priority="109">
      <formula>AND(B$9&gt;=14/24,B$9&lt;20/24)</formula>
    </cfRule>
    <cfRule type="expression" dxfId="4000" priority="108">
      <formula>B$9&gt;=20/24</formula>
    </cfRule>
    <cfRule type="expression" dxfId="3999" priority="110">
      <formula>AND(B$9&gt;=8/24,B$9&lt;14/24)</formula>
    </cfRule>
  </conditionalFormatting>
  <conditionalFormatting sqref="B67:AG68 B72:AG72">
    <cfRule type="expression" dxfId="3998" priority="42">
      <formula>B67&gt;$AG67</formula>
    </cfRule>
  </conditionalFormatting>
  <conditionalFormatting sqref="B72:AG72 B93:AF109">
    <cfRule type="expression" dxfId="3997" priority="46">
      <formula>B$9&lt;8/24</formula>
    </cfRule>
    <cfRule type="expression" dxfId="3996" priority="45">
      <formula>AND(B$9&gt;=8/24,B$9&lt;14/24)</formula>
    </cfRule>
    <cfRule type="expression" dxfId="3995" priority="44">
      <formula>AND(B$9&gt;=14/24,B$9&lt;20/24)</formula>
    </cfRule>
    <cfRule type="expression" dxfId="3994" priority="43">
      <formula>B$9&gt;=20/24</formula>
    </cfRule>
  </conditionalFormatting>
  <conditionalFormatting sqref="D55:AF66">
    <cfRule type="expression" dxfId="3993" priority="5">
      <formula>D55&gt;$AG55</formula>
    </cfRule>
  </conditionalFormatting>
  <conditionalFormatting sqref="D54:AG54">
    <cfRule type="expression" dxfId="3992" priority="79">
      <formula>AND(D$9&gt;=8/24,D$9&lt;14/24)</formula>
    </cfRule>
    <cfRule type="expression" dxfId="3991" priority="80">
      <formula>D$9&lt;8/24</formula>
    </cfRule>
    <cfRule type="expression" dxfId="3990" priority="76">
      <formula>D54&gt;$AG54</formula>
    </cfRule>
    <cfRule type="expression" dxfId="3989" priority="77">
      <formula>D$9&gt;=20/24</formula>
    </cfRule>
    <cfRule type="expression" dxfId="3988" priority="78">
      <formula>AND(D$9&gt;=14/24,D$9&lt;20/24)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987" priority="114">
      <formula>C$9&gt;=20/24</formula>
    </cfRule>
  </conditionalFormatting>
  <conditionalFormatting sqref="S8">
    <cfRule type="expression" dxfId="3986" priority="101">
      <formula>U$9&gt;=20/24</formula>
    </cfRule>
    <cfRule type="expression" dxfId="3985" priority="102">
      <formula>AND(U$9&gt;=14/24,U$9&lt;20/24)</formula>
    </cfRule>
    <cfRule type="expression" dxfId="3984" priority="103">
      <formula>AND(U$9&gt;=8/24,U$9&lt;14/24)</formula>
    </cfRule>
    <cfRule type="expression" dxfId="3983" priority="104">
      <formula>U$9&lt;8/24</formula>
    </cfRule>
  </conditionalFormatting>
  <conditionalFormatting sqref="T248">
    <cfRule type="expression" dxfId="3982" priority="129">
      <formula>AX$9&lt;8/24</formula>
    </cfRule>
    <cfRule type="expression" dxfId="3981" priority="126">
      <formula>AX$9&gt;=20/24</formula>
    </cfRule>
    <cfRule type="expression" dxfId="3980" priority="127">
      <formula>AND(AX$9&gt;=14/24,AX$9&lt;20/24)</formula>
    </cfRule>
    <cfRule type="expression" dxfId="3979" priority="128">
      <formula>AND(AX$9&gt;=8/24,AX$9&lt;14/24)</formula>
    </cfRule>
  </conditionalFormatting>
  <conditionalFormatting sqref="T55:AF60">
    <cfRule type="expression" dxfId="3978" priority="13">
      <formula>T$9&lt;8/24</formula>
    </cfRule>
    <cfRule type="expression" dxfId="3977" priority="11">
      <formula>AND(T$9&gt;=14/24,T$9&lt;20/24)</formula>
    </cfRule>
    <cfRule type="expression" dxfId="3976" priority="10">
      <formula>T$9&gt;=20/24</formula>
    </cfRule>
    <cfRule type="expression" dxfId="3975" priority="12">
      <formula>AND(T$9&gt;=8/24,T$9&lt;14/24)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W62:AF62 B54:C66 T61:Z66">
    <cfRule type="expression" dxfId="3974" priority="33">
      <formula>B54&gt;$AG54</formula>
    </cfRule>
  </conditionalFormatting>
  <conditionalFormatting sqref="AB8">
    <cfRule type="expression" dxfId="3973" priority="97">
      <formula>AD$9&gt;=20/24</formula>
    </cfRule>
    <cfRule type="expression" dxfId="3972" priority="98">
      <formula>AND(AD$9&gt;=14/24,AD$9&lt;20/24)</formula>
    </cfRule>
    <cfRule type="expression" dxfId="3971" priority="99">
      <formula>AND(AD$9&gt;=8/24,AD$9&lt;14/24)</formula>
    </cfRule>
    <cfRule type="expression" dxfId="3970" priority="100">
      <formula>AD$9&lt;8/24</formula>
    </cfRule>
  </conditionalFormatting>
  <conditionalFormatting sqref="AF61:AF66">
    <cfRule type="expression" dxfId="3969" priority="6">
      <formula>AF$9&gt;=20/24</formula>
    </cfRule>
    <cfRule type="expression" dxfId="3968" priority="7">
      <formula>AND(AF$9&gt;=14/24,AF$9&lt;20/24)</formula>
    </cfRule>
    <cfRule type="expression" dxfId="3967" priority="9">
      <formula>AF$9&lt;8/24</formula>
    </cfRule>
    <cfRule type="expression" dxfId="3966" priority="8">
      <formula>AND(AF$9&gt;=8/24,AF$9&lt;14/24)</formula>
    </cfRule>
  </conditionalFormatting>
  <conditionalFormatting sqref="AG50">
    <cfRule type="expression" dxfId="3965" priority="84">
      <formula>AG50&gt;$AG50</formula>
    </cfRule>
  </conditionalFormatting>
  <conditionalFormatting sqref="AG89">
    <cfRule type="expression" dxfId="3964" priority="85">
      <formula>AG$9&gt;=20/24</formula>
    </cfRule>
    <cfRule type="expression" dxfId="3963" priority="86">
      <formula>AND(AG$9&gt;=14/24,AG$9&lt;20/24)</formula>
    </cfRule>
    <cfRule type="expression" dxfId="3962" priority="87">
      <formula>AND(AG$9&gt;=8/24,AG$9&lt;14/24)</formula>
    </cfRule>
    <cfRule type="expression" dxfId="3961" priority="88">
      <formula>AG$9&lt;8/24</formula>
    </cfRule>
  </conditionalFormatting>
  <conditionalFormatting sqref="AG248">
    <cfRule type="expression" dxfId="3960" priority="119">
      <formula>AND(B$9&gt;=14/24,B$9&lt;20/24)</formula>
    </cfRule>
    <cfRule type="expression" dxfId="3959" priority="118">
      <formula>B$9&gt;=20/24</formula>
    </cfRule>
    <cfRule type="expression" dxfId="3958" priority="120">
      <formula>AND(B$9&gt;=8/24,B$9&lt;14/24)</formula>
    </cfRule>
    <cfRule type="expression" dxfId="3957" priority="121">
      <formula>B$9&lt;8/24</formula>
    </cfRule>
  </conditionalFormatting>
  <conditionalFormatting sqref="AH248:AX248">
    <cfRule type="expression" dxfId="3956" priority="122">
      <formula>AG$9&gt;=20/24</formula>
    </cfRule>
    <cfRule type="expression" dxfId="3955" priority="123">
      <formula>AND(AG$9&gt;=14/24,AG$9&lt;20/24)</formula>
    </cfRule>
    <cfRule type="expression" dxfId="3954" priority="124">
      <formula>AND(AG$9&gt;=8/24,AG$9&lt;14/24)</formula>
    </cfRule>
    <cfRule type="expression" dxfId="3953" priority="125">
      <formula>AG$9&lt;8/24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952" priority="131">
      <formula>AJ$9&gt;=20/24</formula>
    </cfRule>
    <cfRule type="expression" dxfId="3951" priority="132">
      <formula>AND(AJ$9&gt;=14/24,AJ$9&lt;20/24)</formula>
    </cfRule>
    <cfRule type="expression" dxfId="3950" priority="133">
      <formula>AND(AJ$9&gt;=8/24,AJ$9&lt;14/24)</formula>
    </cfRule>
    <cfRule type="expression" dxfId="3949" priority="134">
      <formula>AJ$9&lt;8/24</formula>
    </cfRule>
  </conditionalFormatting>
  <conditionalFormatting sqref="AL80:AN80 AL86:AN86">
    <cfRule type="expression" dxfId="3948" priority="72">
      <formula>AL$9&gt;=20/24</formula>
    </cfRule>
    <cfRule type="expression" dxfId="3947" priority="73">
      <formula>AND(AL$9&gt;=14/24,AL$9&lt;20/24)</formula>
    </cfRule>
    <cfRule type="expression" dxfId="3946" priority="74">
      <formula>AND(AL$9&gt;=8/24,AL$9&lt;14/24)</formula>
    </cfRule>
    <cfRule type="expression" dxfId="3945" priority="75">
      <formula>AL$9&lt;8/24</formula>
    </cfRule>
  </conditionalFormatting>
  <conditionalFormatting sqref="AN81:AN84">
    <cfRule type="expression" dxfId="3944" priority="68">
      <formula>AN$9&gt;=20/24</formula>
    </cfRule>
    <cfRule type="expression" dxfId="3943" priority="69">
      <formula>AND(AN$9&gt;=14/24,AN$9&lt;20/24)</formula>
    </cfRule>
    <cfRule type="expression" dxfId="3942" priority="70">
      <formula>AND(AN$9&gt;=8/24,AN$9&lt;14/24)</formula>
    </cfRule>
    <cfRule type="expression" dxfId="3941" priority="71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833B-63BB-4EF4-9175-6C8EA5A7B89B}">
  <dimension ref="A1:CJ281"/>
  <sheetViews>
    <sheetView zoomScale="90" zoomScaleNormal="90" workbookViewId="0">
      <pane xSplit="1" ySplit="10" topLeftCell="E53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F14" sqref="AF1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7.85546875" style="1" customWidth="1"/>
    <col min="11" max="11" width="7.28515625" style="1" customWidth="1"/>
    <col min="12" max="12" width="8.28515625" style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2080/04/28</v>
      </c>
      <c r="C4" s="203"/>
      <c r="D4" s="203"/>
      <c r="E4" s="204" t="str">
        <f ca="1">"2079/"&amp;"12/"&amp;INT(MID(CELL("filename",G6),FIND("]",CELL("filename",G6))+1,200))</f>
        <v>2079/12/28</v>
      </c>
      <c r="F4" s="204"/>
      <c r="G4" s="204"/>
      <c r="H4" s="204" t="str">
        <f ca="1">TEXT(E4,"dddd")</f>
        <v>Thursday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2</v>
      </c>
      <c r="S5" s="30">
        <f t="shared" si="0"/>
        <v>0</v>
      </c>
      <c r="T5" s="30">
        <f t="shared" si="0"/>
        <v>0</v>
      </c>
      <c r="U5" s="30">
        <f t="shared" si="0"/>
        <v>2.2000000000000002</v>
      </c>
      <c r="V5" s="30">
        <f t="shared" si="0"/>
        <v>0</v>
      </c>
      <c r="W5" s="30">
        <f t="shared" si="0"/>
        <v>5.0999999999999996</v>
      </c>
      <c r="X5" s="30">
        <f t="shared" si="0"/>
        <v>11</v>
      </c>
      <c r="Y5" s="30">
        <f t="shared" si="0"/>
        <v>56.5</v>
      </c>
      <c r="Z5" s="30">
        <f t="shared" si="0"/>
        <v>37</v>
      </c>
      <c r="AA5" s="30">
        <f t="shared" si="0"/>
        <v>62</v>
      </c>
      <c r="AB5" s="30">
        <f t="shared" si="0"/>
        <v>60.5</v>
      </c>
      <c r="AC5" s="30">
        <f t="shared" si="0"/>
        <v>66.400000000000006</v>
      </c>
      <c r="AD5" s="30">
        <f t="shared" si="0"/>
        <v>25</v>
      </c>
      <c r="AE5" s="30">
        <f t="shared" si="0"/>
        <v>15.9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1953MW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Load=1803</v>
      </c>
      <c r="B7" s="35">
        <f t="shared" ref="B7:AF7" si="1">B91</f>
        <v>1912.62</v>
      </c>
      <c r="C7" s="35">
        <f t="shared" si="1"/>
        <v>1876.52</v>
      </c>
      <c r="D7" s="35">
        <f t="shared" si="1"/>
        <v>1812.02</v>
      </c>
      <c r="E7" s="35">
        <f t="shared" si="1"/>
        <v>1807.02</v>
      </c>
      <c r="F7" s="35">
        <f t="shared" si="1"/>
        <v>1802.92</v>
      </c>
      <c r="G7" s="35">
        <f t="shared" si="1"/>
        <v>1822.82</v>
      </c>
      <c r="H7" s="35">
        <f t="shared" si="1"/>
        <v>1842.82</v>
      </c>
      <c r="I7" s="35">
        <f t="shared" si="1"/>
        <v>1825.52</v>
      </c>
      <c r="J7" s="35">
        <f t="shared" si="1"/>
        <v>1861.02</v>
      </c>
      <c r="K7" s="35">
        <f t="shared" si="1"/>
        <v>1929.62</v>
      </c>
      <c r="L7" s="35">
        <f t="shared" si="1"/>
        <v>1953.12</v>
      </c>
      <c r="M7" s="35">
        <f t="shared" si="1"/>
        <v>1928.42</v>
      </c>
      <c r="N7" s="35">
        <f>N91</f>
        <v>1824.2199999999998</v>
      </c>
      <c r="O7" s="35">
        <f t="shared" si="1"/>
        <v>1874.62</v>
      </c>
      <c r="P7" s="35">
        <f t="shared" si="1"/>
        <v>1895.52</v>
      </c>
      <c r="Q7" s="35">
        <f t="shared" si="1"/>
        <v>1885.02</v>
      </c>
      <c r="R7" s="35">
        <f t="shared" si="1"/>
        <v>1852.32</v>
      </c>
      <c r="S7" s="35">
        <f t="shared" si="1"/>
        <v>1936.52</v>
      </c>
      <c r="T7" s="35">
        <f t="shared" si="1"/>
        <v>1900.6399999999999</v>
      </c>
      <c r="U7" s="35">
        <f t="shared" si="1"/>
        <v>1915.1399999999999</v>
      </c>
      <c r="V7" s="35">
        <f t="shared" si="1"/>
        <v>1851.0400000000002</v>
      </c>
      <c r="W7" s="35">
        <f t="shared" si="1"/>
        <v>1878.5700000000002</v>
      </c>
      <c r="X7" s="35">
        <f t="shared" si="1"/>
        <v>1802.74</v>
      </c>
      <c r="Y7" s="35">
        <f t="shared" si="1"/>
        <v>1850.7399999999998</v>
      </c>
      <c r="Z7" s="35">
        <f t="shared" si="1"/>
        <v>1874.94</v>
      </c>
      <c r="AA7" s="35">
        <f t="shared" si="1"/>
        <v>2029.5900000000001</v>
      </c>
      <c r="AB7" s="35">
        <f t="shared" si="1"/>
        <v>1954.94</v>
      </c>
      <c r="AC7" s="35">
        <f t="shared" si="1"/>
        <v>1985.44</v>
      </c>
      <c r="AD7" s="35">
        <f t="shared" si="1"/>
        <v>1981.3400000000001</v>
      </c>
      <c r="AE7" s="35">
        <f t="shared" si="1"/>
        <v>1909.1399999999999</v>
      </c>
      <c r="AF7" s="35">
        <f t="shared" si="1"/>
        <v>1866.54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86.8</v>
      </c>
      <c r="C11" s="45">
        <v>86.8</v>
      </c>
      <c r="D11" s="45">
        <v>86.8</v>
      </c>
      <c r="E11" s="45">
        <v>86.8</v>
      </c>
      <c r="F11" s="45">
        <v>86.8</v>
      </c>
      <c r="G11" s="45">
        <v>86.8</v>
      </c>
      <c r="H11" s="45">
        <v>86.8</v>
      </c>
      <c r="I11" s="45">
        <v>86.8</v>
      </c>
      <c r="J11" s="45">
        <v>86.8</v>
      </c>
      <c r="K11" s="45">
        <v>86.8</v>
      </c>
      <c r="L11" s="45">
        <v>86.8</v>
      </c>
      <c r="M11" s="45">
        <v>86.8</v>
      </c>
      <c r="N11" s="45">
        <v>86.8</v>
      </c>
      <c r="O11" s="45">
        <v>86.8</v>
      </c>
      <c r="P11" s="45">
        <v>90.3</v>
      </c>
      <c r="Q11" s="45">
        <v>90.3</v>
      </c>
      <c r="R11" s="45">
        <v>90.3</v>
      </c>
      <c r="S11" s="45">
        <v>90.3</v>
      </c>
      <c r="T11" s="45">
        <v>90</v>
      </c>
      <c r="U11" s="45">
        <v>90.3</v>
      </c>
      <c r="V11" s="45">
        <v>30.9</v>
      </c>
      <c r="W11" s="45">
        <v>30.8</v>
      </c>
      <c r="X11" s="45">
        <v>30.8</v>
      </c>
      <c r="Y11" s="45">
        <v>90.2</v>
      </c>
      <c r="Z11" s="45">
        <v>60.8</v>
      </c>
      <c r="AA11" s="45">
        <v>60.8</v>
      </c>
      <c r="AB11" s="45">
        <v>60.6</v>
      </c>
      <c r="AC11" s="45">
        <v>60.6</v>
      </c>
      <c r="AD11" s="45">
        <v>60.6</v>
      </c>
      <c r="AE11" s="45">
        <v>90</v>
      </c>
      <c r="AF11" s="45">
        <v>89.9</v>
      </c>
      <c r="AG11" s="46">
        <v>86</v>
      </c>
      <c r="AH11" s="47">
        <f t="shared" ref="AH11:AH76" si="2">MAX(B11:AF11)</f>
        <v>90.3</v>
      </c>
      <c r="AI11" s="48">
        <f t="shared" ref="AI11:AI76" si="3">MIN(B11:AF11)</f>
        <v>30.8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3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>
        <f t="shared" si="2"/>
        <v>3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54.9</v>
      </c>
      <c r="C13" s="45">
        <v>54.9</v>
      </c>
      <c r="D13" s="45">
        <v>54.9</v>
      </c>
      <c r="E13" s="45">
        <v>54.9</v>
      </c>
      <c r="F13" s="45">
        <v>54.9</v>
      </c>
      <c r="G13" s="45">
        <v>54.9</v>
      </c>
      <c r="H13" s="45">
        <v>54.9</v>
      </c>
      <c r="I13" s="45">
        <v>54.9</v>
      </c>
      <c r="J13" s="45">
        <v>54.9</v>
      </c>
      <c r="K13" s="45">
        <v>54.9</v>
      </c>
      <c r="L13" s="45">
        <v>54.9</v>
      </c>
      <c r="M13" s="45">
        <v>54.9</v>
      </c>
      <c r="N13" s="45">
        <v>54.9</v>
      </c>
      <c r="O13" s="45">
        <v>54.9</v>
      </c>
      <c r="P13" s="45">
        <v>54.9</v>
      </c>
      <c r="Q13" s="45">
        <v>54.9</v>
      </c>
      <c r="R13" s="45">
        <v>54.9</v>
      </c>
      <c r="S13" s="45">
        <v>54.9</v>
      </c>
      <c r="T13" s="45">
        <v>54.9</v>
      </c>
      <c r="U13" s="45">
        <v>54.9</v>
      </c>
      <c r="V13" s="45">
        <v>54.6</v>
      </c>
      <c r="W13" s="45">
        <v>54.6</v>
      </c>
      <c r="X13" s="45">
        <v>0</v>
      </c>
      <c r="Y13" s="45">
        <v>0</v>
      </c>
      <c r="Z13" s="45">
        <v>0</v>
      </c>
      <c r="AA13" s="45">
        <v>27.4</v>
      </c>
      <c r="AB13" s="45">
        <v>54.8</v>
      </c>
      <c r="AC13" s="45">
        <v>54.8</v>
      </c>
      <c r="AD13" s="45">
        <v>54.8</v>
      </c>
      <c r="AE13" s="45">
        <v>54.7</v>
      </c>
      <c r="AF13" s="45">
        <v>54.9</v>
      </c>
      <c r="AG13" s="46">
        <v>52.4</v>
      </c>
      <c r="AH13" s="47">
        <f t="shared" si="2"/>
        <v>54.9</v>
      </c>
      <c r="AI13" s="48">
        <f t="shared" si="3"/>
        <v>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50.2</v>
      </c>
      <c r="C14" s="45">
        <v>50.1</v>
      </c>
      <c r="D14" s="45">
        <v>50.2</v>
      </c>
      <c r="E14" s="45">
        <v>50.2</v>
      </c>
      <c r="F14" s="45">
        <v>50.2</v>
      </c>
      <c r="G14" s="45">
        <v>50.2</v>
      </c>
      <c r="H14" s="45">
        <v>50.2</v>
      </c>
      <c r="I14" s="45">
        <v>50.2</v>
      </c>
      <c r="J14" s="45">
        <v>50.2</v>
      </c>
      <c r="K14" s="45">
        <v>50.2</v>
      </c>
      <c r="L14" s="45">
        <v>50.2</v>
      </c>
      <c r="M14" s="45">
        <v>50.2</v>
      </c>
      <c r="N14" s="45">
        <v>50.2</v>
      </c>
      <c r="O14" s="45">
        <v>50.2</v>
      </c>
      <c r="P14" s="45">
        <v>50.2</v>
      </c>
      <c r="Q14" s="45">
        <v>50.2</v>
      </c>
      <c r="R14" s="45">
        <v>50.2</v>
      </c>
      <c r="S14" s="45">
        <v>50.2</v>
      </c>
      <c r="T14" s="58">
        <v>50.2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9">
        <v>50</v>
      </c>
      <c r="AH14" s="47">
        <f t="shared" si="2"/>
        <v>50.2</v>
      </c>
      <c r="AI14" s="48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37</v>
      </c>
      <c r="C15" s="45">
        <v>37</v>
      </c>
      <c r="D15" s="45">
        <v>37</v>
      </c>
      <c r="E15" s="45">
        <v>37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23.8</v>
      </c>
      <c r="L15" s="45">
        <v>23.8</v>
      </c>
      <c r="M15" s="45">
        <v>46.1</v>
      </c>
      <c r="N15" s="45">
        <v>46.1</v>
      </c>
      <c r="O15" s="45">
        <v>46.1</v>
      </c>
      <c r="P15" s="45">
        <v>46.1</v>
      </c>
      <c r="Q15" s="45">
        <v>46.1</v>
      </c>
      <c r="R15" s="45">
        <v>46.1</v>
      </c>
      <c r="S15" s="45">
        <v>46.1</v>
      </c>
      <c r="T15" s="45">
        <v>45.9</v>
      </c>
      <c r="U15" s="45">
        <v>45.8</v>
      </c>
      <c r="V15" s="45">
        <v>45.9</v>
      </c>
      <c r="W15" s="45">
        <v>45.9</v>
      </c>
      <c r="X15" s="45">
        <v>45.9</v>
      </c>
      <c r="Y15" s="45">
        <v>46</v>
      </c>
      <c r="Z15" s="45">
        <v>45.7</v>
      </c>
      <c r="AA15" s="45">
        <v>45.7</v>
      </c>
      <c r="AB15" s="45">
        <v>45.8</v>
      </c>
      <c r="AC15" s="45">
        <v>45.8</v>
      </c>
      <c r="AD15" s="45">
        <v>45.8</v>
      </c>
      <c r="AE15" s="45">
        <v>45.8</v>
      </c>
      <c r="AF15" s="45">
        <v>45.9</v>
      </c>
      <c r="AG15" s="49">
        <v>45</v>
      </c>
      <c r="AH15" s="47">
        <f t="shared" si="2"/>
        <v>46.1</v>
      </c>
      <c r="AI15" s="48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38</v>
      </c>
      <c r="C16" s="45">
        <v>38</v>
      </c>
      <c r="D16" s="45">
        <v>38</v>
      </c>
      <c r="E16" s="45">
        <v>38</v>
      </c>
      <c r="F16" s="45">
        <v>38</v>
      </c>
      <c r="G16" s="45">
        <v>38</v>
      </c>
      <c r="H16" s="45">
        <v>38</v>
      </c>
      <c r="I16" s="45">
        <v>38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30</v>
      </c>
      <c r="AF16" s="45">
        <v>43</v>
      </c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22</v>
      </c>
      <c r="C17" s="45">
        <v>22</v>
      </c>
      <c r="D17" s="45">
        <v>22</v>
      </c>
      <c r="E17" s="45">
        <v>27</v>
      </c>
      <c r="F17" s="45">
        <v>27</v>
      </c>
      <c r="G17" s="45">
        <v>27</v>
      </c>
      <c r="H17" s="45">
        <v>27</v>
      </c>
      <c r="I17" s="45">
        <v>27</v>
      </c>
      <c r="J17" s="45">
        <v>27</v>
      </c>
      <c r="K17" s="45">
        <v>27</v>
      </c>
      <c r="L17" s="45">
        <v>27</v>
      </c>
      <c r="M17" s="45">
        <v>27</v>
      </c>
      <c r="N17" s="45">
        <v>30.2</v>
      </c>
      <c r="O17" s="45">
        <v>30.2</v>
      </c>
      <c r="P17" s="45">
        <v>30.2</v>
      </c>
      <c r="Q17" s="45">
        <v>30.2</v>
      </c>
      <c r="R17" s="45">
        <v>30.2</v>
      </c>
      <c r="S17" s="45">
        <v>29.5</v>
      </c>
      <c r="T17" s="45">
        <v>42</v>
      </c>
      <c r="U17" s="45">
        <v>42</v>
      </c>
      <c r="V17" s="45">
        <v>30</v>
      </c>
      <c r="W17" s="45">
        <v>30</v>
      </c>
      <c r="X17" s="45">
        <v>30</v>
      </c>
      <c r="Y17" s="45">
        <v>37</v>
      </c>
      <c r="Z17" s="45">
        <v>37</v>
      </c>
      <c r="AA17" s="45">
        <v>37</v>
      </c>
      <c r="AB17" s="45">
        <v>33.5</v>
      </c>
      <c r="AC17" s="45">
        <v>33.5</v>
      </c>
      <c r="AD17" s="45">
        <v>33.5</v>
      </c>
      <c r="AE17" s="45">
        <v>28</v>
      </c>
      <c r="AF17" s="45">
        <v>28</v>
      </c>
      <c r="AG17" s="49">
        <v>42</v>
      </c>
      <c r="AH17" s="47">
        <f t="shared" si="2"/>
        <v>42</v>
      </c>
      <c r="AI17" s="48">
        <f t="shared" si="3"/>
        <v>22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39</v>
      </c>
      <c r="C18" s="45">
        <v>39</v>
      </c>
      <c r="D18" s="45">
        <v>39</v>
      </c>
      <c r="E18" s="45">
        <v>39</v>
      </c>
      <c r="F18" s="45">
        <v>39</v>
      </c>
      <c r="G18" s="45">
        <v>39</v>
      </c>
      <c r="H18" s="45">
        <v>39</v>
      </c>
      <c r="I18" s="45">
        <v>39</v>
      </c>
      <c r="J18" s="45">
        <v>39</v>
      </c>
      <c r="K18" s="45">
        <v>39</v>
      </c>
      <c r="L18" s="45">
        <v>39</v>
      </c>
      <c r="M18" s="45">
        <v>39</v>
      </c>
      <c r="N18" s="45">
        <v>39</v>
      </c>
      <c r="O18" s="45">
        <v>39</v>
      </c>
      <c r="P18" s="45">
        <v>39</v>
      </c>
      <c r="Q18" s="45">
        <v>39</v>
      </c>
      <c r="R18" s="45">
        <v>39</v>
      </c>
      <c r="S18" s="45">
        <v>39</v>
      </c>
      <c r="T18" s="45">
        <v>39</v>
      </c>
      <c r="U18" s="45">
        <v>39</v>
      </c>
      <c r="V18" s="45">
        <v>39</v>
      </c>
      <c r="W18" s="45">
        <v>39</v>
      </c>
      <c r="X18" s="45">
        <v>39</v>
      </c>
      <c r="Y18" s="45">
        <v>39</v>
      </c>
      <c r="Z18" s="45">
        <v>39</v>
      </c>
      <c r="AA18" s="45">
        <v>39</v>
      </c>
      <c r="AB18" s="45">
        <v>38.6</v>
      </c>
      <c r="AC18" s="45">
        <v>38.6</v>
      </c>
      <c r="AD18" s="45">
        <v>38.6</v>
      </c>
      <c r="AE18" s="45">
        <v>38.6</v>
      </c>
      <c r="AF18" s="45">
        <v>38.6</v>
      </c>
      <c r="AG18" s="49">
        <v>38.46</v>
      </c>
      <c r="AH18" s="47">
        <f t="shared" si="2"/>
        <v>39</v>
      </c>
      <c r="AI18" s="48">
        <f t="shared" si="3"/>
        <v>38.6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36</v>
      </c>
      <c r="C19" s="45">
        <v>0</v>
      </c>
      <c r="D19" s="45">
        <v>0</v>
      </c>
      <c r="E19" s="45">
        <v>0</v>
      </c>
      <c r="F19" s="45">
        <v>20</v>
      </c>
      <c r="G19" s="45">
        <v>20</v>
      </c>
      <c r="H19" s="45">
        <v>20</v>
      </c>
      <c r="I19" s="45">
        <v>20</v>
      </c>
      <c r="J19" s="45">
        <v>25</v>
      </c>
      <c r="K19" s="45">
        <v>30</v>
      </c>
      <c r="L19" s="45">
        <v>30</v>
      </c>
      <c r="M19" s="45">
        <v>30</v>
      </c>
      <c r="N19" s="45">
        <v>30</v>
      </c>
      <c r="O19" s="45">
        <v>30</v>
      </c>
      <c r="P19" s="45">
        <v>30</v>
      </c>
      <c r="Q19" s="45">
        <v>30</v>
      </c>
      <c r="R19" s="45">
        <v>30</v>
      </c>
      <c r="S19" s="45">
        <v>30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5</v>
      </c>
      <c r="K20" s="45">
        <v>15</v>
      </c>
      <c r="L20" s="45">
        <v>30</v>
      </c>
      <c r="M20" s="45">
        <v>30</v>
      </c>
      <c r="N20" s="45">
        <v>30</v>
      </c>
      <c r="O20" s="45">
        <v>5.4</v>
      </c>
      <c r="P20" s="45">
        <v>15.4</v>
      </c>
      <c r="Q20" s="45">
        <v>15</v>
      </c>
      <c r="R20" s="45">
        <v>30</v>
      </c>
      <c r="S20" s="45">
        <v>30</v>
      </c>
      <c r="T20" s="45">
        <v>30.2</v>
      </c>
      <c r="U20" s="45">
        <v>30.4</v>
      </c>
      <c r="V20" s="45">
        <v>30</v>
      </c>
      <c r="W20" s="45">
        <v>30</v>
      </c>
      <c r="X20" s="45">
        <v>30</v>
      </c>
      <c r="Y20" s="45">
        <v>30.4</v>
      </c>
      <c r="Z20" s="45">
        <v>30</v>
      </c>
      <c r="AA20" s="45">
        <v>30</v>
      </c>
      <c r="AB20" s="45">
        <v>29.8</v>
      </c>
      <c r="AC20" s="45">
        <v>29.8</v>
      </c>
      <c r="AD20" s="45">
        <v>29.8</v>
      </c>
      <c r="AE20" s="45">
        <v>29.8</v>
      </c>
      <c r="AF20" s="45">
        <v>29.8</v>
      </c>
      <c r="AG20" s="51">
        <v>30</v>
      </c>
      <c r="AH20" s="47">
        <f t="shared" si="2"/>
        <v>30.4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20.9</v>
      </c>
      <c r="C21" s="45">
        <v>20.9</v>
      </c>
      <c r="D21" s="45">
        <v>20.9</v>
      </c>
      <c r="E21" s="45">
        <v>20.9</v>
      </c>
      <c r="F21" s="45">
        <v>20.9</v>
      </c>
      <c r="G21" s="45">
        <v>20.9</v>
      </c>
      <c r="H21" s="45">
        <v>20.9</v>
      </c>
      <c r="I21" s="45">
        <v>20.9</v>
      </c>
      <c r="J21" s="45">
        <v>20.9</v>
      </c>
      <c r="K21" s="45">
        <v>20.9</v>
      </c>
      <c r="L21" s="45">
        <v>20.9</v>
      </c>
      <c r="M21" s="45">
        <v>20.9</v>
      </c>
      <c r="N21" s="45">
        <v>20.9</v>
      </c>
      <c r="O21" s="45">
        <v>20.9</v>
      </c>
      <c r="P21" s="45">
        <v>20.9</v>
      </c>
      <c r="Q21" s="45">
        <v>20.9</v>
      </c>
      <c r="R21" s="45">
        <v>20.9</v>
      </c>
      <c r="S21" s="45">
        <v>20.9</v>
      </c>
      <c r="T21" s="45">
        <v>25</v>
      </c>
      <c r="U21" s="45">
        <v>29.4</v>
      </c>
      <c r="V21" s="45">
        <v>29.4</v>
      </c>
      <c r="W21" s="45">
        <v>29.4</v>
      </c>
      <c r="X21" s="45">
        <v>29.4</v>
      </c>
      <c r="Y21" s="45">
        <v>32.799999999999997</v>
      </c>
      <c r="Z21" s="45">
        <v>33</v>
      </c>
      <c r="AA21" s="45">
        <v>32.799999999999997</v>
      </c>
      <c r="AB21" s="45">
        <v>32.9</v>
      </c>
      <c r="AC21" s="45">
        <v>32.9</v>
      </c>
      <c r="AD21" s="45">
        <v>32.9</v>
      </c>
      <c r="AE21" s="45">
        <v>33</v>
      </c>
      <c r="AF21" s="45">
        <v>33</v>
      </c>
      <c r="AG21" s="49">
        <v>24.2</v>
      </c>
      <c r="AH21" s="47">
        <f t="shared" si="2"/>
        <v>33</v>
      </c>
      <c r="AI21" s="48">
        <f t="shared" si="3"/>
        <v>20.9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21.1</v>
      </c>
      <c r="C22" s="45">
        <v>21.1</v>
      </c>
      <c r="D22" s="45">
        <v>21.1</v>
      </c>
      <c r="E22" s="45">
        <v>21.1</v>
      </c>
      <c r="F22" s="45">
        <v>21.1</v>
      </c>
      <c r="G22" s="45">
        <v>21.1</v>
      </c>
      <c r="H22" s="45">
        <v>21.1</v>
      </c>
      <c r="I22" s="45">
        <v>21.1</v>
      </c>
      <c r="J22" s="45">
        <v>21.1</v>
      </c>
      <c r="K22" s="45">
        <v>21.1</v>
      </c>
      <c r="L22" s="45">
        <v>21.1</v>
      </c>
      <c r="M22" s="45">
        <v>21.1</v>
      </c>
      <c r="N22" s="45">
        <v>21.1</v>
      </c>
      <c r="O22" s="45">
        <v>21.1</v>
      </c>
      <c r="P22" s="45">
        <v>21.1</v>
      </c>
      <c r="Q22" s="45">
        <v>21.1</v>
      </c>
      <c r="R22" s="45">
        <v>21.1</v>
      </c>
      <c r="S22" s="45">
        <v>21.1</v>
      </c>
      <c r="T22" s="45">
        <v>28.4</v>
      </c>
      <c r="U22" s="45">
        <v>28.4</v>
      </c>
      <c r="V22" s="45">
        <v>28.4</v>
      </c>
      <c r="W22" s="45">
        <v>28.4</v>
      </c>
      <c r="X22" s="45">
        <v>28.4</v>
      </c>
      <c r="Y22" s="45">
        <v>0</v>
      </c>
      <c r="Z22" s="45">
        <v>0</v>
      </c>
      <c r="AA22" s="45">
        <v>28.4</v>
      </c>
      <c r="AB22" s="45">
        <v>28.3</v>
      </c>
      <c r="AC22" s="45">
        <v>28.3</v>
      </c>
      <c r="AD22" s="45">
        <v>28.3</v>
      </c>
      <c r="AE22" s="45">
        <v>28.3</v>
      </c>
      <c r="AF22" s="45">
        <v>28.3</v>
      </c>
      <c r="AG22" s="49">
        <v>28</v>
      </c>
      <c r="AH22" s="47">
        <f t="shared" si="2"/>
        <v>28.4</v>
      </c>
      <c r="AI22" s="48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6.5</v>
      </c>
      <c r="K23" s="45">
        <v>10</v>
      </c>
      <c r="L23" s="45">
        <v>13.5</v>
      </c>
      <c r="M23" s="45">
        <v>13.5</v>
      </c>
      <c r="N23" s="45">
        <v>27</v>
      </c>
      <c r="O23" s="45">
        <v>5</v>
      </c>
      <c r="P23" s="45">
        <v>15.5</v>
      </c>
      <c r="Q23" s="45">
        <v>13.5</v>
      </c>
      <c r="R23" s="45">
        <v>27</v>
      </c>
      <c r="S23" s="45">
        <v>27</v>
      </c>
      <c r="T23" s="45">
        <v>27</v>
      </c>
      <c r="U23" s="45">
        <v>27</v>
      </c>
      <c r="V23" s="45">
        <v>27</v>
      </c>
      <c r="W23" s="45">
        <v>27</v>
      </c>
      <c r="X23" s="45">
        <v>27</v>
      </c>
      <c r="Y23" s="45">
        <v>27</v>
      </c>
      <c r="Z23" s="45">
        <v>27</v>
      </c>
      <c r="AA23" s="45">
        <v>27</v>
      </c>
      <c r="AB23" s="45">
        <v>18</v>
      </c>
      <c r="AC23" s="45">
        <v>18</v>
      </c>
      <c r="AD23" s="45">
        <v>18</v>
      </c>
      <c r="AE23" s="45">
        <v>18</v>
      </c>
      <c r="AF23" s="45">
        <v>0</v>
      </c>
      <c r="AG23" s="51">
        <v>30</v>
      </c>
      <c r="AH23" s="47">
        <f t="shared" si="2"/>
        <v>27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20.5</v>
      </c>
      <c r="C24" s="45">
        <v>20.5</v>
      </c>
      <c r="D24" s="45">
        <v>20.5</v>
      </c>
      <c r="E24" s="45">
        <v>20.5</v>
      </c>
      <c r="F24" s="45">
        <v>20.5</v>
      </c>
      <c r="G24" s="45">
        <v>20.5</v>
      </c>
      <c r="H24" s="45">
        <v>20.5</v>
      </c>
      <c r="I24" s="45">
        <v>20.5</v>
      </c>
      <c r="J24" s="45">
        <v>20.5</v>
      </c>
      <c r="K24" s="45">
        <v>20.5</v>
      </c>
      <c r="L24" s="45">
        <v>20.5</v>
      </c>
      <c r="M24" s="45">
        <v>20.5</v>
      </c>
      <c r="N24" s="45">
        <v>24.5</v>
      </c>
      <c r="O24" s="45">
        <v>24.5</v>
      </c>
      <c r="P24" s="45">
        <v>24.5</v>
      </c>
      <c r="Q24" s="45">
        <v>24.5</v>
      </c>
      <c r="R24" s="45">
        <v>24.5</v>
      </c>
      <c r="S24" s="45">
        <v>24.5</v>
      </c>
      <c r="T24" s="45">
        <v>24.5</v>
      </c>
      <c r="U24" s="45">
        <v>24</v>
      </c>
      <c r="V24" s="45">
        <v>24</v>
      </c>
      <c r="W24" s="45">
        <v>24</v>
      </c>
      <c r="X24" s="45">
        <v>24</v>
      </c>
      <c r="Y24" s="45">
        <v>1.8</v>
      </c>
      <c r="Z24" s="45">
        <v>1.8</v>
      </c>
      <c r="AA24" s="45">
        <v>1.8</v>
      </c>
      <c r="AB24" s="45">
        <v>0</v>
      </c>
      <c r="AC24" s="45">
        <v>0</v>
      </c>
      <c r="AD24" s="45">
        <v>0</v>
      </c>
      <c r="AE24" s="45">
        <v>26</v>
      </c>
      <c r="AF24" s="45">
        <v>26</v>
      </c>
      <c r="AG24" s="49">
        <v>25</v>
      </c>
      <c r="AH24" s="47">
        <f t="shared" si="2"/>
        <v>26</v>
      </c>
      <c r="AI24" s="48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24</v>
      </c>
      <c r="C26" s="45">
        <v>24</v>
      </c>
      <c r="D26" s="45">
        <v>18</v>
      </c>
      <c r="E26" s="45">
        <v>18</v>
      </c>
      <c r="F26" s="45">
        <v>18</v>
      </c>
      <c r="G26" s="45">
        <v>18</v>
      </c>
      <c r="H26" s="45">
        <v>18</v>
      </c>
      <c r="I26" s="45">
        <v>18</v>
      </c>
      <c r="J26" s="45">
        <v>18</v>
      </c>
      <c r="K26" s="45">
        <v>18</v>
      </c>
      <c r="L26" s="45">
        <v>18</v>
      </c>
      <c r="M26" s="45">
        <v>18</v>
      </c>
      <c r="N26" s="45">
        <v>18</v>
      </c>
      <c r="O26" s="45">
        <v>18</v>
      </c>
      <c r="P26" s="45">
        <v>18</v>
      </c>
      <c r="Q26" s="45">
        <v>18</v>
      </c>
      <c r="R26" s="45">
        <v>18</v>
      </c>
      <c r="S26" s="45">
        <v>18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18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6.5</v>
      </c>
      <c r="K27" s="45">
        <v>12.5</v>
      </c>
      <c r="L27" s="45">
        <v>12.5</v>
      </c>
      <c r="M27" s="45">
        <v>12.5</v>
      </c>
      <c r="N27" s="45">
        <v>25</v>
      </c>
      <c r="O27" s="45">
        <v>5</v>
      </c>
      <c r="P27" s="45">
        <v>12.5</v>
      </c>
      <c r="Q27" s="45">
        <v>12.5</v>
      </c>
      <c r="R27" s="45">
        <v>25</v>
      </c>
      <c r="S27" s="45">
        <v>25</v>
      </c>
      <c r="T27" s="45">
        <v>25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</v>
      </c>
      <c r="C28" s="45">
        <v>24</v>
      </c>
      <c r="D28" s="45">
        <v>24</v>
      </c>
      <c r="E28" s="45">
        <v>24</v>
      </c>
      <c r="F28" s="45">
        <v>24</v>
      </c>
      <c r="G28" s="45">
        <v>24</v>
      </c>
      <c r="H28" s="45">
        <v>24</v>
      </c>
      <c r="I28" s="45">
        <v>24</v>
      </c>
      <c r="J28" s="45">
        <v>24</v>
      </c>
      <c r="K28" s="45">
        <v>24</v>
      </c>
      <c r="L28" s="45">
        <v>24</v>
      </c>
      <c r="M28" s="45">
        <v>24</v>
      </c>
      <c r="N28" s="45">
        <v>24</v>
      </c>
      <c r="O28" s="45">
        <v>24</v>
      </c>
      <c r="P28" s="45">
        <v>24</v>
      </c>
      <c r="Q28" s="45">
        <v>24</v>
      </c>
      <c r="R28" s="45">
        <v>24</v>
      </c>
      <c r="S28" s="45">
        <v>24</v>
      </c>
      <c r="T28" s="45">
        <v>19.100000000000001</v>
      </c>
      <c r="U28" s="45">
        <v>24.5</v>
      </c>
      <c r="V28" s="45">
        <v>24.2</v>
      </c>
      <c r="W28" s="45">
        <v>24.2</v>
      </c>
      <c r="X28" s="45">
        <v>24.2</v>
      </c>
      <c r="Y28" s="45">
        <v>24.2</v>
      </c>
      <c r="Z28" s="45">
        <v>23.2</v>
      </c>
      <c r="AA28" s="45">
        <v>24.3</v>
      </c>
      <c r="AB28" s="45">
        <v>24.3</v>
      </c>
      <c r="AC28" s="45">
        <v>24.3</v>
      </c>
      <c r="AD28" s="45">
        <v>24.3</v>
      </c>
      <c r="AE28" s="45">
        <v>23.7</v>
      </c>
      <c r="AF28" s="45">
        <v>24.7</v>
      </c>
      <c r="AG28" s="49">
        <v>23.5</v>
      </c>
      <c r="AH28" s="47">
        <f t="shared" si="2"/>
        <v>24.7</v>
      </c>
      <c r="AI28" s="48">
        <f t="shared" si="3"/>
        <v>19.100000000000001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0</v>
      </c>
      <c r="V29" s="45">
        <v>0</v>
      </c>
      <c r="W29" s="45">
        <v>0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3</v>
      </c>
      <c r="N30" s="45">
        <v>7</v>
      </c>
      <c r="O30" s="45">
        <v>0</v>
      </c>
      <c r="P30" s="45">
        <v>7</v>
      </c>
      <c r="Q30" s="45">
        <v>7</v>
      </c>
      <c r="R30" s="45">
        <v>7</v>
      </c>
      <c r="S30" s="45">
        <v>7</v>
      </c>
      <c r="T30" s="45">
        <v>7</v>
      </c>
      <c r="U30" s="45">
        <v>7</v>
      </c>
      <c r="V30" s="45">
        <v>7</v>
      </c>
      <c r="W30" s="45">
        <v>7</v>
      </c>
      <c r="X30" s="45">
        <v>7</v>
      </c>
      <c r="Y30" s="45">
        <v>7</v>
      </c>
      <c r="Z30" s="45">
        <v>7</v>
      </c>
      <c r="AA30" s="45">
        <v>7</v>
      </c>
      <c r="AB30" s="45">
        <v>7</v>
      </c>
      <c r="AC30" s="45">
        <v>7</v>
      </c>
      <c r="AD30" s="45">
        <v>7</v>
      </c>
      <c r="AE30" s="45">
        <v>7</v>
      </c>
      <c r="AF30" s="45">
        <v>7</v>
      </c>
      <c r="AG30" s="49">
        <v>22.1</v>
      </c>
      <c r="AH30" s="47">
        <f t="shared" si="2"/>
        <v>7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15</v>
      </c>
      <c r="AC31" s="45">
        <v>21</v>
      </c>
      <c r="AD31" s="45">
        <v>21</v>
      </c>
      <c r="AE31" s="45">
        <v>21</v>
      </c>
      <c r="AF31" s="45">
        <v>21</v>
      </c>
      <c r="AG31" s="49">
        <v>22</v>
      </c>
      <c r="AH31" s="47">
        <f t="shared" si="2"/>
        <v>22</v>
      </c>
      <c r="AI31" s="48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26</v>
      </c>
      <c r="C32" s="45">
        <v>26</v>
      </c>
      <c r="D32" s="45">
        <v>15</v>
      </c>
      <c r="E32" s="45">
        <v>15</v>
      </c>
      <c r="F32" s="45">
        <v>15</v>
      </c>
      <c r="G32" s="45">
        <v>15</v>
      </c>
      <c r="H32" s="45">
        <v>15</v>
      </c>
      <c r="I32" s="45">
        <v>15</v>
      </c>
      <c r="J32" s="45">
        <v>15</v>
      </c>
      <c r="K32" s="45">
        <v>15</v>
      </c>
      <c r="L32" s="45">
        <v>15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22.1</v>
      </c>
      <c r="U32" s="45">
        <v>20.5</v>
      </c>
      <c r="V32" s="45">
        <v>21.5</v>
      </c>
      <c r="W32" s="45">
        <v>21.5</v>
      </c>
      <c r="X32" s="45">
        <v>21.5</v>
      </c>
      <c r="Y32" s="45">
        <v>21.6</v>
      </c>
      <c r="Z32" s="45">
        <v>18.899999999999999</v>
      </c>
      <c r="AA32" s="45">
        <v>20.399999999999999</v>
      </c>
      <c r="AB32" s="45">
        <v>21</v>
      </c>
      <c r="AC32" s="45">
        <v>21</v>
      </c>
      <c r="AD32" s="45">
        <v>21</v>
      </c>
      <c r="AE32" s="45">
        <v>21</v>
      </c>
      <c r="AF32" s="45">
        <v>21</v>
      </c>
      <c r="AG32" s="49">
        <v>22</v>
      </c>
      <c r="AH32" s="47">
        <f t="shared" si="2"/>
        <v>26</v>
      </c>
      <c r="AI32" s="48">
        <f t="shared" si="3"/>
        <v>15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10</v>
      </c>
      <c r="V33" s="45">
        <v>15</v>
      </c>
      <c r="W33" s="45">
        <v>15</v>
      </c>
      <c r="X33" s="45">
        <v>15</v>
      </c>
      <c r="Y33" s="45">
        <v>15</v>
      </c>
      <c r="Z33" s="45">
        <v>15</v>
      </c>
      <c r="AA33" s="45">
        <v>15</v>
      </c>
      <c r="AB33" s="45">
        <v>15</v>
      </c>
      <c r="AC33" s="45">
        <v>15</v>
      </c>
      <c r="AD33" s="45">
        <v>15</v>
      </c>
      <c r="AE33" s="45">
        <v>8</v>
      </c>
      <c r="AF33" s="45">
        <v>8</v>
      </c>
      <c r="AG33" s="49">
        <v>20</v>
      </c>
      <c r="AH33" s="47">
        <f t="shared" si="2"/>
        <v>15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9</v>
      </c>
      <c r="V34" s="45">
        <v>9</v>
      </c>
      <c r="W34" s="45">
        <v>9</v>
      </c>
      <c r="X34" s="45">
        <v>9</v>
      </c>
      <c r="Y34" s="45">
        <v>9</v>
      </c>
      <c r="Z34" s="45">
        <v>9</v>
      </c>
      <c r="AA34" s="45">
        <v>9</v>
      </c>
      <c r="AB34" s="45">
        <v>9</v>
      </c>
      <c r="AC34" s="45">
        <v>9</v>
      </c>
      <c r="AD34" s="45">
        <v>9</v>
      </c>
      <c r="AE34" s="45">
        <v>5</v>
      </c>
      <c r="AF34" s="45">
        <v>5</v>
      </c>
      <c r="AG34" s="49">
        <v>18</v>
      </c>
      <c r="AH34" s="47">
        <f t="shared" si="2"/>
        <v>9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15.3</v>
      </c>
      <c r="T35" s="45">
        <v>15.3</v>
      </c>
      <c r="U35" s="45">
        <v>15.3</v>
      </c>
      <c r="V35" s="45">
        <v>15.3</v>
      </c>
      <c r="W35" s="45">
        <v>15.3</v>
      </c>
      <c r="X35" s="45">
        <v>15.3</v>
      </c>
      <c r="Y35" s="45">
        <v>15.3</v>
      </c>
      <c r="Z35" s="45">
        <v>15.3</v>
      </c>
      <c r="AA35" s="45">
        <v>15.3</v>
      </c>
      <c r="AB35" s="45">
        <v>15.3</v>
      </c>
      <c r="AC35" s="45">
        <v>15.3</v>
      </c>
      <c r="AD35" s="45">
        <v>15.3</v>
      </c>
      <c r="AE35" s="45">
        <v>15.3</v>
      </c>
      <c r="AF35" s="45">
        <v>15.3</v>
      </c>
      <c r="AG35" s="49">
        <v>14.9</v>
      </c>
      <c r="AH35" s="47">
        <f t="shared" si="2"/>
        <v>15.3</v>
      </c>
      <c r="AI35" s="48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9</v>
      </c>
      <c r="C38" s="45">
        <v>9</v>
      </c>
      <c r="D38" s="45">
        <v>9</v>
      </c>
      <c r="E38" s="45">
        <v>9</v>
      </c>
      <c r="F38" s="45">
        <v>9</v>
      </c>
      <c r="G38" s="45">
        <v>9</v>
      </c>
      <c r="H38" s="45">
        <v>9</v>
      </c>
      <c r="I38" s="45">
        <v>9</v>
      </c>
      <c r="J38" s="45">
        <v>9</v>
      </c>
      <c r="K38" s="45">
        <v>9</v>
      </c>
      <c r="L38" s="45">
        <v>9</v>
      </c>
      <c r="M38" s="45">
        <v>9</v>
      </c>
      <c r="N38" s="45">
        <v>9</v>
      </c>
      <c r="O38" s="45">
        <v>9</v>
      </c>
      <c r="P38" s="45">
        <v>9</v>
      </c>
      <c r="Q38" s="45">
        <v>9</v>
      </c>
      <c r="R38" s="45">
        <v>9</v>
      </c>
      <c r="S38" s="45">
        <v>9</v>
      </c>
      <c r="T38" s="45">
        <v>9</v>
      </c>
      <c r="U38" s="45">
        <v>9</v>
      </c>
      <c r="V38" s="45">
        <v>9</v>
      </c>
      <c r="W38" s="45">
        <v>9</v>
      </c>
      <c r="X38" s="45">
        <v>9</v>
      </c>
      <c r="Y38" s="45">
        <v>9</v>
      </c>
      <c r="Z38" s="45">
        <v>9</v>
      </c>
      <c r="AA38" s="45">
        <v>9</v>
      </c>
      <c r="AB38" s="45">
        <v>12.5</v>
      </c>
      <c r="AC38" s="45">
        <v>12.5</v>
      </c>
      <c r="AD38" s="45">
        <v>12.5</v>
      </c>
      <c r="AE38" s="45">
        <v>12.5</v>
      </c>
      <c r="AF38" s="45">
        <v>12.5</v>
      </c>
      <c r="AG38" s="49">
        <v>13</v>
      </c>
      <c r="AH38" s="47">
        <f t="shared" si="2"/>
        <v>12.5</v>
      </c>
      <c r="AI38" s="48">
        <f t="shared" si="3"/>
        <v>9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6.5</v>
      </c>
      <c r="K39" s="45">
        <v>12</v>
      </c>
      <c r="L39" s="45">
        <v>12</v>
      </c>
      <c r="M39" s="45">
        <v>12</v>
      </c>
      <c r="N39" s="45">
        <v>12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7.8</v>
      </c>
      <c r="C40" s="45">
        <v>7.8</v>
      </c>
      <c r="D40" s="45">
        <v>7.8</v>
      </c>
      <c r="E40" s="45">
        <v>7.8</v>
      </c>
      <c r="F40" s="45">
        <v>7.8</v>
      </c>
      <c r="G40" s="45">
        <v>7.8</v>
      </c>
      <c r="H40" s="45">
        <v>7.8</v>
      </c>
      <c r="I40" s="45">
        <v>7.8</v>
      </c>
      <c r="J40" s="45">
        <v>7.8</v>
      </c>
      <c r="K40" s="45">
        <v>7.8</v>
      </c>
      <c r="L40" s="45">
        <v>7.8</v>
      </c>
      <c r="M40" s="45">
        <v>7.8</v>
      </c>
      <c r="N40" s="45">
        <v>7.8</v>
      </c>
      <c r="O40" s="45">
        <v>7.8</v>
      </c>
      <c r="P40" s="45">
        <v>7.8</v>
      </c>
      <c r="Q40" s="45">
        <v>7.8</v>
      </c>
      <c r="R40" s="45">
        <v>7.8</v>
      </c>
      <c r="S40" s="45">
        <v>7.8</v>
      </c>
      <c r="T40" s="45">
        <v>10.1</v>
      </c>
      <c r="U40" s="45">
        <v>10.1</v>
      </c>
      <c r="V40" s="45">
        <v>10.1</v>
      </c>
      <c r="W40" s="45">
        <v>10.1</v>
      </c>
      <c r="X40" s="45">
        <v>10.1</v>
      </c>
      <c r="Y40" s="45">
        <v>10.1</v>
      </c>
      <c r="Z40" s="45">
        <v>10.1</v>
      </c>
      <c r="AA40" s="45">
        <v>10</v>
      </c>
      <c r="AB40" s="45">
        <v>10</v>
      </c>
      <c r="AC40" s="45">
        <v>10</v>
      </c>
      <c r="AD40" s="45">
        <v>0</v>
      </c>
      <c r="AE40" s="45">
        <v>0</v>
      </c>
      <c r="AF40" s="45">
        <v>0</v>
      </c>
      <c r="AG40" s="49">
        <v>12</v>
      </c>
      <c r="AH40" s="47">
        <f t="shared" si="2"/>
        <v>10.1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3</v>
      </c>
      <c r="N41" s="45">
        <v>3</v>
      </c>
      <c r="O41" s="45">
        <v>3</v>
      </c>
      <c r="P41" s="45">
        <v>3</v>
      </c>
      <c r="Q41" s="45">
        <v>3</v>
      </c>
      <c r="R41" s="45">
        <v>3</v>
      </c>
      <c r="S41" s="45">
        <v>3</v>
      </c>
      <c r="T41" s="45">
        <v>7</v>
      </c>
      <c r="U41" s="45">
        <v>12</v>
      </c>
      <c r="V41" s="45">
        <v>12</v>
      </c>
      <c r="W41" s="45">
        <v>12</v>
      </c>
      <c r="X41" s="45">
        <v>12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9">
        <v>12</v>
      </c>
      <c r="AH41" s="47">
        <f t="shared" si="2"/>
        <v>12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0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52">
        <v>22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11.88</v>
      </c>
      <c r="C43" s="45">
        <v>11.88</v>
      </c>
      <c r="D43" s="45">
        <v>11.88</v>
      </c>
      <c r="E43" s="45">
        <v>11.88</v>
      </c>
      <c r="F43" s="45">
        <v>11.88</v>
      </c>
      <c r="G43" s="45">
        <v>11.88</v>
      </c>
      <c r="H43" s="45">
        <v>11.88</v>
      </c>
      <c r="I43" s="45">
        <v>11.88</v>
      </c>
      <c r="J43" s="45">
        <v>11.88</v>
      </c>
      <c r="K43" s="45">
        <v>11.88</v>
      </c>
      <c r="L43" s="45">
        <v>11.88</v>
      </c>
      <c r="M43" s="45">
        <v>11.88</v>
      </c>
      <c r="N43" s="45">
        <v>11.88</v>
      </c>
      <c r="O43" s="45">
        <v>11.88</v>
      </c>
      <c r="P43" s="45">
        <v>11.88</v>
      </c>
      <c r="Q43" s="45">
        <v>11.88</v>
      </c>
      <c r="R43" s="45">
        <v>11.88</v>
      </c>
      <c r="S43" s="45">
        <v>11.88</v>
      </c>
      <c r="T43" s="45">
        <v>11.9</v>
      </c>
      <c r="U43" s="45">
        <v>11.9</v>
      </c>
      <c r="V43" s="45">
        <v>11.9</v>
      </c>
      <c r="W43" s="45">
        <v>11.9</v>
      </c>
      <c r="X43" s="45">
        <v>11.9</v>
      </c>
      <c r="Y43" s="45">
        <v>11.6</v>
      </c>
      <c r="Z43" s="45">
        <v>11.6</v>
      </c>
      <c r="AA43" s="45">
        <v>11.6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51">
        <v>11.88</v>
      </c>
      <c r="AH43" s="47">
        <f t="shared" si="2"/>
        <v>11.9</v>
      </c>
      <c r="AI43" s="48">
        <f t="shared" si="3"/>
        <v>0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</v>
      </c>
      <c r="Z44" s="45">
        <v>10</v>
      </c>
      <c r="AA44" s="45">
        <v>10</v>
      </c>
      <c r="AB44" s="45">
        <v>10</v>
      </c>
      <c r="AC44" s="45">
        <v>10</v>
      </c>
      <c r="AD44" s="45">
        <v>10</v>
      </c>
      <c r="AE44" s="45">
        <v>10</v>
      </c>
      <c r="AF44" s="45">
        <v>10</v>
      </c>
      <c r="AG44" s="54">
        <v>11</v>
      </c>
      <c r="AH44" s="47">
        <f t="shared" si="2"/>
        <v>10.199999999999999</v>
      </c>
      <c r="AI44" s="48">
        <f t="shared" si="3"/>
        <v>10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9</v>
      </c>
      <c r="C46" s="45">
        <v>9</v>
      </c>
      <c r="D46" s="45">
        <v>9</v>
      </c>
      <c r="E46" s="45">
        <v>9</v>
      </c>
      <c r="F46" s="45">
        <v>9</v>
      </c>
      <c r="G46" s="45">
        <v>9</v>
      </c>
      <c r="H46" s="45">
        <v>9</v>
      </c>
      <c r="I46" s="45">
        <v>9</v>
      </c>
      <c r="J46" s="45">
        <v>9</v>
      </c>
      <c r="K46" s="45">
        <v>9</v>
      </c>
      <c r="L46" s="45">
        <v>9</v>
      </c>
      <c r="M46" s="45">
        <v>9</v>
      </c>
      <c r="N46" s="45">
        <v>9</v>
      </c>
      <c r="O46" s="45">
        <v>9</v>
      </c>
      <c r="P46" s="45">
        <v>9</v>
      </c>
      <c r="Q46" s="45">
        <v>9</v>
      </c>
      <c r="R46" s="45">
        <v>9</v>
      </c>
      <c r="S46" s="45">
        <v>9</v>
      </c>
      <c r="T46" s="45">
        <v>9</v>
      </c>
      <c r="U46" s="45">
        <v>9</v>
      </c>
      <c r="V46" s="45">
        <v>9</v>
      </c>
      <c r="W46" s="45">
        <v>9</v>
      </c>
      <c r="X46" s="45">
        <v>9</v>
      </c>
      <c r="Y46" s="45">
        <v>9</v>
      </c>
      <c r="Z46" s="45">
        <v>9</v>
      </c>
      <c r="AA46" s="45">
        <v>9</v>
      </c>
      <c r="AB46" s="45">
        <v>9</v>
      </c>
      <c r="AC46" s="45">
        <v>9</v>
      </c>
      <c r="AD46" s="45">
        <v>9</v>
      </c>
      <c r="AE46" s="45">
        <v>9</v>
      </c>
      <c r="AF46" s="45">
        <v>9</v>
      </c>
      <c r="AG46" s="54">
        <v>10</v>
      </c>
      <c r="AH46" s="47">
        <f t="shared" si="2"/>
        <v>9</v>
      </c>
      <c r="AI46" s="48">
        <f t="shared" si="3"/>
        <v>9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370</v>
      </c>
      <c r="C48" s="56">
        <v>370</v>
      </c>
      <c r="D48" s="56">
        <v>370</v>
      </c>
      <c r="E48" s="56">
        <v>370</v>
      </c>
      <c r="F48" s="56">
        <v>370</v>
      </c>
      <c r="G48" s="56">
        <v>370</v>
      </c>
      <c r="H48" s="56">
        <v>370</v>
      </c>
      <c r="I48" s="56">
        <v>370</v>
      </c>
      <c r="J48" s="56">
        <v>370</v>
      </c>
      <c r="K48" s="56">
        <v>370</v>
      </c>
      <c r="L48" s="56">
        <v>370</v>
      </c>
      <c r="M48" s="56">
        <v>370</v>
      </c>
      <c r="N48" s="56">
        <v>370</v>
      </c>
      <c r="O48" s="56">
        <v>370</v>
      </c>
      <c r="P48" s="56">
        <v>370</v>
      </c>
      <c r="Q48" s="56">
        <v>370</v>
      </c>
      <c r="R48" s="56">
        <v>370</v>
      </c>
      <c r="S48" s="56">
        <v>370</v>
      </c>
      <c r="T48" s="56">
        <v>370</v>
      </c>
      <c r="U48" s="56">
        <v>370</v>
      </c>
      <c r="V48" s="56">
        <v>370</v>
      </c>
      <c r="W48" s="56">
        <v>370</v>
      </c>
      <c r="X48" s="56">
        <v>370</v>
      </c>
      <c r="Y48" s="56">
        <v>370</v>
      </c>
      <c r="Z48" s="56">
        <v>370</v>
      </c>
      <c r="AA48" s="56">
        <v>370</v>
      </c>
      <c r="AB48" s="56">
        <v>370</v>
      </c>
      <c r="AC48" s="56">
        <v>400</v>
      </c>
      <c r="AD48" s="56">
        <v>400</v>
      </c>
      <c r="AE48" s="56">
        <v>400</v>
      </c>
      <c r="AF48" s="56">
        <v>400</v>
      </c>
      <c r="AG48" s="54">
        <v>85</v>
      </c>
      <c r="AH48" s="47">
        <f t="shared" si="2"/>
        <v>400</v>
      </c>
      <c r="AI48" s="48">
        <f t="shared" si="3"/>
        <v>370</v>
      </c>
      <c r="AK48" s="50"/>
    </row>
    <row r="49" spans="1:41" ht="15.75" thickBot="1" x14ac:dyDescent="0.3">
      <c r="A49" s="57" t="s">
        <v>57</v>
      </c>
      <c r="B49" s="56">
        <v>96</v>
      </c>
      <c r="C49" s="56">
        <v>96</v>
      </c>
      <c r="D49" s="56">
        <v>96</v>
      </c>
      <c r="E49" s="56">
        <v>96</v>
      </c>
      <c r="F49" s="56">
        <v>96</v>
      </c>
      <c r="G49" s="56">
        <v>96</v>
      </c>
      <c r="H49" s="56">
        <v>96</v>
      </c>
      <c r="I49" s="56">
        <v>96</v>
      </c>
      <c r="J49" s="56">
        <v>96</v>
      </c>
      <c r="K49" s="56">
        <v>96</v>
      </c>
      <c r="L49" s="56">
        <v>96</v>
      </c>
      <c r="M49" s="58">
        <v>106.9</v>
      </c>
      <c r="N49" s="58">
        <v>106.9</v>
      </c>
      <c r="O49" s="58">
        <v>106.9</v>
      </c>
      <c r="P49" s="58">
        <v>42</v>
      </c>
      <c r="Q49" s="58">
        <v>25</v>
      </c>
      <c r="R49" s="58">
        <v>21</v>
      </c>
      <c r="S49" s="58">
        <v>21</v>
      </c>
      <c r="T49" s="58">
        <v>23.4</v>
      </c>
      <c r="U49" s="58">
        <v>25.7</v>
      </c>
      <c r="V49" s="58">
        <v>25.7</v>
      </c>
      <c r="W49" s="58">
        <v>25.7</v>
      </c>
      <c r="X49" s="58">
        <v>25.7</v>
      </c>
      <c r="Y49" s="56">
        <v>50.8</v>
      </c>
      <c r="Z49" s="56">
        <v>50.8</v>
      </c>
      <c r="AA49" s="56">
        <v>50.8</v>
      </c>
      <c r="AB49" s="56">
        <v>95</v>
      </c>
      <c r="AC49" s="56">
        <v>93.4</v>
      </c>
      <c r="AD49" s="56">
        <v>93.4</v>
      </c>
      <c r="AE49" s="56">
        <v>93.4</v>
      </c>
      <c r="AF49" s="56">
        <f>72.6+24.5</f>
        <v>97.1</v>
      </c>
      <c r="AG49" s="54">
        <v>240</v>
      </c>
      <c r="AH49" s="47">
        <f t="shared" si="2"/>
        <v>106.9</v>
      </c>
      <c r="AI49" s="48">
        <f t="shared" si="3"/>
        <v>21</v>
      </c>
      <c r="AK49" s="50"/>
    </row>
    <row r="50" spans="1:41" ht="15.75" thickBot="1" x14ac:dyDescent="0.3">
      <c r="A50" s="59" t="s">
        <v>58</v>
      </c>
      <c r="B50" s="60">
        <f t="shared" ref="B50:D50" si="4">SUM(B11:B48)</f>
        <v>992.78</v>
      </c>
      <c r="C50" s="60">
        <f t="shared" si="4"/>
        <v>956.68</v>
      </c>
      <c r="D50" s="60">
        <f t="shared" si="4"/>
        <v>939.78</v>
      </c>
      <c r="E50" s="60">
        <f t="shared" ref="E50:AD50" si="5">SUM(E11:E48)</f>
        <v>944.78</v>
      </c>
      <c r="F50" s="60">
        <f t="shared" si="5"/>
        <v>927.78</v>
      </c>
      <c r="G50" s="60">
        <f t="shared" si="5"/>
        <v>927.78</v>
      </c>
      <c r="H50" s="60">
        <f t="shared" si="5"/>
        <v>927.78</v>
      </c>
      <c r="I50" s="60">
        <f t="shared" si="5"/>
        <v>927.78</v>
      </c>
      <c r="J50" s="60">
        <f t="shared" si="5"/>
        <v>963.28</v>
      </c>
      <c r="K50" s="60">
        <f t="shared" si="5"/>
        <v>1017.08</v>
      </c>
      <c r="L50" s="60">
        <f t="shared" si="5"/>
        <v>1035.58</v>
      </c>
      <c r="M50" s="60">
        <f t="shared" si="5"/>
        <v>1070.8800000000001</v>
      </c>
      <c r="N50" s="60">
        <f t="shared" si="5"/>
        <v>1093.08</v>
      </c>
      <c r="O50" s="60">
        <f t="shared" si="5"/>
        <v>1019.4799999999999</v>
      </c>
      <c r="P50" s="60">
        <f t="shared" ref="P50:Q50" si="6">SUM(P11:P48)</f>
        <v>1040.98</v>
      </c>
      <c r="Q50" s="60">
        <f t="shared" si="6"/>
        <v>1038.58</v>
      </c>
      <c r="R50" s="60">
        <f t="shared" si="5"/>
        <v>1079.58</v>
      </c>
      <c r="S50" s="60">
        <f t="shared" si="5"/>
        <v>1094.1799999999998</v>
      </c>
      <c r="T50" s="60">
        <f t="shared" si="5"/>
        <v>1055.3</v>
      </c>
      <c r="U50" s="60">
        <f t="shared" si="5"/>
        <v>970.19999999999993</v>
      </c>
      <c r="V50" s="60">
        <f t="shared" si="5"/>
        <v>903.9</v>
      </c>
      <c r="W50" s="60">
        <f t="shared" si="5"/>
        <v>903.8</v>
      </c>
      <c r="X50" s="60">
        <f t="shared" si="5"/>
        <v>871.2</v>
      </c>
      <c r="Y50" s="60">
        <f t="shared" si="5"/>
        <v>878.5</v>
      </c>
      <c r="Z50" s="60">
        <f t="shared" si="5"/>
        <v>844.90000000000009</v>
      </c>
      <c r="AA50" s="60">
        <f>SUM(AA11:AA48)</f>
        <v>903</v>
      </c>
      <c r="AB50" s="60">
        <f t="shared" si="5"/>
        <v>922.9</v>
      </c>
      <c r="AC50" s="60">
        <f t="shared" si="5"/>
        <v>958.9</v>
      </c>
      <c r="AD50" s="60">
        <f t="shared" si="5"/>
        <v>948.9</v>
      </c>
      <c r="AE50" s="60">
        <f t="shared" ref="AE50:AF50" si="7">SUM(AE11:AE48)</f>
        <v>1017.2</v>
      </c>
      <c r="AF50" s="60">
        <f t="shared" si="7"/>
        <v>1013.4000000000001</v>
      </c>
      <c r="AG50" s="61">
        <f>SUM(AG13:AG48)</f>
        <v>922.14</v>
      </c>
      <c r="AH50" s="47">
        <f t="shared" si="2"/>
        <v>1094.1799999999998</v>
      </c>
      <c r="AI50" s="48">
        <f t="shared" si="3"/>
        <v>844.90000000000009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60</v>
      </c>
      <c r="AF52" s="64">
        <v>60</v>
      </c>
      <c r="AG52" s="54">
        <v>60</v>
      </c>
      <c r="AH52" s="47">
        <f t="shared" si="2"/>
        <v>60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0</v>
      </c>
      <c r="L53" s="66">
        <v>0</v>
      </c>
      <c r="M53" s="66">
        <v>0</v>
      </c>
      <c r="N53" s="66">
        <v>22</v>
      </c>
      <c r="O53" s="66">
        <v>22</v>
      </c>
      <c r="P53" s="66">
        <v>22</v>
      </c>
      <c r="Q53" s="66">
        <v>22</v>
      </c>
      <c r="R53" s="66">
        <v>0</v>
      </c>
      <c r="S53" s="66">
        <v>22.4</v>
      </c>
      <c r="T53" s="66">
        <v>22.4</v>
      </c>
      <c r="U53" s="66">
        <v>22.4</v>
      </c>
      <c r="V53" s="66">
        <v>22.4</v>
      </c>
      <c r="W53" s="66">
        <v>15.2</v>
      </c>
      <c r="X53" s="66">
        <v>17.100000000000001</v>
      </c>
      <c r="Y53" s="66">
        <v>17.100000000000001</v>
      </c>
      <c r="Z53" s="66">
        <v>17.100000000000001</v>
      </c>
      <c r="AA53" s="66">
        <v>10.199999999999999</v>
      </c>
      <c r="AB53" s="66">
        <v>4</v>
      </c>
      <c r="AC53" s="66">
        <v>0</v>
      </c>
      <c r="AD53" s="66">
        <v>0</v>
      </c>
      <c r="AE53" s="66">
        <v>10.199999999999999</v>
      </c>
      <c r="AF53" s="66">
        <v>10.3</v>
      </c>
      <c r="AG53" s="67">
        <v>22.1</v>
      </c>
      <c r="AH53" s="47">
        <f t="shared" si="2"/>
        <v>22.5</v>
      </c>
      <c r="AI53" s="48">
        <f t="shared" si="3"/>
        <v>0</v>
      </c>
      <c r="AK53" s="50"/>
    </row>
    <row r="54" spans="1:41" ht="15.75" thickBot="1" x14ac:dyDescent="0.3">
      <c r="A54" s="68" t="s">
        <v>62</v>
      </c>
      <c r="B54" s="60">
        <f t="shared" ref="B54:D54" si="8">SUM(B51:B53)</f>
        <v>533.5</v>
      </c>
      <c r="C54" s="60">
        <f t="shared" si="8"/>
        <v>533.5</v>
      </c>
      <c r="D54" s="60">
        <f t="shared" si="8"/>
        <v>533.5</v>
      </c>
      <c r="E54" s="60">
        <f t="shared" ref="E54:AG54" si="9">SUM(E51:E53)</f>
        <v>533.5</v>
      </c>
      <c r="F54" s="60">
        <f t="shared" si="9"/>
        <v>533.5</v>
      </c>
      <c r="G54" s="60">
        <f t="shared" si="9"/>
        <v>533.5</v>
      </c>
      <c r="H54" s="60">
        <f t="shared" si="9"/>
        <v>533.5</v>
      </c>
      <c r="I54" s="60">
        <f t="shared" si="9"/>
        <v>533.5</v>
      </c>
      <c r="J54" s="60">
        <f t="shared" si="9"/>
        <v>533.5</v>
      </c>
      <c r="K54" s="60">
        <f t="shared" si="9"/>
        <v>511</v>
      </c>
      <c r="L54" s="60">
        <f t="shared" si="9"/>
        <v>511</v>
      </c>
      <c r="M54" s="60">
        <f t="shared" si="9"/>
        <v>511</v>
      </c>
      <c r="N54" s="60">
        <f t="shared" si="9"/>
        <v>533</v>
      </c>
      <c r="O54" s="60">
        <f t="shared" si="9"/>
        <v>533</v>
      </c>
      <c r="P54" s="60">
        <f t="shared" ref="P54:Q54" si="10">SUM(P51:P53)</f>
        <v>533</v>
      </c>
      <c r="Q54" s="60">
        <f t="shared" si="10"/>
        <v>533</v>
      </c>
      <c r="R54" s="60">
        <f t="shared" si="9"/>
        <v>511</v>
      </c>
      <c r="S54" s="60">
        <f t="shared" si="9"/>
        <v>533.4</v>
      </c>
      <c r="T54" s="60">
        <f t="shared" si="9"/>
        <v>538.4</v>
      </c>
      <c r="U54" s="60">
        <f t="shared" si="9"/>
        <v>538.4</v>
      </c>
      <c r="V54" s="60">
        <f t="shared" si="9"/>
        <v>538.4</v>
      </c>
      <c r="W54" s="60">
        <f t="shared" si="9"/>
        <v>531.20000000000005</v>
      </c>
      <c r="X54" s="60">
        <f t="shared" si="9"/>
        <v>533.1</v>
      </c>
      <c r="Y54" s="60">
        <f t="shared" si="9"/>
        <v>533.1</v>
      </c>
      <c r="Z54" s="60">
        <f t="shared" si="9"/>
        <v>533.1</v>
      </c>
      <c r="AA54" s="60">
        <f>SUM(AA51:AA53)</f>
        <v>526.20000000000005</v>
      </c>
      <c r="AB54" s="60">
        <f t="shared" si="9"/>
        <v>520</v>
      </c>
      <c r="AC54" s="60">
        <f t="shared" si="9"/>
        <v>516</v>
      </c>
      <c r="AD54" s="60">
        <f t="shared" si="9"/>
        <v>516</v>
      </c>
      <c r="AE54" s="60">
        <f t="shared" ref="AE54:AF54" si="11">SUM(AE51:AE53)</f>
        <v>526.20000000000005</v>
      </c>
      <c r="AF54" s="60">
        <f t="shared" si="11"/>
        <v>526.29999999999995</v>
      </c>
      <c r="AG54" s="61">
        <f t="shared" si="9"/>
        <v>538.1</v>
      </c>
      <c r="AH54" s="47">
        <f t="shared" si="2"/>
        <v>538.4</v>
      </c>
      <c r="AI54" s="48">
        <f t="shared" si="3"/>
        <v>511</v>
      </c>
      <c r="AK54" s="50"/>
    </row>
    <row r="55" spans="1:41" x14ac:dyDescent="0.25">
      <c r="A55" s="44" t="s">
        <v>63</v>
      </c>
      <c r="B55" s="45">
        <v>121.3</v>
      </c>
      <c r="C55" s="45">
        <v>121.3</v>
      </c>
      <c r="D55" s="45">
        <v>120</v>
      </c>
      <c r="E55" s="45">
        <v>110</v>
      </c>
      <c r="F55" s="45">
        <v>110</v>
      </c>
      <c r="G55" s="45">
        <v>110</v>
      </c>
      <c r="H55" s="45">
        <v>120</v>
      </c>
      <c r="I55" s="45">
        <v>92.7</v>
      </c>
      <c r="J55" s="45">
        <v>92.7</v>
      </c>
      <c r="K55" s="45">
        <v>130</v>
      </c>
      <c r="L55" s="45">
        <v>135</v>
      </c>
      <c r="M55" s="45">
        <v>135</v>
      </c>
      <c r="N55" s="45">
        <v>0</v>
      </c>
      <c r="O55" s="45">
        <v>107.1</v>
      </c>
      <c r="P55" s="45">
        <v>121.5</v>
      </c>
      <c r="Q55" s="45">
        <v>115.3</v>
      </c>
      <c r="R55" s="45">
        <v>117.4</v>
      </c>
      <c r="S55" s="45">
        <v>130.9</v>
      </c>
      <c r="T55" s="45">
        <v>130.9</v>
      </c>
      <c r="U55" s="45">
        <v>130.9</v>
      </c>
      <c r="V55" s="45">
        <v>130.9</v>
      </c>
      <c r="W55" s="45">
        <v>132.9</v>
      </c>
      <c r="X55" s="45">
        <v>132.9</v>
      </c>
      <c r="Y55" s="45">
        <v>132.9</v>
      </c>
      <c r="Z55" s="45">
        <v>132.9</v>
      </c>
      <c r="AA55" s="45">
        <v>133.30000000000001</v>
      </c>
      <c r="AB55" s="45">
        <v>134.30000000000001</v>
      </c>
      <c r="AC55" s="45">
        <v>134.30000000000001</v>
      </c>
      <c r="AD55" s="45">
        <v>134.30000000000001</v>
      </c>
      <c r="AE55" s="45">
        <v>133.1</v>
      </c>
      <c r="AF55" s="45">
        <v>133.1</v>
      </c>
      <c r="AG55" s="51">
        <v>144</v>
      </c>
      <c r="AH55" s="47">
        <f t="shared" si="2"/>
        <v>135</v>
      </c>
      <c r="AI55" s="48">
        <f t="shared" si="3"/>
        <v>0</v>
      </c>
      <c r="AK55" s="50"/>
    </row>
    <row r="56" spans="1:41" x14ac:dyDescent="0.25">
      <c r="A56" s="53" t="s">
        <v>64</v>
      </c>
      <c r="B56" s="45">
        <v>67.900000000000006</v>
      </c>
      <c r="C56" s="45">
        <v>67.900000000000006</v>
      </c>
      <c r="D56" s="45">
        <v>45</v>
      </c>
      <c r="E56" s="45">
        <v>45</v>
      </c>
      <c r="F56" s="45">
        <v>55</v>
      </c>
      <c r="G56" s="45">
        <v>55</v>
      </c>
      <c r="H56" s="45">
        <v>65</v>
      </c>
      <c r="I56" s="45">
        <v>70</v>
      </c>
      <c r="J56" s="45">
        <v>70</v>
      </c>
      <c r="K56" s="45">
        <v>70</v>
      </c>
      <c r="L56" s="45">
        <v>70</v>
      </c>
      <c r="M56" s="45">
        <v>70</v>
      </c>
      <c r="N56" s="45">
        <v>46.1</v>
      </c>
      <c r="O56" s="45">
        <v>60.1</v>
      </c>
      <c r="P56" s="45">
        <v>51.6</v>
      </c>
      <c r="Q56" s="45">
        <v>0</v>
      </c>
      <c r="R56" s="64">
        <v>0</v>
      </c>
      <c r="S56" s="45">
        <v>0</v>
      </c>
      <c r="T56" s="45">
        <v>0</v>
      </c>
      <c r="U56" s="45">
        <v>0</v>
      </c>
      <c r="V56" s="45">
        <v>0</v>
      </c>
      <c r="W56" s="45">
        <v>35.9</v>
      </c>
      <c r="X56" s="45">
        <v>34.799999999999997</v>
      </c>
      <c r="Y56" s="45">
        <v>70.099999999999994</v>
      </c>
      <c r="Z56" s="45">
        <v>69.099999999999994</v>
      </c>
      <c r="AA56" s="45">
        <v>68.8</v>
      </c>
      <c r="AB56" s="45">
        <v>0</v>
      </c>
      <c r="AC56" s="45">
        <v>0</v>
      </c>
      <c r="AD56" s="45">
        <v>0</v>
      </c>
      <c r="AE56" s="45">
        <v>0</v>
      </c>
      <c r="AF56" s="45">
        <v>34.799999999999997</v>
      </c>
      <c r="AG56" s="54">
        <v>70</v>
      </c>
      <c r="AH56" s="47">
        <f t="shared" si="2"/>
        <v>70.099999999999994</v>
      </c>
      <c r="AI56" s="48">
        <f t="shared" si="3"/>
        <v>0</v>
      </c>
      <c r="AK56" s="50"/>
    </row>
    <row r="57" spans="1:41" x14ac:dyDescent="0.25">
      <c r="A57" s="53" t="s">
        <v>65</v>
      </c>
      <c r="B57" s="45">
        <v>60.8</v>
      </c>
      <c r="C57" s="45">
        <v>60.8</v>
      </c>
      <c r="D57" s="45">
        <v>52.1</v>
      </c>
      <c r="E57" s="45">
        <v>52.1</v>
      </c>
      <c r="F57" s="45">
        <v>55</v>
      </c>
      <c r="G57" s="45">
        <v>60</v>
      </c>
      <c r="H57" s="45">
        <v>60</v>
      </c>
      <c r="I57" s="45">
        <v>60</v>
      </c>
      <c r="J57" s="45">
        <v>60</v>
      </c>
      <c r="K57" s="45">
        <v>60</v>
      </c>
      <c r="L57" s="45">
        <v>60</v>
      </c>
      <c r="M57" s="45">
        <v>60</v>
      </c>
      <c r="N57" s="45">
        <v>60</v>
      </c>
      <c r="O57" s="45">
        <v>63</v>
      </c>
      <c r="P57" s="45">
        <v>62.3</v>
      </c>
      <c r="Q57" s="45">
        <v>62.9</v>
      </c>
      <c r="R57" s="64">
        <v>63.2</v>
      </c>
      <c r="S57" s="45">
        <v>62.9</v>
      </c>
      <c r="T57" s="45">
        <v>62.9</v>
      </c>
      <c r="U57" s="45">
        <v>62.9</v>
      </c>
      <c r="V57" s="45">
        <v>62.9</v>
      </c>
      <c r="W57" s="45">
        <v>62.33</v>
      </c>
      <c r="X57" s="45">
        <v>61.5</v>
      </c>
      <c r="Y57" s="45">
        <v>61.5</v>
      </c>
      <c r="Z57" s="45">
        <v>60.6</v>
      </c>
      <c r="AA57" s="45">
        <v>60.6</v>
      </c>
      <c r="AB57" s="45">
        <v>61.9</v>
      </c>
      <c r="AC57" s="45">
        <v>61.9</v>
      </c>
      <c r="AD57" s="45">
        <v>61.9</v>
      </c>
      <c r="AE57" s="45">
        <v>61.1</v>
      </c>
      <c r="AF57" s="45">
        <v>61.3</v>
      </c>
      <c r="AG57" s="54">
        <v>69</v>
      </c>
      <c r="AH57" s="47">
        <f t="shared" si="2"/>
        <v>63.2</v>
      </c>
      <c r="AI57" s="48">
        <f t="shared" si="3"/>
        <v>52.1</v>
      </c>
      <c r="AK57" s="50"/>
    </row>
    <row r="58" spans="1:41" x14ac:dyDescent="0.25">
      <c r="A58" s="53" t="s">
        <v>66</v>
      </c>
      <c r="B58" s="45">
        <v>45.8</v>
      </c>
      <c r="C58" s="45">
        <v>45.8</v>
      </c>
      <c r="D58" s="45">
        <v>40.1</v>
      </c>
      <c r="E58" s="45">
        <v>40.1</v>
      </c>
      <c r="F58" s="45">
        <v>40.1</v>
      </c>
      <c r="G58" s="45">
        <v>55</v>
      </c>
      <c r="H58" s="45">
        <v>55</v>
      </c>
      <c r="I58" s="45">
        <v>60</v>
      </c>
      <c r="J58" s="45">
        <v>60</v>
      </c>
      <c r="K58" s="45">
        <v>60</v>
      </c>
      <c r="L58" s="45">
        <v>60</v>
      </c>
      <c r="M58" s="45">
        <v>0</v>
      </c>
      <c r="N58" s="45">
        <v>0</v>
      </c>
      <c r="O58" s="45">
        <v>0</v>
      </c>
      <c r="P58" s="45">
        <v>0</v>
      </c>
      <c r="Q58" s="45">
        <v>51.6</v>
      </c>
      <c r="R58" s="64">
        <v>30.2</v>
      </c>
      <c r="S58" s="45">
        <v>30.5</v>
      </c>
      <c r="T58" s="45">
        <v>30.5</v>
      </c>
      <c r="U58" s="45">
        <v>30.5</v>
      </c>
      <c r="V58" s="45">
        <v>30.5</v>
      </c>
      <c r="W58" s="45">
        <v>30.2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54">
        <v>60</v>
      </c>
      <c r="AH58" s="47">
        <f t="shared" si="2"/>
        <v>60</v>
      </c>
      <c r="AI58" s="48">
        <f t="shared" si="3"/>
        <v>0</v>
      </c>
      <c r="AK58" s="50"/>
    </row>
    <row r="59" spans="1:41" x14ac:dyDescent="0.25">
      <c r="A59" s="53" t="s">
        <v>67</v>
      </c>
      <c r="B59" s="45">
        <v>30</v>
      </c>
      <c r="C59" s="45">
        <v>30</v>
      </c>
      <c r="D59" s="45">
        <v>30</v>
      </c>
      <c r="E59" s="45">
        <v>30</v>
      </c>
      <c r="F59" s="45">
        <v>30</v>
      </c>
      <c r="G59" s="45">
        <v>30</v>
      </c>
      <c r="H59" s="45">
        <v>30</v>
      </c>
      <c r="I59" s="45">
        <v>30</v>
      </c>
      <c r="J59" s="45">
        <v>30</v>
      </c>
      <c r="K59" s="45">
        <v>30</v>
      </c>
      <c r="L59" s="45">
        <v>30</v>
      </c>
      <c r="M59" s="45">
        <v>30</v>
      </c>
      <c r="N59" s="45">
        <v>30</v>
      </c>
      <c r="O59" s="45">
        <v>30</v>
      </c>
      <c r="P59" s="45">
        <v>30</v>
      </c>
      <c r="Q59" s="45">
        <v>30</v>
      </c>
      <c r="R59" s="64">
        <v>15</v>
      </c>
      <c r="S59" s="45">
        <v>30</v>
      </c>
      <c r="T59" s="45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15</v>
      </c>
      <c r="AK59" s="50"/>
    </row>
    <row r="60" spans="1:41" x14ac:dyDescent="0.25">
      <c r="A60" s="53" t="s">
        <v>68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1.4</v>
      </c>
      <c r="O60" s="45">
        <v>1.3</v>
      </c>
      <c r="P60" s="45">
        <v>2.7</v>
      </c>
      <c r="Q60" s="45">
        <v>2.7</v>
      </c>
      <c r="R60" s="64"/>
      <c r="S60" s="45">
        <v>1.7</v>
      </c>
      <c r="T60" s="45">
        <v>1.7</v>
      </c>
      <c r="U60" s="45">
        <v>1</v>
      </c>
      <c r="V60" s="45">
        <v>1</v>
      </c>
      <c r="W60" s="45">
        <v>1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2.7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0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0</v>
      </c>
      <c r="AB61" s="64">
        <v>2</v>
      </c>
      <c r="AC61" s="64">
        <v>2</v>
      </c>
      <c r="AD61" s="64">
        <v>2</v>
      </c>
      <c r="AE61" s="64">
        <v>2</v>
      </c>
      <c r="AF61" s="64">
        <v>2</v>
      </c>
      <c r="AG61" s="54">
        <v>24</v>
      </c>
      <c r="AH61" s="47">
        <f t="shared" si="2"/>
        <v>15</v>
      </c>
      <c r="AI61" s="48">
        <f t="shared" si="3"/>
        <v>0</v>
      </c>
      <c r="AK61" s="50"/>
    </row>
    <row r="62" spans="1:41" x14ac:dyDescent="0.25">
      <c r="A62" s="53" t="s">
        <v>70</v>
      </c>
      <c r="B62" s="64">
        <v>2.2000000000000002</v>
      </c>
      <c r="C62" s="64">
        <v>2.2000000000000002</v>
      </c>
      <c r="D62" s="64">
        <v>2.2000000000000002</v>
      </c>
      <c r="E62" s="64">
        <v>2.2000000000000002</v>
      </c>
      <c r="F62" s="64">
        <v>2.2000000000000002</v>
      </c>
      <c r="G62" s="64">
        <v>2.2000000000000002</v>
      </c>
      <c r="H62" s="64">
        <v>2.2000000000000002</v>
      </c>
      <c r="I62" s="64">
        <v>2.2000000000000002</v>
      </c>
      <c r="J62" s="64">
        <v>2.2000000000000002</v>
      </c>
      <c r="K62" s="64">
        <v>2.2000000000000002</v>
      </c>
      <c r="L62" s="64">
        <v>2.2000000000000002</v>
      </c>
      <c r="M62" s="64">
        <v>2.2000000000000002</v>
      </c>
      <c r="N62" s="64">
        <v>2.2000000000000002</v>
      </c>
      <c r="O62" s="64">
        <v>2.2000000000000002</v>
      </c>
      <c r="P62" s="64">
        <v>2.2000000000000002</v>
      </c>
      <c r="Q62" s="64">
        <v>2.2000000000000002</v>
      </c>
      <c r="R62" s="64">
        <v>2.2000000000000002</v>
      </c>
      <c r="S62" s="64">
        <v>2.2000000000000002</v>
      </c>
      <c r="T62" s="64">
        <v>2.2000000000000002</v>
      </c>
      <c r="U62" s="64">
        <v>2.2000000000000002</v>
      </c>
      <c r="V62" s="64">
        <v>2.2000000000000002</v>
      </c>
      <c r="W62" s="64">
        <v>2.2000000000000002</v>
      </c>
      <c r="X62" s="64">
        <v>2.2000000000000002</v>
      </c>
      <c r="Y62" s="64">
        <v>2.2000000000000002</v>
      </c>
      <c r="Z62" s="64">
        <v>2.2000000000000002</v>
      </c>
      <c r="AA62" s="64">
        <v>2.2000000000000002</v>
      </c>
      <c r="AB62" s="64">
        <v>2.2000000000000002</v>
      </c>
      <c r="AC62" s="64">
        <v>2.2000000000000002</v>
      </c>
      <c r="AD62" s="64">
        <v>2.2000000000000002</v>
      </c>
      <c r="AE62" s="64">
        <v>2.2000000000000002</v>
      </c>
      <c r="AF62" s="64">
        <v>2.2000000000000002</v>
      </c>
      <c r="AG62" s="54">
        <v>15</v>
      </c>
      <c r="AH62" s="47">
        <f t="shared" si="2"/>
        <v>2.2000000000000002</v>
      </c>
      <c r="AI62" s="48">
        <f t="shared" si="3"/>
        <v>2.2000000000000002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10.199999999999999</v>
      </c>
      <c r="C63" s="64">
        <v>10.199999999999999</v>
      </c>
      <c r="D63" s="64">
        <v>10.199999999999999</v>
      </c>
      <c r="E63" s="64">
        <v>10.199999999999999</v>
      </c>
      <c r="F63" s="64">
        <v>10.199999999999999</v>
      </c>
      <c r="G63" s="64">
        <v>10.199999999999999</v>
      </c>
      <c r="H63" s="64">
        <v>10.199999999999999</v>
      </c>
      <c r="I63" s="64">
        <v>10.199999999999999</v>
      </c>
      <c r="J63" s="64">
        <v>10.199999999999999</v>
      </c>
      <c r="K63" s="64">
        <v>10.199999999999999</v>
      </c>
      <c r="L63" s="64">
        <v>10.199999999999999</v>
      </c>
      <c r="M63" s="64">
        <v>10.199999999999999</v>
      </c>
      <c r="N63" s="64">
        <v>10.199999999999999</v>
      </c>
      <c r="O63" s="64">
        <v>10.199999999999999</v>
      </c>
      <c r="P63" s="64">
        <v>10.199999999999999</v>
      </c>
      <c r="Q63" s="64">
        <v>7.6</v>
      </c>
      <c r="R63" s="64">
        <v>7.6</v>
      </c>
      <c r="S63" s="64">
        <v>7.6</v>
      </c>
      <c r="T63" s="64">
        <v>7.6</v>
      </c>
      <c r="U63" s="64">
        <v>10.3</v>
      </c>
      <c r="V63" s="64">
        <v>10.3</v>
      </c>
      <c r="W63" s="64">
        <v>10.3</v>
      </c>
      <c r="X63" s="64">
        <v>10.3</v>
      </c>
      <c r="Y63" s="64">
        <v>5.2</v>
      </c>
      <c r="Z63" s="64">
        <v>5.3</v>
      </c>
      <c r="AA63" s="64">
        <v>1.4</v>
      </c>
      <c r="AB63" s="64">
        <v>1.4</v>
      </c>
      <c r="AC63" s="64">
        <v>1.4</v>
      </c>
      <c r="AD63" s="64">
        <v>1.4</v>
      </c>
      <c r="AE63" s="64">
        <v>1.4</v>
      </c>
      <c r="AF63" s="64">
        <v>1.4</v>
      </c>
      <c r="AG63" s="54">
        <v>14.1</v>
      </c>
      <c r="AH63" s="47">
        <f t="shared" si="2"/>
        <v>10.3</v>
      </c>
      <c r="AI63" s="48">
        <f t="shared" si="3"/>
        <v>1.4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13.6</v>
      </c>
      <c r="C64" s="64">
        <v>13.6</v>
      </c>
      <c r="D64" s="64">
        <v>4.5999999999999996</v>
      </c>
      <c r="E64" s="64">
        <v>4.5999999999999996</v>
      </c>
      <c r="F64" s="64">
        <v>4.5999999999999996</v>
      </c>
      <c r="G64" s="64">
        <v>4.5999999999999996</v>
      </c>
      <c r="H64" s="64">
        <v>4.5999999999999996</v>
      </c>
      <c r="I64" s="64">
        <v>4.5999999999999996</v>
      </c>
      <c r="J64" s="64">
        <v>4.5999999999999996</v>
      </c>
      <c r="K64" s="64">
        <v>4.5999999999999996</v>
      </c>
      <c r="L64" s="64">
        <v>4.5999999999999996</v>
      </c>
      <c r="M64" s="64">
        <v>4.5999999999999996</v>
      </c>
      <c r="N64" s="64">
        <v>13.7</v>
      </c>
      <c r="O64" s="64">
        <v>13.7</v>
      </c>
      <c r="P64" s="64">
        <v>6.5</v>
      </c>
      <c r="Q64" s="64">
        <v>6.6</v>
      </c>
      <c r="R64" s="64">
        <v>6.6</v>
      </c>
      <c r="S64" s="64">
        <v>6.6</v>
      </c>
      <c r="T64" s="64">
        <v>6.6</v>
      </c>
      <c r="U64" s="64">
        <v>6.5</v>
      </c>
      <c r="V64" s="64">
        <v>6.5</v>
      </c>
      <c r="W64" s="64">
        <v>6.5</v>
      </c>
      <c r="X64" s="64">
        <v>6.5</v>
      </c>
      <c r="Y64" s="64">
        <v>8.6999999999999993</v>
      </c>
      <c r="Z64" s="64">
        <v>10</v>
      </c>
      <c r="AA64" s="64">
        <v>9.6</v>
      </c>
      <c r="AB64" s="64">
        <v>9.6</v>
      </c>
      <c r="AC64" s="64">
        <v>9.6</v>
      </c>
      <c r="AD64" s="64">
        <v>9.6</v>
      </c>
      <c r="AE64" s="64">
        <v>9.6</v>
      </c>
      <c r="AF64" s="64">
        <v>9.6</v>
      </c>
      <c r="AG64" s="54">
        <v>14</v>
      </c>
      <c r="AH64" s="47">
        <f t="shared" si="2"/>
        <v>13.7</v>
      </c>
      <c r="AI64" s="48">
        <f t="shared" si="3"/>
        <v>4.5999999999999996</v>
      </c>
      <c r="AK64" s="50"/>
    </row>
    <row r="65" spans="1:40" x14ac:dyDescent="0.25">
      <c r="A65" s="53" t="s">
        <v>73</v>
      </c>
      <c r="B65" s="64">
        <v>9.8000000000000007</v>
      </c>
      <c r="C65" s="64">
        <v>9.8000000000000007</v>
      </c>
      <c r="D65" s="64">
        <v>9.8000000000000007</v>
      </c>
      <c r="E65" s="64">
        <v>9.8000000000000007</v>
      </c>
      <c r="F65" s="64">
        <v>9.8000000000000007</v>
      </c>
      <c r="G65" s="64">
        <v>9.8000000000000007</v>
      </c>
      <c r="H65" s="64">
        <v>9.8000000000000007</v>
      </c>
      <c r="I65" s="64">
        <v>9.8000000000000007</v>
      </c>
      <c r="J65" s="64">
        <v>9.8000000000000007</v>
      </c>
      <c r="K65" s="64">
        <v>9.8000000000000007</v>
      </c>
      <c r="L65" s="64">
        <v>9.8000000000000007</v>
      </c>
      <c r="M65" s="64">
        <v>9.8000000000000007</v>
      </c>
      <c r="N65" s="64">
        <v>9.8000000000000007</v>
      </c>
      <c r="O65" s="64">
        <v>9.8000000000000007</v>
      </c>
      <c r="P65" s="64">
        <v>9.8000000000000007</v>
      </c>
      <c r="Q65" s="64">
        <v>9.8000000000000007</v>
      </c>
      <c r="R65" s="64">
        <v>9.8000000000000007</v>
      </c>
      <c r="S65" s="64">
        <v>9.8000000000000007</v>
      </c>
      <c r="T65" s="64">
        <v>9.8000000000000007</v>
      </c>
      <c r="U65" s="64">
        <v>9.8000000000000007</v>
      </c>
      <c r="V65" s="64">
        <v>9.8000000000000007</v>
      </c>
      <c r="W65" s="64">
        <v>9.8000000000000007</v>
      </c>
      <c r="X65" s="64">
        <v>9.8000000000000007</v>
      </c>
      <c r="Y65" s="64">
        <v>9.1999999999999993</v>
      </c>
      <c r="Z65" s="64">
        <v>9.8000000000000007</v>
      </c>
      <c r="AA65" s="64">
        <v>0</v>
      </c>
      <c r="AB65" s="64">
        <v>0</v>
      </c>
      <c r="AC65" s="64">
        <v>0</v>
      </c>
      <c r="AD65" s="64">
        <v>0</v>
      </c>
      <c r="AE65" s="64">
        <v>9</v>
      </c>
      <c r="AF65" s="64">
        <v>9</v>
      </c>
      <c r="AG65" s="54">
        <v>10.050000000000001</v>
      </c>
      <c r="AH65" s="47">
        <f t="shared" si="2"/>
        <v>9.8000000000000007</v>
      </c>
      <c r="AI65" s="48">
        <f t="shared" si="3"/>
        <v>0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D68" si="12">SUM(B55:B67)</f>
        <v>386.34000000000003</v>
      </c>
      <c r="C68" s="60">
        <f t="shared" si="12"/>
        <v>386.34000000000003</v>
      </c>
      <c r="D68" s="60">
        <f t="shared" si="12"/>
        <v>338.74</v>
      </c>
      <c r="E68" s="60">
        <f t="shared" ref="E68:AG68" si="13">SUM(E55:E67)</f>
        <v>328.74</v>
      </c>
      <c r="F68" s="60">
        <f t="shared" si="13"/>
        <v>341.64000000000004</v>
      </c>
      <c r="G68" s="60">
        <f t="shared" si="13"/>
        <v>361.54</v>
      </c>
      <c r="H68" s="60">
        <f t="shared" si="13"/>
        <v>381.54</v>
      </c>
      <c r="I68" s="60">
        <f t="shared" si="13"/>
        <v>364.24</v>
      </c>
      <c r="J68" s="60">
        <f t="shared" si="13"/>
        <v>364.24</v>
      </c>
      <c r="K68" s="60">
        <f t="shared" si="13"/>
        <v>401.54</v>
      </c>
      <c r="L68" s="60">
        <f t="shared" si="13"/>
        <v>406.54</v>
      </c>
      <c r="M68" s="60">
        <f t="shared" si="13"/>
        <v>346.54</v>
      </c>
      <c r="N68" s="60">
        <f t="shared" si="13"/>
        <v>198.13999999999996</v>
      </c>
      <c r="O68" s="60">
        <f t="shared" si="13"/>
        <v>322.14</v>
      </c>
      <c r="P68" s="60">
        <f t="shared" ref="P68:Q68" si="14">SUM(P55:P67)</f>
        <v>321.53999999999996</v>
      </c>
      <c r="Q68" s="60">
        <f t="shared" si="14"/>
        <v>313.44</v>
      </c>
      <c r="R68" s="60">
        <f t="shared" si="13"/>
        <v>261.74</v>
      </c>
      <c r="S68" s="60">
        <f t="shared" si="13"/>
        <v>306.94000000000005</v>
      </c>
      <c r="T68" s="60">
        <f t="shared" si="13"/>
        <v>306.94000000000005</v>
      </c>
      <c r="U68" s="60">
        <f t="shared" si="13"/>
        <v>308.84000000000003</v>
      </c>
      <c r="V68" s="60">
        <f t="shared" si="13"/>
        <v>308.84000000000003</v>
      </c>
      <c r="W68" s="60">
        <f t="shared" si="13"/>
        <v>345.87</v>
      </c>
      <c r="X68" s="60">
        <f t="shared" si="13"/>
        <v>312.74</v>
      </c>
      <c r="Y68" s="60">
        <f t="shared" si="13"/>
        <v>344.53999999999996</v>
      </c>
      <c r="Z68" s="60">
        <f t="shared" si="13"/>
        <v>344.64000000000004</v>
      </c>
      <c r="AA68" s="60">
        <f>SUM(AA55:AA67)</f>
        <v>315.64000000000004</v>
      </c>
      <c r="AB68" s="60">
        <f t="shared" si="13"/>
        <v>251.14</v>
      </c>
      <c r="AC68" s="60">
        <f t="shared" si="13"/>
        <v>251.14</v>
      </c>
      <c r="AD68" s="60">
        <f t="shared" si="13"/>
        <v>251.14</v>
      </c>
      <c r="AE68" s="60">
        <f t="shared" si="13"/>
        <v>258.14</v>
      </c>
      <c r="AF68" s="60">
        <f t="shared" ref="AF68" si="15">SUM(AF55:AF67)</f>
        <v>293.14</v>
      </c>
      <c r="AG68" s="61">
        <f t="shared" si="13"/>
        <v>489.91</v>
      </c>
      <c r="AH68" s="47">
        <f t="shared" si="2"/>
        <v>406.54</v>
      </c>
      <c r="AI68" s="48">
        <f t="shared" si="3"/>
        <v>198.13999999999996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/>
      <c r="N69" s="45"/>
      <c r="O69" s="45"/>
      <c r="P69" s="45">
        <v>0</v>
      </c>
      <c r="Q69" s="45">
        <v>0</v>
      </c>
      <c r="R69" s="45"/>
      <c r="S69" s="45">
        <v>0</v>
      </c>
      <c r="T69" s="45"/>
      <c r="U69" s="45">
        <v>60.1</v>
      </c>
      <c r="V69" s="45">
        <v>60.1</v>
      </c>
      <c r="W69" s="45">
        <v>60.1</v>
      </c>
      <c r="X69" s="45">
        <v>49.4</v>
      </c>
      <c r="Y69" s="45">
        <v>49.6</v>
      </c>
      <c r="Z69" s="45">
        <v>60</v>
      </c>
      <c r="AA69" s="45">
        <v>60.1</v>
      </c>
      <c r="AB69" s="45">
        <v>59.7</v>
      </c>
      <c r="AC69" s="45">
        <v>59.7</v>
      </c>
      <c r="AD69" s="45">
        <v>59.7</v>
      </c>
      <c r="AE69" s="45">
        <v>50</v>
      </c>
      <c r="AF69" s="45">
        <v>11.5</v>
      </c>
      <c r="AG69" s="51">
        <v>60</v>
      </c>
      <c r="AH69" s="47">
        <f t="shared" si="2"/>
        <v>60.1</v>
      </c>
      <c r="AI69" s="48">
        <f t="shared" si="3"/>
        <v>0</v>
      </c>
      <c r="AK69" s="50"/>
    </row>
    <row r="70" spans="1:40" x14ac:dyDescent="0.25">
      <c r="A70" s="53" t="s">
        <v>78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/>
      <c r="N70" s="64"/>
      <c r="O70" s="64"/>
      <c r="P70" s="64">
        <v>0</v>
      </c>
      <c r="Q70" s="64">
        <v>0</v>
      </c>
      <c r="R70" s="64"/>
      <c r="S70" s="64">
        <v>0</v>
      </c>
      <c r="T70" s="64"/>
      <c r="U70" s="64">
        <v>27.4</v>
      </c>
      <c r="V70" s="64">
        <v>27.4</v>
      </c>
      <c r="W70" s="64">
        <v>27.4</v>
      </c>
      <c r="X70" s="64">
        <v>22.9</v>
      </c>
      <c r="Y70" s="64">
        <v>24.9</v>
      </c>
      <c r="Z70" s="64">
        <v>26.2</v>
      </c>
      <c r="AA70" s="64">
        <v>31.25</v>
      </c>
      <c r="AB70" s="64">
        <v>28.7</v>
      </c>
      <c r="AC70" s="64">
        <v>28.7</v>
      </c>
      <c r="AD70" s="64">
        <v>28.7</v>
      </c>
      <c r="AE70" s="64">
        <v>23.9</v>
      </c>
      <c r="AF70" s="64">
        <v>4.5999999999999996</v>
      </c>
      <c r="AG70" s="54">
        <v>32</v>
      </c>
      <c r="AH70" s="47">
        <f t="shared" si="2"/>
        <v>31.25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66">
        <v>0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/>
      <c r="N71" s="66"/>
      <c r="O71" s="66"/>
      <c r="P71" s="66">
        <v>0</v>
      </c>
      <c r="Q71" s="66">
        <v>0</v>
      </c>
      <c r="R71" s="66"/>
      <c r="S71" s="66">
        <v>0</v>
      </c>
      <c r="T71" s="66"/>
      <c r="U71" s="66">
        <v>10.199999999999999</v>
      </c>
      <c r="V71" s="66">
        <v>10.199999999999999</v>
      </c>
      <c r="W71" s="66">
        <v>10.199999999999999</v>
      </c>
      <c r="X71" s="66">
        <v>8.3000000000000007</v>
      </c>
      <c r="Y71" s="66">
        <v>9.1</v>
      </c>
      <c r="Z71" s="66">
        <v>9.6</v>
      </c>
      <c r="AA71" s="66">
        <v>11.4</v>
      </c>
      <c r="AB71" s="66">
        <v>10.5</v>
      </c>
      <c r="AC71" s="66">
        <v>10.5</v>
      </c>
      <c r="AD71" s="66">
        <v>10.5</v>
      </c>
      <c r="AE71" s="66">
        <v>8.6999999999999993</v>
      </c>
      <c r="AF71" s="66">
        <v>1.7</v>
      </c>
      <c r="AG71" s="67">
        <v>14</v>
      </c>
      <c r="AH71" s="47">
        <f t="shared" si="2"/>
        <v>11.4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 t="shared" ref="B72:D72" si="16">B69+B70+B71</f>
        <v>0</v>
      </c>
      <c r="C72" s="60">
        <f t="shared" si="16"/>
        <v>0</v>
      </c>
      <c r="D72" s="60">
        <f t="shared" si="16"/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E72" si="17">M69+M70+M71</f>
        <v>0</v>
      </c>
      <c r="N72" s="60">
        <f t="shared" si="17"/>
        <v>0</v>
      </c>
      <c r="O72" s="60">
        <f t="shared" si="17"/>
        <v>0</v>
      </c>
      <c r="P72" s="60">
        <f t="shared" ref="P72:Q72" si="18">P69+P70+P71</f>
        <v>0</v>
      </c>
      <c r="Q72" s="60">
        <f t="shared" si="18"/>
        <v>0</v>
      </c>
      <c r="R72" s="60">
        <f t="shared" si="17"/>
        <v>0</v>
      </c>
      <c r="S72" s="60">
        <v>0</v>
      </c>
      <c r="T72" s="60">
        <f t="shared" si="17"/>
        <v>0</v>
      </c>
      <c r="U72" s="60">
        <f t="shared" si="17"/>
        <v>97.7</v>
      </c>
      <c r="V72" s="60">
        <f t="shared" si="17"/>
        <v>97.7</v>
      </c>
      <c r="W72" s="60">
        <f t="shared" si="17"/>
        <v>97.7</v>
      </c>
      <c r="X72" s="60">
        <f t="shared" si="17"/>
        <v>80.599999999999994</v>
      </c>
      <c r="Y72" s="60">
        <f t="shared" si="17"/>
        <v>83.6</v>
      </c>
      <c r="Z72" s="60">
        <f t="shared" si="17"/>
        <v>95.8</v>
      </c>
      <c r="AA72" s="60">
        <f>SUM(AA69:AA71)</f>
        <v>102.75</v>
      </c>
      <c r="AB72" s="60">
        <f t="shared" si="17"/>
        <v>98.9</v>
      </c>
      <c r="AC72" s="60">
        <f t="shared" si="17"/>
        <v>98.9</v>
      </c>
      <c r="AD72" s="60">
        <f t="shared" si="17"/>
        <v>98.9</v>
      </c>
      <c r="AE72" s="60">
        <f t="shared" si="17"/>
        <v>82.600000000000009</v>
      </c>
      <c r="AF72" s="60">
        <f t="shared" ref="AF72" si="19">AF69+AF70+AF71</f>
        <v>17.8</v>
      </c>
      <c r="AG72" s="61">
        <f>SUM(AG69:AG71)</f>
        <v>106</v>
      </c>
      <c r="AH72" s="47">
        <f t="shared" si="2"/>
        <v>102.75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-15.7</v>
      </c>
      <c r="C73" s="45">
        <v>-15.7</v>
      </c>
      <c r="D73" s="45">
        <v>-20</v>
      </c>
      <c r="E73" s="45">
        <v>-30</v>
      </c>
      <c r="F73" s="45">
        <v>-45</v>
      </c>
      <c r="G73" s="45">
        <v>-45</v>
      </c>
      <c r="H73" s="45">
        <v>-45</v>
      </c>
      <c r="I73" s="45">
        <v>-45</v>
      </c>
      <c r="J73" s="45">
        <v>-45</v>
      </c>
      <c r="K73" s="45">
        <v>-35</v>
      </c>
      <c r="L73" s="45">
        <v>-30</v>
      </c>
      <c r="M73" s="45">
        <v>-45</v>
      </c>
      <c r="N73" s="45">
        <v>-23.7</v>
      </c>
      <c r="O73" s="45">
        <v>-28</v>
      </c>
      <c r="P73" s="45">
        <v>-19</v>
      </c>
      <c r="Q73" s="45">
        <v>-28.7</v>
      </c>
      <c r="R73" s="45">
        <v>-5.4</v>
      </c>
      <c r="S73" s="45">
        <v>2</v>
      </c>
      <c r="T73" s="45">
        <v>-4</v>
      </c>
      <c r="U73" s="45">
        <v>-11</v>
      </c>
      <c r="V73" s="45">
        <v>2.2000000000000002</v>
      </c>
      <c r="W73" s="45">
        <v>-3.5</v>
      </c>
      <c r="X73" s="45">
        <v>5.0999999999999996</v>
      </c>
      <c r="Y73" s="45">
        <v>11</v>
      </c>
      <c r="Z73" s="45">
        <v>56.5</v>
      </c>
      <c r="AA73" s="45">
        <v>37</v>
      </c>
      <c r="AB73" s="45">
        <v>62</v>
      </c>
      <c r="AC73" s="45">
        <v>60.5</v>
      </c>
      <c r="AD73" s="45">
        <v>66.400000000000006</v>
      </c>
      <c r="AE73" s="45">
        <v>25</v>
      </c>
      <c r="AF73" s="45">
        <v>15.9</v>
      </c>
      <c r="AG73" s="51"/>
      <c r="AH73" s="47">
        <f t="shared" si="2"/>
        <v>66.400000000000006</v>
      </c>
      <c r="AI73" s="48">
        <f t="shared" si="3"/>
        <v>-45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/>
      <c r="N74" s="64"/>
      <c r="O74" s="64"/>
      <c r="P74" s="64"/>
      <c r="Q74" s="64"/>
      <c r="R74" s="64"/>
      <c r="S74" s="64"/>
      <c r="T74" s="64"/>
      <c r="U74" s="64">
        <v>0</v>
      </c>
      <c r="V74" s="64">
        <v>0</v>
      </c>
      <c r="W74" s="64">
        <v>0</v>
      </c>
      <c r="X74" s="64">
        <v>0</v>
      </c>
      <c r="Y74" s="64"/>
      <c r="Z74" s="64"/>
      <c r="AA74" s="64">
        <v>0</v>
      </c>
      <c r="AB74" s="64">
        <v>0</v>
      </c>
      <c r="AC74" s="64"/>
      <c r="AD74" s="64"/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-430.8</v>
      </c>
      <c r="C75" s="64">
        <v>-410</v>
      </c>
      <c r="D75" s="64">
        <v>-431</v>
      </c>
      <c r="E75" s="64">
        <v>-455</v>
      </c>
      <c r="F75" s="64">
        <v>-460</v>
      </c>
      <c r="G75" s="64">
        <v>-455</v>
      </c>
      <c r="H75" s="64">
        <v>-470</v>
      </c>
      <c r="I75" s="64">
        <v>-475</v>
      </c>
      <c r="J75" s="64">
        <v>-450</v>
      </c>
      <c r="K75" s="64">
        <v>-480</v>
      </c>
      <c r="L75" s="64">
        <v>-475</v>
      </c>
      <c r="M75" s="64">
        <v>-442</v>
      </c>
      <c r="N75" s="64">
        <v>-403</v>
      </c>
      <c r="O75" s="64">
        <v>-386</v>
      </c>
      <c r="P75" s="64">
        <v>-411.1</v>
      </c>
      <c r="Q75" s="64">
        <v>-340.9</v>
      </c>
      <c r="R75" s="64">
        <v>-360.6</v>
      </c>
      <c r="S75" s="64">
        <v>-354</v>
      </c>
      <c r="T75" s="64">
        <v>-275</v>
      </c>
      <c r="U75" s="64">
        <v>-279</v>
      </c>
      <c r="V75" s="64">
        <v>-312</v>
      </c>
      <c r="W75" s="64">
        <v>-304.60000000000002</v>
      </c>
      <c r="X75" s="64">
        <v>-219</v>
      </c>
      <c r="Y75" s="64">
        <v>-230.8</v>
      </c>
      <c r="Z75" s="64">
        <v>-71.900000000000006</v>
      </c>
      <c r="AA75" s="64">
        <v>-198.7</v>
      </c>
      <c r="AB75" s="64">
        <v>-266.89999999999998</v>
      </c>
      <c r="AC75" s="64">
        <v>-289</v>
      </c>
      <c r="AD75" s="64">
        <v>-323.8</v>
      </c>
      <c r="AE75" s="64">
        <v>-389</v>
      </c>
      <c r="AF75" s="64">
        <v>-396</v>
      </c>
      <c r="AG75" s="74"/>
      <c r="AH75" s="47">
        <f t="shared" si="2"/>
        <v>-71.900000000000006</v>
      </c>
      <c r="AI75" s="48">
        <f t="shared" si="3"/>
        <v>-480</v>
      </c>
      <c r="AK75" s="50"/>
    </row>
    <row r="76" spans="1:40" x14ac:dyDescent="0.25">
      <c r="A76" s="53" t="s">
        <v>84</v>
      </c>
      <c r="B76" s="75">
        <v>0</v>
      </c>
      <c r="C76" s="75">
        <v>0</v>
      </c>
      <c r="D76" s="75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0</v>
      </c>
      <c r="L76" s="75">
        <v>0</v>
      </c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64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4"/>
      <c r="AH77" s="47">
        <f t="shared" ref="AH77:AH120" si="20">MAX(B77:AF77)</f>
        <v>0</v>
      </c>
      <c r="AI77" s="48">
        <f t="shared" ref="AI77:AI120" si="21">MIN(B77:AF77)</f>
        <v>0</v>
      </c>
      <c r="AK77" s="50"/>
    </row>
    <row r="78" spans="1:40" x14ac:dyDescent="0.25">
      <c r="A78" s="53" t="s">
        <v>86</v>
      </c>
      <c r="B78" s="76">
        <v>0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4"/>
      <c r="AH78" s="47">
        <f t="shared" si="20"/>
        <v>0</v>
      </c>
      <c r="AI78" s="48">
        <f t="shared" si="21"/>
        <v>0</v>
      </c>
      <c r="AK78" s="50"/>
    </row>
    <row r="79" spans="1:40" ht="15.75" thickBot="1" x14ac:dyDescent="0.3">
      <c r="A79" s="53" t="s">
        <v>87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4"/>
      <c r="AH79" s="47">
        <f t="shared" si="20"/>
        <v>0</v>
      </c>
      <c r="AI79" s="48">
        <f t="shared" si="21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76">
        <v>0</v>
      </c>
      <c r="C80" s="76">
        <v>0</v>
      </c>
      <c r="D80" s="76">
        <v>0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76">
        <v>0</v>
      </c>
      <c r="K80" s="76">
        <v>0</v>
      </c>
      <c r="L80" s="76">
        <v>0</v>
      </c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4"/>
      <c r="AH80" s="47">
        <f t="shared" si="20"/>
        <v>0</v>
      </c>
      <c r="AI80" s="48">
        <f t="shared" si="21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76">
        <v>0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4"/>
      <c r="AH81" s="47">
        <f t="shared" si="20"/>
        <v>0</v>
      </c>
      <c r="AI81" s="48">
        <f t="shared" si="21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76">
        <v>0</v>
      </c>
      <c r="C82" s="76">
        <v>0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84"/>
      <c r="AH82" s="47">
        <f t="shared" si="20"/>
        <v>0</v>
      </c>
      <c r="AI82" s="48">
        <f t="shared" si="21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76">
        <v>0</v>
      </c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4"/>
      <c r="AH83" s="47">
        <f t="shared" si="20"/>
        <v>0</v>
      </c>
      <c r="AI83" s="48">
        <f t="shared" si="21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D84" si="22">SUMIF(B73:B83,"&gt;0")</f>
        <v>0</v>
      </c>
      <c r="C84" s="60">
        <f t="shared" si="22"/>
        <v>0</v>
      </c>
      <c r="D84" s="60">
        <f t="shared" si="22"/>
        <v>0</v>
      </c>
      <c r="E84" s="60">
        <f t="shared" ref="E84:AF84" si="23">SUMIF(E73:E83,"&gt;0")</f>
        <v>0</v>
      </c>
      <c r="F84" s="60">
        <f t="shared" si="23"/>
        <v>0</v>
      </c>
      <c r="G84" s="60">
        <f t="shared" si="23"/>
        <v>0</v>
      </c>
      <c r="H84" s="60">
        <f t="shared" si="23"/>
        <v>0</v>
      </c>
      <c r="I84" s="60">
        <f t="shared" si="23"/>
        <v>0</v>
      </c>
      <c r="J84" s="60">
        <f t="shared" si="23"/>
        <v>0</v>
      </c>
      <c r="K84" s="60">
        <f t="shared" si="23"/>
        <v>0</v>
      </c>
      <c r="L84" s="60">
        <f t="shared" si="23"/>
        <v>0</v>
      </c>
      <c r="M84" s="60">
        <f t="shared" si="23"/>
        <v>0</v>
      </c>
      <c r="N84" s="60">
        <f t="shared" si="23"/>
        <v>0</v>
      </c>
      <c r="O84" s="60">
        <f t="shared" si="23"/>
        <v>0</v>
      </c>
      <c r="P84" s="60">
        <f t="shared" ref="P84:Q84" si="24">SUMIF(P73:P83,"&gt;0")</f>
        <v>0</v>
      </c>
      <c r="Q84" s="60">
        <f t="shared" si="24"/>
        <v>0</v>
      </c>
      <c r="R84" s="60">
        <f t="shared" si="23"/>
        <v>0</v>
      </c>
      <c r="S84" s="60">
        <f t="shared" si="23"/>
        <v>2</v>
      </c>
      <c r="T84" s="60">
        <f t="shared" si="23"/>
        <v>0</v>
      </c>
      <c r="U84" s="60">
        <f t="shared" si="23"/>
        <v>0</v>
      </c>
      <c r="V84" s="60">
        <f t="shared" si="23"/>
        <v>2.2000000000000002</v>
      </c>
      <c r="W84" s="60">
        <f t="shared" si="23"/>
        <v>0</v>
      </c>
      <c r="X84" s="60">
        <f t="shared" si="23"/>
        <v>5.0999999999999996</v>
      </c>
      <c r="Y84" s="60">
        <f t="shared" si="23"/>
        <v>11</v>
      </c>
      <c r="Z84" s="60">
        <f t="shared" si="23"/>
        <v>56.5</v>
      </c>
      <c r="AA84" s="60">
        <f>SUMIF(AA73:AA83,"&gt;0")</f>
        <v>37</v>
      </c>
      <c r="AB84" s="60">
        <f t="shared" si="23"/>
        <v>62</v>
      </c>
      <c r="AC84" s="60">
        <f t="shared" si="23"/>
        <v>60.5</v>
      </c>
      <c r="AD84" s="60">
        <f t="shared" si="23"/>
        <v>66.400000000000006</v>
      </c>
      <c r="AE84" s="60">
        <f t="shared" si="23"/>
        <v>25</v>
      </c>
      <c r="AF84" s="60">
        <f t="shared" si="23"/>
        <v>15.9</v>
      </c>
      <c r="AG84" s="87">
        <f>SUM(AG73:AG83)</f>
        <v>0</v>
      </c>
      <c r="AH84" s="47">
        <f t="shared" si="20"/>
        <v>66.400000000000006</v>
      </c>
      <c r="AI84" s="48">
        <f t="shared" si="21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20"/>
        <v>0</v>
      </c>
      <c r="AI85" s="48">
        <f t="shared" si="21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20"/>
        <v>0</v>
      </c>
      <c r="AI86" s="48">
        <f t="shared" si="21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20"/>
        <v>0</v>
      </c>
      <c r="AI87" s="48">
        <f t="shared" si="21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>
        <f>SUM(AA85:AA87)</f>
        <v>0</v>
      </c>
      <c r="AB88" s="60"/>
      <c r="AC88" s="60"/>
      <c r="AD88" s="60"/>
      <c r="AE88" s="60"/>
      <c r="AF88" s="60"/>
      <c r="AG88" s="87">
        <f>SUM(AG85:AG87)</f>
        <v>55.4</v>
      </c>
      <c r="AH88" s="47">
        <f t="shared" si="20"/>
        <v>0</v>
      </c>
      <c r="AI88" s="48">
        <f t="shared" si="21"/>
        <v>0</v>
      </c>
    </row>
    <row r="89" spans="1:40" ht="15.75" thickBot="1" x14ac:dyDescent="0.3">
      <c r="A89" s="73" t="s">
        <v>100</v>
      </c>
      <c r="B89" s="94">
        <f t="shared" ref="B89:D89" si="25">B50+B54+B72+B68+B84+B88</f>
        <v>1912.62</v>
      </c>
      <c r="C89" s="94">
        <f t="shared" si="25"/>
        <v>1876.52</v>
      </c>
      <c r="D89" s="94">
        <f t="shared" si="25"/>
        <v>1812.02</v>
      </c>
      <c r="E89" s="94">
        <f t="shared" ref="E89:AG89" si="26">E50+E54+E72+E68+E84+E88</f>
        <v>1807.02</v>
      </c>
      <c r="F89" s="94">
        <f t="shared" si="26"/>
        <v>1802.92</v>
      </c>
      <c r="G89" s="94">
        <f t="shared" si="26"/>
        <v>1822.82</v>
      </c>
      <c r="H89" s="94">
        <f t="shared" si="26"/>
        <v>1842.82</v>
      </c>
      <c r="I89" s="94">
        <f t="shared" si="26"/>
        <v>1825.52</v>
      </c>
      <c r="J89" s="94">
        <f t="shared" si="26"/>
        <v>1861.02</v>
      </c>
      <c r="K89" s="94">
        <f t="shared" si="26"/>
        <v>1929.62</v>
      </c>
      <c r="L89" s="94">
        <f t="shared" si="26"/>
        <v>1953.12</v>
      </c>
      <c r="M89" s="94">
        <f t="shared" si="26"/>
        <v>1928.42</v>
      </c>
      <c r="N89" s="94">
        <f t="shared" si="26"/>
        <v>1824.2199999999998</v>
      </c>
      <c r="O89" s="94">
        <f t="shared" si="26"/>
        <v>1874.62</v>
      </c>
      <c r="P89" s="94">
        <f t="shared" ref="P89:Q89" si="27">P50+P54+P72+P68+P84+P88</f>
        <v>1895.52</v>
      </c>
      <c r="Q89" s="94">
        <f t="shared" si="27"/>
        <v>1885.02</v>
      </c>
      <c r="R89" s="94">
        <f t="shared" si="26"/>
        <v>1852.32</v>
      </c>
      <c r="S89" s="94">
        <f t="shared" si="26"/>
        <v>1936.52</v>
      </c>
      <c r="T89" s="94">
        <f t="shared" si="26"/>
        <v>1900.6399999999999</v>
      </c>
      <c r="U89" s="94">
        <f t="shared" si="26"/>
        <v>1915.1399999999999</v>
      </c>
      <c r="V89" s="94">
        <f t="shared" si="26"/>
        <v>1851.0400000000002</v>
      </c>
      <c r="W89" s="94">
        <f t="shared" si="26"/>
        <v>1878.5700000000002</v>
      </c>
      <c r="X89" s="94">
        <f t="shared" si="26"/>
        <v>1802.74</v>
      </c>
      <c r="Y89" s="94">
        <f t="shared" si="26"/>
        <v>1850.7399999999998</v>
      </c>
      <c r="Z89" s="94">
        <f t="shared" si="26"/>
        <v>1874.94</v>
      </c>
      <c r="AA89" s="94">
        <f>SUM(AA50,AA54,AA68,AA72,AA84,AA88)</f>
        <v>1884.5900000000001</v>
      </c>
      <c r="AB89" s="94">
        <f t="shared" si="26"/>
        <v>1854.94</v>
      </c>
      <c r="AC89" s="94">
        <f t="shared" si="26"/>
        <v>1885.44</v>
      </c>
      <c r="AD89" s="94">
        <f t="shared" si="26"/>
        <v>1881.3400000000001</v>
      </c>
      <c r="AE89" s="94">
        <f t="shared" si="26"/>
        <v>1909.1399999999999</v>
      </c>
      <c r="AF89" s="94">
        <f t="shared" si="26"/>
        <v>1866.54</v>
      </c>
      <c r="AG89" s="61">
        <f t="shared" si="26"/>
        <v>2111.5500000000002</v>
      </c>
      <c r="AH89" s="47">
        <f t="shared" si="20"/>
        <v>1953.12</v>
      </c>
      <c r="AI89" s="48">
        <f t="shared" si="21"/>
        <v>1802.74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>
        <v>145</v>
      </c>
      <c r="AB90" s="96">
        <v>100</v>
      </c>
      <c r="AC90" s="96">
        <v>100</v>
      </c>
      <c r="AD90" s="96">
        <v>100</v>
      </c>
      <c r="AE90" s="96">
        <v>0</v>
      </c>
      <c r="AF90" s="96"/>
      <c r="AG90" s="87"/>
      <c r="AH90" s="47">
        <f t="shared" si="20"/>
        <v>145</v>
      </c>
      <c r="AI90" s="48">
        <f t="shared" si="21"/>
        <v>0</v>
      </c>
    </row>
    <row r="91" spans="1:40" ht="15.75" thickBot="1" x14ac:dyDescent="0.3">
      <c r="A91" s="73" t="s">
        <v>102</v>
      </c>
      <c r="B91" s="94">
        <f t="shared" ref="B91" si="28">B89+B90</f>
        <v>1912.62</v>
      </c>
      <c r="C91" s="94">
        <f t="shared" ref="C91:AF91" si="29">C89+C90</f>
        <v>1876.52</v>
      </c>
      <c r="D91" s="94">
        <f t="shared" si="29"/>
        <v>1812.02</v>
      </c>
      <c r="E91" s="94">
        <f t="shared" si="29"/>
        <v>1807.02</v>
      </c>
      <c r="F91" s="94">
        <f t="shared" si="29"/>
        <v>1802.92</v>
      </c>
      <c r="G91" s="94">
        <f t="shared" si="29"/>
        <v>1822.82</v>
      </c>
      <c r="H91" s="94">
        <f t="shared" si="29"/>
        <v>1842.82</v>
      </c>
      <c r="I91" s="94">
        <f t="shared" si="29"/>
        <v>1825.52</v>
      </c>
      <c r="J91" s="94">
        <f t="shared" si="29"/>
        <v>1861.02</v>
      </c>
      <c r="K91" s="94">
        <f t="shared" si="29"/>
        <v>1929.62</v>
      </c>
      <c r="L91" s="94">
        <f t="shared" si="29"/>
        <v>1953.12</v>
      </c>
      <c r="M91" s="94">
        <f t="shared" si="29"/>
        <v>1928.42</v>
      </c>
      <c r="N91" s="94">
        <f t="shared" si="29"/>
        <v>1824.2199999999998</v>
      </c>
      <c r="O91" s="94">
        <f t="shared" si="29"/>
        <v>1874.62</v>
      </c>
      <c r="P91" s="94">
        <f t="shared" ref="P91:Q91" si="30">P89+P90</f>
        <v>1895.52</v>
      </c>
      <c r="Q91" s="94">
        <f t="shared" si="30"/>
        <v>1885.02</v>
      </c>
      <c r="R91" s="94">
        <f t="shared" si="29"/>
        <v>1852.32</v>
      </c>
      <c r="S91" s="94">
        <f t="shared" si="29"/>
        <v>1936.52</v>
      </c>
      <c r="T91" s="94">
        <f t="shared" si="29"/>
        <v>1900.6399999999999</v>
      </c>
      <c r="U91" s="94">
        <f t="shared" si="29"/>
        <v>1915.1399999999999</v>
      </c>
      <c r="V91" s="94">
        <f t="shared" si="29"/>
        <v>1851.0400000000002</v>
      </c>
      <c r="W91" s="94">
        <f t="shared" si="29"/>
        <v>1878.5700000000002</v>
      </c>
      <c r="X91" s="94">
        <f t="shared" si="29"/>
        <v>1802.74</v>
      </c>
      <c r="Y91" s="94">
        <f t="shared" si="29"/>
        <v>1850.7399999999998</v>
      </c>
      <c r="Z91" s="94">
        <f t="shared" si="29"/>
        <v>1874.94</v>
      </c>
      <c r="AA91" s="94">
        <f>SUM(AA89+AA90)</f>
        <v>2029.5900000000001</v>
      </c>
      <c r="AB91" s="94">
        <f t="shared" si="29"/>
        <v>1954.94</v>
      </c>
      <c r="AC91" s="94">
        <f t="shared" si="29"/>
        <v>1985.44</v>
      </c>
      <c r="AD91" s="94">
        <f t="shared" si="29"/>
        <v>1981.3400000000001</v>
      </c>
      <c r="AE91" s="94">
        <f t="shared" si="29"/>
        <v>1909.1399999999999</v>
      </c>
      <c r="AF91" s="94">
        <f t="shared" si="29"/>
        <v>1866.54</v>
      </c>
      <c r="AG91" s="87">
        <f>AG88+AG84+AG72+AG68+AG50+AG90</f>
        <v>1573.45</v>
      </c>
      <c r="AH91" s="47">
        <f t="shared" si="20"/>
        <v>2029.5900000000001</v>
      </c>
      <c r="AI91" s="48">
        <f t="shared" si="21"/>
        <v>1802.74</v>
      </c>
    </row>
    <row r="92" spans="1:40" ht="15.75" thickBot="1" x14ac:dyDescent="0.3">
      <c r="A92" s="73" t="s">
        <v>103</v>
      </c>
      <c r="B92" s="94">
        <f t="shared" ref="B92" si="31">B91-B99</f>
        <v>1912.62</v>
      </c>
      <c r="C92" s="94">
        <f t="shared" ref="C92:AF92" si="32">C91-C99</f>
        <v>1876.52</v>
      </c>
      <c r="D92" s="94">
        <f t="shared" si="32"/>
        <v>1812.02</v>
      </c>
      <c r="E92" s="94">
        <f t="shared" si="32"/>
        <v>1807.02</v>
      </c>
      <c r="F92" s="94">
        <f t="shared" si="32"/>
        <v>1802.92</v>
      </c>
      <c r="G92" s="94">
        <f t="shared" si="32"/>
        <v>1822.82</v>
      </c>
      <c r="H92" s="94">
        <f t="shared" si="32"/>
        <v>1842.82</v>
      </c>
      <c r="I92" s="94">
        <f t="shared" si="32"/>
        <v>1825.52</v>
      </c>
      <c r="J92" s="94">
        <f t="shared" si="32"/>
        <v>1861.02</v>
      </c>
      <c r="K92" s="94">
        <f t="shared" si="32"/>
        <v>1929.62</v>
      </c>
      <c r="L92" s="94">
        <f t="shared" si="32"/>
        <v>1953.12</v>
      </c>
      <c r="M92" s="94">
        <f t="shared" si="32"/>
        <v>1928.42</v>
      </c>
      <c r="N92" s="94">
        <f t="shared" si="32"/>
        <v>1824.2199999999998</v>
      </c>
      <c r="O92" s="94">
        <f t="shared" si="32"/>
        <v>1874.62</v>
      </c>
      <c r="P92" s="94">
        <f t="shared" ref="P92:Q92" si="33">P91-P99</f>
        <v>1895.52</v>
      </c>
      <c r="Q92" s="94">
        <f t="shared" si="33"/>
        <v>1885.02</v>
      </c>
      <c r="R92" s="94">
        <f t="shared" si="32"/>
        <v>1852.32</v>
      </c>
      <c r="S92" s="94">
        <f t="shared" si="32"/>
        <v>1936.52</v>
      </c>
      <c r="T92" s="94">
        <f t="shared" si="32"/>
        <v>1900.6399999999999</v>
      </c>
      <c r="U92" s="94">
        <f t="shared" si="32"/>
        <v>1915.1399999999999</v>
      </c>
      <c r="V92" s="94">
        <f t="shared" si="32"/>
        <v>1851.0400000000002</v>
      </c>
      <c r="W92" s="94">
        <f t="shared" si="32"/>
        <v>1878.5700000000002</v>
      </c>
      <c r="X92" s="94">
        <f t="shared" si="32"/>
        <v>1802.74</v>
      </c>
      <c r="Y92" s="94">
        <f t="shared" si="32"/>
        <v>1850.7399999999998</v>
      </c>
      <c r="Z92" s="94">
        <f t="shared" si="32"/>
        <v>1874.94</v>
      </c>
      <c r="AA92" s="94">
        <f>AA91-AA99</f>
        <v>2029.5900000000001</v>
      </c>
      <c r="AB92" s="94">
        <f t="shared" si="32"/>
        <v>1954.94</v>
      </c>
      <c r="AC92" s="94">
        <f t="shared" si="32"/>
        <v>1985.44</v>
      </c>
      <c r="AD92" s="94">
        <f t="shared" si="32"/>
        <v>1981.3400000000001</v>
      </c>
      <c r="AE92" s="94">
        <f t="shared" si="32"/>
        <v>1909.1399999999999</v>
      </c>
      <c r="AF92" s="94">
        <f t="shared" si="32"/>
        <v>1866.54</v>
      </c>
      <c r="AG92" s="87"/>
      <c r="AH92" s="47">
        <f t="shared" si="20"/>
        <v>2029.5900000000001</v>
      </c>
      <c r="AI92" s="48">
        <f t="shared" si="21"/>
        <v>1802.74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20"/>
        <v>0</v>
      </c>
      <c r="AI93" s="48">
        <f t="shared" si="21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20"/>
        <v>0</v>
      </c>
      <c r="AI94" s="48">
        <f t="shared" si="21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20"/>
        <v>0</v>
      </c>
      <c r="AI95" s="48">
        <f t="shared" si="21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20"/>
        <v>0</v>
      </c>
      <c r="AI96" s="48">
        <f t="shared" si="21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20"/>
        <v>0</v>
      </c>
      <c r="AI97" s="48">
        <f t="shared" si="21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20"/>
        <v>0</v>
      </c>
      <c r="AI98" s="48">
        <f t="shared" si="21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f>SUM(AA93:AA98)</f>
        <v>0</v>
      </c>
      <c r="AB99" s="60"/>
      <c r="AC99" s="60"/>
      <c r="AD99" s="60"/>
      <c r="AE99" s="60"/>
      <c r="AF99" s="60"/>
      <c r="AG99" s="87"/>
      <c r="AH99" s="47">
        <f t="shared" si="20"/>
        <v>0</v>
      </c>
      <c r="AI99" s="48">
        <f t="shared" si="21"/>
        <v>0</v>
      </c>
      <c r="AK99" s="50"/>
    </row>
    <row r="100" spans="1:37" ht="15.75" thickBot="1" x14ac:dyDescent="0.3">
      <c r="A100" s="73" t="s">
        <v>108</v>
      </c>
      <c r="B100" s="60">
        <f t="shared" ref="B100" si="34">B84-B99</f>
        <v>0</v>
      </c>
      <c r="C100" s="60">
        <f t="shared" ref="C100:AF100" si="35">C84-C99</f>
        <v>0</v>
      </c>
      <c r="D100" s="60">
        <f t="shared" si="35"/>
        <v>0</v>
      </c>
      <c r="E100" s="60">
        <f t="shared" si="35"/>
        <v>0</v>
      </c>
      <c r="F100" s="60">
        <f t="shared" si="35"/>
        <v>0</v>
      </c>
      <c r="G100" s="60">
        <f t="shared" si="35"/>
        <v>0</v>
      </c>
      <c r="H100" s="60">
        <f t="shared" si="35"/>
        <v>0</v>
      </c>
      <c r="I100" s="60">
        <f t="shared" si="35"/>
        <v>0</v>
      </c>
      <c r="J100" s="60">
        <f t="shared" si="35"/>
        <v>0</v>
      </c>
      <c r="K100" s="60">
        <f t="shared" si="35"/>
        <v>0</v>
      </c>
      <c r="L100" s="60">
        <f t="shared" si="35"/>
        <v>0</v>
      </c>
      <c r="M100" s="60">
        <f t="shared" si="35"/>
        <v>0</v>
      </c>
      <c r="N100" s="60">
        <f t="shared" si="35"/>
        <v>0</v>
      </c>
      <c r="O100" s="60">
        <f t="shared" si="35"/>
        <v>0</v>
      </c>
      <c r="P100" s="60">
        <f t="shared" ref="P100:Q100" si="36">P84-P99</f>
        <v>0</v>
      </c>
      <c r="Q100" s="60">
        <f t="shared" si="36"/>
        <v>0</v>
      </c>
      <c r="R100" s="60">
        <f t="shared" si="35"/>
        <v>0</v>
      </c>
      <c r="S100" s="60">
        <f t="shared" si="35"/>
        <v>2</v>
      </c>
      <c r="T100" s="60">
        <f t="shared" si="35"/>
        <v>0</v>
      </c>
      <c r="U100" s="60">
        <f t="shared" si="35"/>
        <v>0</v>
      </c>
      <c r="V100" s="60">
        <f t="shared" si="35"/>
        <v>2.2000000000000002</v>
      </c>
      <c r="W100" s="60">
        <f t="shared" si="35"/>
        <v>0</v>
      </c>
      <c r="X100" s="60">
        <f t="shared" si="35"/>
        <v>5.0999999999999996</v>
      </c>
      <c r="Y100" s="60">
        <f t="shared" si="35"/>
        <v>11</v>
      </c>
      <c r="Z100" s="60">
        <f t="shared" si="35"/>
        <v>56.5</v>
      </c>
      <c r="AA100" s="60">
        <f>AA84-AA99</f>
        <v>37</v>
      </c>
      <c r="AB100" s="60">
        <f t="shared" si="35"/>
        <v>62</v>
      </c>
      <c r="AC100" s="60">
        <f t="shared" si="35"/>
        <v>60.5</v>
      </c>
      <c r="AD100" s="60">
        <f t="shared" si="35"/>
        <v>66.400000000000006</v>
      </c>
      <c r="AE100" s="60">
        <f t="shared" si="35"/>
        <v>25</v>
      </c>
      <c r="AF100" s="60">
        <f t="shared" si="35"/>
        <v>15.9</v>
      </c>
      <c r="AG100" s="87"/>
      <c r="AH100" s="47">
        <f t="shared" si="20"/>
        <v>66.400000000000006</v>
      </c>
      <c r="AI100" s="48">
        <f t="shared" si="21"/>
        <v>0</v>
      </c>
    </row>
    <row r="101" spans="1:37" x14ac:dyDescent="0.25">
      <c r="A101" s="99" t="s">
        <v>109</v>
      </c>
      <c r="B101" s="100">
        <v>50.03</v>
      </c>
      <c r="C101" s="100">
        <v>49.97</v>
      </c>
      <c r="D101" s="100">
        <v>49.97</v>
      </c>
      <c r="E101" s="100">
        <v>49.97</v>
      </c>
      <c r="F101" s="100">
        <v>49.97</v>
      </c>
      <c r="G101" s="100">
        <v>49.97</v>
      </c>
      <c r="H101" s="100">
        <v>49.97</v>
      </c>
      <c r="I101" s="100">
        <v>49.97</v>
      </c>
      <c r="J101" s="100">
        <v>50.02</v>
      </c>
      <c r="K101" s="100">
        <v>49.76</v>
      </c>
      <c r="L101" s="100">
        <v>49.98</v>
      </c>
      <c r="M101" s="100">
        <v>49.960999999999999</v>
      </c>
      <c r="N101" s="100">
        <v>50.009</v>
      </c>
      <c r="O101" s="100">
        <v>49.987000000000002</v>
      </c>
      <c r="P101" s="100">
        <v>50.021000000000001</v>
      </c>
      <c r="Q101" s="100">
        <v>50</v>
      </c>
      <c r="R101" s="100">
        <v>49.993000000000002</v>
      </c>
      <c r="S101" s="100">
        <v>50.052999999999997</v>
      </c>
      <c r="T101" s="100">
        <v>50.03</v>
      </c>
      <c r="U101" s="100">
        <v>49.959000000000003</v>
      </c>
      <c r="V101" s="100">
        <v>50.04</v>
      </c>
      <c r="W101" s="100">
        <v>50.01</v>
      </c>
      <c r="X101" s="100">
        <v>50.01</v>
      </c>
      <c r="Y101" s="100">
        <v>50.057000000000002</v>
      </c>
      <c r="Z101" s="100">
        <v>49.991</v>
      </c>
      <c r="AA101" s="100">
        <v>50.003999999999998</v>
      </c>
      <c r="AB101" s="100">
        <v>50.026000000000003</v>
      </c>
      <c r="AC101" s="100">
        <v>49.99</v>
      </c>
      <c r="AD101" s="100">
        <v>50.018000000000001</v>
      </c>
      <c r="AE101" s="100">
        <v>49.95</v>
      </c>
      <c r="AF101" s="100">
        <v>50.03</v>
      </c>
      <c r="AG101" s="101"/>
      <c r="AH101" s="47">
        <f t="shared" si="20"/>
        <v>50.057000000000002</v>
      </c>
      <c r="AI101" s="48">
        <f t="shared" si="21"/>
        <v>49.76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20"/>
        <v>0</v>
      </c>
      <c r="AI102" s="48">
        <f t="shared" si="21"/>
        <v>0</v>
      </c>
    </row>
    <row r="103" spans="1:37" x14ac:dyDescent="0.25">
      <c r="A103" s="102" t="s">
        <v>111</v>
      </c>
      <c r="B103" s="64">
        <v>130.1</v>
      </c>
      <c r="C103" s="64">
        <v>131.1</v>
      </c>
      <c r="D103" s="64">
        <v>131.1</v>
      </c>
      <c r="E103" s="64">
        <v>131.1</v>
      </c>
      <c r="F103" s="64">
        <v>131.1</v>
      </c>
      <c r="G103" s="64">
        <v>131.1</v>
      </c>
      <c r="H103" s="64">
        <v>131.1</v>
      </c>
      <c r="I103" s="64">
        <v>131.1</v>
      </c>
      <c r="J103" s="64">
        <v>127.5</v>
      </c>
      <c r="K103" s="64">
        <v>125.8</v>
      </c>
      <c r="L103" s="64">
        <v>125.5</v>
      </c>
      <c r="M103" s="64">
        <v>124.2</v>
      </c>
      <c r="N103" s="64">
        <v>127.3</v>
      </c>
      <c r="O103" s="64">
        <v>125.7</v>
      </c>
      <c r="P103" s="64">
        <v>125.6</v>
      </c>
      <c r="Q103" s="64">
        <v>126.6</v>
      </c>
      <c r="R103" s="64">
        <v>125.4</v>
      </c>
      <c r="S103" s="64">
        <v>126.3</v>
      </c>
      <c r="T103" s="64">
        <v>127.1</v>
      </c>
      <c r="U103" s="64">
        <v>129</v>
      </c>
      <c r="V103" s="64">
        <v>128.69999999999999</v>
      </c>
      <c r="W103" s="64">
        <v>128.19999999999999</v>
      </c>
      <c r="X103" s="64">
        <v>128.19999999999999</v>
      </c>
      <c r="Y103" s="64">
        <v>125.9</v>
      </c>
      <c r="Z103" s="64">
        <v>125.9</v>
      </c>
      <c r="AA103" s="64">
        <v>128.30000000000001</v>
      </c>
      <c r="AB103" s="64">
        <v>129</v>
      </c>
      <c r="AC103" s="64">
        <v>129</v>
      </c>
      <c r="AD103" s="64">
        <v>128.4</v>
      </c>
      <c r="AE103" s="64">
        <v>130.4</v>
      </c>
      <c r="AF103" s="64">
        <v>129.5</v>
      </c>
      <c r="AG103" s="103"/>
      <c r="AH103" s="47">
        <f t="shared" si="20"/>
        <v>131.1</v>
      </c>
      <c r="AI103" s="48">
        <f t="shared" si="21"/>
        <v>124.2</v>
      </c>
    </row>
    <row r="104" spans="1:37" x14ac:dyDescent="0.25">
      <c r="A104" s="102" t="s">
        <v>112</v>
      </c>
      <c r="B104" s="64">
        <v>128.9</v>
      </c>
      <c r="C104" s="64">
        <v>129.4</v>
      </c>
      <c r="D104" s="64">
        <v>129.4</v>
      </c>
      <c r="E104" s="64">
        <v>129.4</v>
      </c>
      <c r="F104" s="64">
        <v>129.4</v>
      </c>
      <c r="G104" s="64">
        <v>129.4</v>
      </c>
      <c r="H104" s="64">
        <v>129.4</v>
      </c>
      <c r="I104" s="64">
        <v>129.4</v>
      </c>
      <c r="J104" s="64">
        <v>127.5</v>
      </c>
      <c r="K104" s="64">
        <v>126.9</v>
      </c>
      <c r="L104" s="64">
        <v>126</v>
      </c>
      <c r="M104" s="64">
        <v>127.3</v>
      </c>
      <c r="N104" s="64">
        <v>127.9</v>
      </c>
      <c r="O104" s="64">
        <v>129.69999999999999</v>
      </c>
      <c r="P104" s="64">
        <v>127.8</v>
      </c>
      <c r="Q104" s="64">
        <v>128.30000000000001</v>
      </c>
      <c r="R104" s="64">
        <v>127</v>
      </c>
      <c r="S104" s="64">
        <v>118</v>
      </c>
      <c r="T104" s="64">
        <v>121</v>
      </c>
      <c r="U104" s="64">
        <v>123.6</v>
      </c>
      <c r="V104" s="64">
        <v>127</v>
      </c>
      <c r="W104" s="64">
        <v>129.6</v>
      </c>
      <c r="X104" s="64">
        <v>129.6</v>
      </c>
      <c r="Y104" s="64">
        <v>126.3</v>
      </c>
      <c r="Z104" s="64">
        <v>125.2</v>
      </c>
      <c r="AA104" s="64">
        <v>129.19999999999999</v>
      </c>
      <c r="AB104" s="64">
        <v>127.7</v>
      </c>
      <c r="AC104" s="64">
        <v>127.7</v>
      </c>
      <c r="AD104" s="64">
        <v>128</v>
      </c>
      <c r="AE104" s="64">
        <v>128.1</v>
      </c>
      <c r="AF104" s="64">
        <v>130.1</v>
      </c>
      <c r="AG104" s="103"/>
      <c r="AH104" s="47">
        <f t="shared" si="20"/>
        <v>130.1</v>
      </c>
      <c r="AI104" s="48">
        <f t="shared" si="21"/>
        <v>118</v>
      </c>
    </row>
    <row r="105" spans="1:37" x14ac:dyDescent="0.25">
      <c r="A105" s="104" t="s">
        <v>113</v>
      </c>
      <c r="B105" s="64">
        <v>133.30000000000001</v>
      </c>
      <c r="C105" s="64">
        <v>132.4</v>
      </c>
      <c r="D105" s="64">
        <v>132.4</v>
      </c>
      <c r="E105" s="64">
        <v>132.4</v>
      </c>
      <c r="F105" s="64">
        <v>132.4</v>
      </c>
      <c r="G105" s="64">
        <v>132.4</v>
      </c>
      <c r="H105" s="64">
        <v>132.4</v>
      </c>
      <c r="I105" s="64">
        <v>132.4</v>
      </c>
      <c r="J105" s="64">
        <v>129.4</v>
      </c>
      <c r="K105" s="64">
        <v>128.80000000000001</v>
      </c>
      <c r="L105" s="64">
        <v>128.19999999999999</v>
      </c>
      <c r="M105" s="64">
        <v>131.4</v>
      </c>
      <c r="N105" s="64">
        <v>131.80000000000001</v>
      </c>
      <c r="O105" s="64">
        <v>132.9</v>
      </c>
      <c r="P105" s="64">
        <v>129.9</v>
      </c>
      <c r="Q105" s="64">
        <v>129.6</v>
      </c>
      <c r="R105" s="64">
        <v>128.5</v>
      </c>
      <c r="S105" s="64">
        <v>118.6</v>
      </c>
      <c r="T105" s="64">
        <v>125</v>
      </c>
      <c r="U105" s="64">
        <v>123.4</v>
      </c>
      <c r="V105" s="64">
        <v>129.19999999999999</v>
      </c>
      <c r="W105" s="64">
        <v>131.6</v>
      </c>
      <c r="X105" s="64">
        <v>131.6</v>
      </c>
      <c r="Y105" s="64">
        <v>128.5</v>
      </c>
      <c r="Z105" s="64">
        <v>126.5</v>
      </c>
      <c r="AA105" s="64">
        <v>131.5</v>
      </c>
      <c r="AB105" s="64">
        <v>130.6</v>
      </c>
      <c r="AC105" s="64">
        <v>130.6</v>
      </c>
      <c r="AD105" s="64">
        <v>131.69999999999999</v>
      </c>
      <c r="AE105" s="64">
        <v>132.80000000000001</v>
      </c>
      <c r="AF105" s="64">
        <v>134.4</v>
      </c>
      <c r="AG105" s="103"/>
      <c r="AH105" s="47">
        <f t="shared" si="20"/>
        <v>134.4</v>
      </c>
      <c r="AI105" s="48">
        <f t="shared" si="21"/>
        <v>118.6</v>
      </c>
    </row>
    <row r="106" spans="1:37" x14ac:dyDescent="0.25">
      <c r="A106" s="104" t="s">
        <v>114</v>
      </c>
      <c r="B106" s="105">
        <v>131.5</v>
      </c>
      <c r="C106" s="105">
        <v>133</v>
      </c>
      <c r="D106" s="105">
        <v>133</v>
      </c>
      <c r="E106" s="105">
        <v>133</v>
      </c>
      <c r="F106" s="105">
        <v>133</v>
      </c>
      <c r="G106" s="105">
        <v>133</v>
      </c>
      <c r="H106" s="105">
        <v>133</v>
      </c>
      <c r="I106" s="105">
        <v>133</v>
      </c>
      <c r="J106" s="105">
        <v>133.5</v>
      </c>
      <c r="K106" s="105">
        <v>131.1</v>
      </c>
      <c r="L106" s="105">
        <v>132</v>
      </c>
      <c r="M106" s="105">
        <v>129</v>
      </c>
      <c r="N106" s="105">
        <v>127.5</v>
      </c>
      <c r="O106" s="105">
        <v>129.30000000000001</v>
      </c>
      <c r="P106" s="105">
        <v>129.9</v>
      </c>
      <c r="Q106" s="105">
        <v>132.6</v>
      </c>
      <c r="R106" s="105">
        <v>131.69999999999999</v>
      </c>
      <c r="S106" s="105">
        <v>131</v>
      </c>
      <c r="T106" s="105">
        <v>132.9</v>
      </c>
      <c r="U106" s="105">
        <v>134.19999999999999</v>
      </c>
      <c r="V106" s="105">
        <v>133.19999999999999</v>
      </c>
      <c r="W106" s="105">
        <v>132.1</v>
      </c>
      <c r="X106" s="105">
        <v>132.1</v>
      </c>
      <c r="Y106" s="105">
        <v>129.9</v>
      </c>
      <c r="Z106" s="105">
        <v>131.6</v>
      </c>
      <c r="AA106" s="105">
        <v>133.6</v>
      </c>
      <c r="AB106" s="105">
        <v>134</v>
      </c>
      <c r="AC106" s="105">
        <v>134</v>
      </c>
      <c r="AD106" s="105">
        <v>132</v>
      </c>
      <c r="AE106" s="105">
        <v>132</v>
      </c>
      <c r="AF106" s="105">
        <v>131.6</v>
      </c>
      <c r="AG106" s="106"/>
      <c r="AH106" s="47">
        <f t="shared" si="20"/>
        <v>134.19999999999999</v>
      </c>
      <c r="AI106" s="48">
        <f t="shared" si="21"/>
        <v>127.5</v>
      </c>
    </row>
    <row r="107" spans="1:37" x14ac:dyDescent="0.25">
      <c r="A107" s="102" t="s">
        <v>115</v>
      </c>
      <c r="B107" s="64">
        <v>129.80000000000001</v>
      </c>
      <c r="C107" s="64">
        <v>132.4</v>
      </c>
      <c r="D107" s="64">
        <v>132.4</v>
      </c>
      <c r="E107" s="64">
        <v>132.4</v>
      </c>
      <c r="F107" s="64">
        <v>132.4</v>
      </c>
      <c r="G107" s="64">
        <v>132.4</v>
      </c>
      <c r="H107" s="64">
        <v>132.4</v>
      </c>
      <c r="I107" s="64">
        <v>132.4</v>
      </c>
      <c r="J107" s="64">
        <v>133.80000000000001</v>
      </c>
      <c r="K107" s="64">
        <v>134</v>
      </c>
      <c r="L107" s="64">
        <v>130</v>
      </c>
      <c r="M107" s="64">
        <v>136.6</v>
      </c>
      <c r="N107" s="64">
        <v>130.9</v>
      </c>
      <c r="O107" s="64">
        <v>128.5</v>
      </c>
      <c r="P107" s="64">
        <v>131.9</v>
      </c>
      <c r="Q107" s="64">
        <v>126.3</v>
      </c>
      <c r="R107" s="64">
        <v>128</v>
      </c>
      <c r="S107" s="64">
        <v>125.4</v>
      </c>
      <c r="T107" s="64">
        <v>130.4</v>
      </c>
      <c r="U107" s="64">
        <v>129.80000000000001</v>
      </c>
      <c r="V107" s="64">
        <v>128.80000000000001</v>
      </c>
      <c r="W107" s="64">
        <v>129.6</v>
      </c>
      <c r="X107" s="64">
        <v>129.6</v>
      </c>
      <c r="Y107" s="64">
        <v>132.69999999999999</v>
      </c>
      <c r="Z107" s="64">
        <v>129.4</v>
      </c>
      <c r="AA107" s="64">
        <v>132.80000000000001</v>
      </c>
      <c r="AB107" s="64">
        <v>133.5</v>
      </c>
      <c r="AC107" s="64">
        <v>133.5</v>
      </c>
      <c r="AD107" s="64">
        <v>135</v>
      </c>
      <c r="AE107" s="64">
        <v>133.9</v>
      </c>
      <c r="AF107" s="64">
        <v>134.9</v>
      </c>
      <c r="AG107" s="103"/>
      <c r="AH107" s="47">
        <f t="shared" si="20"/>
        <v>136.6</v>
      </c>
      <c r="AI107" s="48">
        <f t="shared" si="21"/>
        <v>125.4</v>
      </c>
    </row>
    <row r="108" spans="1:37" ht="15.75" thickBot="1" x14ac:dyDescent="0.3">
      <c r="A108" s="102" t="s">
        <v>116</v>
      </c>
      <c r="B108" s="91">
        <v>65.3</v>
      </c>
      <c r="C108" s="91">
        <v>65.7</v>
      </c>
      <c r="D108" s="91">
        <v>65.7</v>
      </c>
      <c r="E108" s="91">
        <v>65.7</v>
      </c>
      <c r="F108" s="91">
        <v>65.7</v>
      </c>
      <c r="G108" s="91">
        <v>65.7</v>
      </c>
      <c r="H108" s="91">
        <v>65.7</v>
      </c>
      <c r="I108" s="91">
        <v>65.7</v>
      </c>
      <c r="J108" s="91">
        <v>63.9</v>
      </c>
      <c r="K108" s="91">
        <v>63.2</v>
      </c>
      <c r="L108" s="91">
        <v>63.1</v>
      </c>
      <c r="M108" s="91">
        <v>62.2</v>
      </c>
      <c r="N108" s="91">
        <v>64.099999999999994</v>
      </c>
      <c r="O108" s="91">
        <v>63.5</v>
      </c>
      <c r="P108" s="91">
        <v>63.1</v>
      </c>
      <c r="Q108" s="91">
        <v>63.8</v>
      </c>
      <c r="R108" s="91">
        <v>63.3</v>
      </c>
      <c r="S108" s="91">
        <v>63.8</v>
      </c>
      <c r="T108" s="91">
        <v>64.3</v>
      </c>
      <c r="U108" s="91">
        <v>65.099999999999994</v>
      </c>
      <c r="V108" s="91">
        <v>64.900000000000006</v>
      </c>
      <c r="W108" s="91">
        <v>64.599999999999994</v>
      </c>
      <c r="X108" s="91">
        <v>64.599999999999994</v>
      </c>
      <c r="Y108" s="91">
        <v>63.9</v>
      </c>
      <c r="Z108" s="91">
        <v>63.7</v>
      </c>
      <c r="AA108" s="91">
        <v>64.8</v>
      </c>
      <c r="AB108" s="91">
        <v>65.3</v>
      </c>
      <c r="AC108" s="91">
        <v>65.3</v>
      </c>
      <c r="AD108" s="91">
        <v>65</v>
      </c>
      <c r="AE108" s="91">
        <v>65.900000000000006</v>
      </c>
      <c r="AF108" s="91">
        <v>65.599999999999994</v>
      </c>
      <c r="AG108" s="107"/>
      <c r="AH108" s="47">
        <f t="shared" si="20"/>
        <v>65.900000000000006</v>
      </c>
      <c r="AI108" s="48">
        <f t="shared" si="21"/>
        <v>62.2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 t="str">
        <f>IF(AA92=MAX($B$93:$F$93),"PN","")</f>
        <v/>
      </c>
      <c r="AB109" s="91"/>
      <c r="AC109" s="91"/>
      <c r="AD109" s="91"/>
      <c r="AE109" s="91"/>
      <c r="AF109" s="91"/>
      <c r="AG109" s="107"/>
      <c r="AH109" s="47">
        <f t="shared" si="20"/>
        <v>0</v>
      </c>
      <c r="AI109" s="48">
        <f t="shared" si="21"/>
        <v>0</v>
      </c>
    </row>
    <row r="110" spans="1:37" ht="15.75" thickBot="1" x14ac:dyDescent="0.3">
      <c r="A110" s="109" t="s">
        <v>118</v>
      </c>
      <c r="B110" s="110">
        <f t="shared" ref="B110" si="37">SUM(B20,B26,B29:B30,B58,B60:B61,B63,B65,B111:B115,B138,B144,B150,B159,B161,B173,B180,B183:B184,B191,B193,B195,B199:B201,B203:B205,B210,B216:B217,B219:B221,B229,B234)</f>
        <v>18.599999999999994</v>
      </c>
      <c r="C110" s="110">
        <f t="shared" ref="C110:O110" si="38">SUM(C20,C26,C29:C30,C58,C60:C61,C63,C65,C111:C115,C138,C144,C150,C159,C161,C173,C180,C183:C184,C191,C193,C195,C199:C201,C203:C205,C210,C216:C217,C219:C221,C229,C234)</f>
        <v>27.640000000000008</v>
      </c>
      <c r="D110" s="110">
        <f t="shared" si="38"/>
        <v>40.739999999999988</v>
      </c>
      <c r="E110" s="110">
        <f t="shared" si="38"/>
        <v>40.739999999999988</v>
      </c>
      <c r="F110" s="110">
        <f t="shared" si="38"/>
        <v>40.739999999999988</v>
      </c>
      <c r="G110" s="110">
        <f t="shared" si="38"/>
        <v>58.339999999999982</v>
      </c>
      <c r="H110" s="110">
        <f t="shared" si="38"/>
        <v>93.94</v>
      </c>
      <c r="I110" s="110">
        <f t="shared" si="38"/>
        <v>109.14000000000001</v>
      </c>
      <c r="J110" s="110">
        <f t="shared" si="38"/>
        <v>157.02000000000001</v>
      </c>
      <c r="K110" s="110">
        <f t="shared" si="38"/>
        <v>205.34000000000003</v>
      </c>
      <c r="L110" s="110">
        <f t="shared" si="38"/>
        <v>300.44</v>
      </c>
      <c r="M110" s="110">
        <f t="shared" si="38"/>
        <v>211.23999999999998</v>
      </c>
      <c r="N110" s="110">
        <f t="shared" si="38"/>
        <v>178.54000000000002</v>
      </c>
      <c r="O110" s="110">
        <f t="shared" si="38"/>
        <v>143.04</v>
      </c>
      <c r="P110" s="110">
        <f t="shared" ref="P110:Q110" si="39">SUM(P20,P26,P29:P30,P58,P60:P61,P63,P65,P111:P115,P138,P144,P150,P159,P161,P173,P180,P183:P184,P191,P193,P195,P199:P201,P203:P205,P210,P216:P217,P219:P221,P229,P234)</f>
        <v>150.33999999999997</v>
      </c>
      <c r="Q110" s="110">
        <f t="shared" si="39"/>
        <v>170.3</v>
      </c>
      <c r="R110" s="110">
        <f t="shared" ref="R110:AF110" si="40">SUM(R20,R26,R29:R30,R58,R60:R61,R63,R65,R111:R115,R138,R144,R150,R159,R161,R173,R180,R183:R184,R191,R193,R195,R199:R201,R203:R205,R210,R216:R217,R219:R221,R229,R234)</f>
        <v>169.9</v>
      </c>
      <c r="S110" s="110">
        <f t="shared" si="40"/>
        <v>156.5</v>
      </c>
      <c r="T110" s="110">
        <f t="shared" si="40"/>
        <v>219.8</v>
      </c>
      <c r="U110" s="110">
        <f t="shared" si="40"/>
        <v>195.49999999999997</v>
      </c>
      <c r="V110" s="110">
        <f t="shared" si="40"/>
        <v>161.19999999999999</v>
      </c>
      <c r="W110" s="110">
        <f t="shared" si="40"/>
        <v>236.80000000000004</v>
      </c>
      <c r="X110" s="110">
        <f t="shared" si="40"/>
        <v>227.6</v>
      </c>
      <c r="Y110" s="110">
        <f t="shared" si="40"/>
        <v>251.90000000000003</v>
      </c>
      <c r="Z110" s="110">
        <f t="shared" si="40"/>
        <v>264.5</v>
      </c>
      <c r="AA110" s="110">
        <f>SUM(AA155,AA111:AA115,AA14,AA23,AA29,AA37,AA40,AA58,AA60:AA61,AA63,AA65)</f>
        <v>212.20000000000002</v>
      </c>
      <c r="AB110" s="110">
        <f t="shared" si="40"/>
        <v>231.8</v>
      </c>
      <c r="AC110" s="110">
        <f t="shared" si="40"/>
        <v>194.3</v>
      </c>
      <c r="AD110" s="110"/>
      <c r="AE110" s="110">
        <f t="shared" si="40"/>
        <v>136</v>
      </c>
      <c r="AF110" s="110">
        <f t="shared" si="40"/>
        <v>117.4</v>
      </c>
      <c r="AG110" s="111"/>
      <c r="AH110" s="47">
        <f t="shared" si="20"/>
        <v>300.44</v>
      </c>
      <c r="AI110" s="48">
        <f t="shared" si="21"/>
        <v>18.599999999999994</v>
      </c>
    </row>
    <row r="111" spans="1:37" x14ac:dyDescent="0.25">
      <c r="A111" s="99" t="s">
        <v>119</v>
      </c>
      <c r="B111" s="112">
        <v>9.1999999999999993</v>
      </c>
      <c r="C111" s="112">
        <v>11.2</v>
      </c>
      <c r="D111" s="112">
        <v>12.1</v>
      </c>
      <c r="E111" s="112">
        <v>12.1</v>
      </c>
      <c r="F111" s="112">
        <v>12.1</v>
      </c>
      <c r="G111" s="112">
        <v>12.1</v>
      </c>
      <c r="H111" s="112">
        <v>25</v>
      </c>
      <c r="I111" s="112">
        <v>25.5</v>
      </c>
      <c r="J111" s="112">
        <v>32</v>
      </c>
      <c r="K111" s="112">
        <v>56.1</v>
      </c>
      <c r="L111" s="112">
        <v>76.2</v>
      </c>
      <c r="M111" s="112">
        <v>57.1</v>
      </c>
      <c r="N111" s="112">
        <v>41.9</v>
      </c>
      <c r="O111" s="112">
        <v>47.5</v>
      </c>
      <c r="P111" s="112">
        <v>53.4</v>
      </c>
      <c r="Q111" s="112">
        <v>48.6</v>
      </c>
      <c r="R111" s="112">
        <v>51.4</v>
      </c>
      <c r="S111" s="112">
        <v>46.4</v>
      </c>
      <c r="T111" s="112">
        <v>38.6</v>
      </c>
      <c r="U111" s="112">
        <v>21.7</v>
      </c>
      <c r="V111" s="112">
        <v>19.7</v>
      </c>
      <c r="W111" s="112">
        <v>41.1</v>
      </c>
      <c r="X111" s="112">
        <v>41.1</v>
      </c>
      <c r="Y111" s="112">
        <v>43.3</v>
      </c>
      <c r="Z111" s="112">
        <v>36.5</v>
      </c>
      <c r="AA111" s="112">
        <v>37.9</v>
      </c>
      <c r="AB111" s="112">
        <v>26.9</v>
      </c>
      <c r="AC111" s="112">
        <v>26.5</v>
      </c>
      <c r="AD111" s="112">
        <v>285.10000000000002</v>
      </c>
      <c r="AE111" s="112">
        <v>23.5</v>
      </c>
      <c r="AF111" s="112">
        <v>32.9</v>
      </c>
      <c r="AG111" s="113">
        <v>75</v>
      </c>
      <c r="AH111" s="47">
        <f t="shared" si="20"/>
        <v>285.10000000000002</v>
      </c>
      <c r="AI111" s="48">
        <f t="shared" si="21"/>
        <v>9.1999999999999993</v>
      </c>
    </row>
    <row r="112" spans="1:37" x14ac:dyDescent="0.25">
      <c r="A112" s="102" t="s">
        <v>120</v>
      </c>
      <c r="B112" s="114">
        <v>16.5</v>
      </c>
      <c r="C112" s="114">
        <v>18.899999999999999</v>
      </c>
      <c r="D112" s="114">
        <v>21.1</v>
      </c>
      <c r="E112" s="114">
        <v>21.1</v>
      </c>
      <c r="F112" s="114">
        <v>21.1</v>
      </c>
      <c r="G112" s="114">
        <v>21.1</v>
      </c>
      <c r="H112" s="114">
        <v>35.4</v>
      </c>
      <c r="I112" s="114">
        <v>36.799999999999997</v>
      </c>
      <c r="J112" s="114">
        <v>46</v>
      </c>
      <c r="K112" s="114">
        <v>65</v>
      </c>
      <c r="L112" s="114">
        <v>78.5</v>
      </c>
      <c r="M112" s="114">
        <v>79</v>
      </c>
      <c r="N112" s="114">
        <v>58.5</v>
      </c>
      <c r="O112" s="114">
        <v>63.1</v>
      </c>
      <c r="P112" s="114">
        <v>75.099999999999994</v>
      </c>
      <c r="Q112" s="114">
        <v>66.8</v>
      </c>
      <c r="R112" s="114">
        <v>69.900000000000006</v>
      </c>
      <c r="S112" s="114">
        <v>64.5</v>
      </c>
      <c r="T112" s="114">
        <v>48.9</v>
      </c>
      <c r="U112" s="114">
        <v>22.2</v>
      </c>
      <c r="V112" s="114">
        <v>20.399999999999999</v>
      </c>
      <c r="W112" s="114">
        <v>48.2</v>
      </c>
      <c r="X112" s="114">
        <v>48.2</v>
      </c>
      <c r="Y112" s="114">
        <v>55.4</v>
      </c>
      <c r="Z112" s="114">
        <v>46.1</v>
      </c>
      <c r="AA112" s="114">
        <v>44.4</v>
      </c>
      <c r="AB112" s="114">
        <v>28.3</v>
      </c>
      <c r="AC112" s="114">
        <v>28.7</v>
      </c>
      <c r="AD112" s="114">
        <v>31.5</v>
      </c>
      <c r="AE112" s="114">
        <v>25.3</v>
      </c>
      <c r="AF112" s="114">
        <v>41.2</v>
      </c>
      <c r="AG112" s="113">
        <v>240</v>
      </c>
      <c r="AH112" s="47">
        <f t="shared" si="20"/>
        <v>79</v>
      </c>
      <c r="AI112" s="48">
        <f t="shared" si="21"/>
        <v>16.5</v>
      </c>
    </row>
    <row r="113" spans="1:37" x14ac:dyDescent="0.25">
      <c r="A113" s="102" t="s">
        <v>121</v>
      </c>
      <c r="B113" s="114">
        <f>-61.2-66.2</f>
        <v>-127.4</v>
      </c>
      <c r="C113" s="114">
        <v>-124</v>
      </c>
      <c r="D113" s="114">
        <f>-49.5-53.6</f>
        <v>-103.1</v>
      </c>
      <c r="E113" s="114">
        <f t="shared" ref="E113:F113" si="41">-49.5-53.6</f>
        <v>-103.1</v>
      </c>
      <c r="F113" s="114">
        <f t="shared" si="41"/>
        <v>-103.1</v>
      </c>
      <c r="G113" s="114">
        <v>-100.4</v>
      </c>
      <c r="H113" s="114">
        <v>-92.4</v>
      </c>
      <c r="I113" s="114">
        <f>-40.8-44.3</f>
        <v>-85.1</v>
      </c>
      <c r="J113" s="114">
        <f>-35.4-38.7</f>
        <v>-74.099999999999994</v>
      </c>
      <c r="K113" s="114">
        <f>-37.3-40.4</f>
        <v>-77.699999999999989</v>
      </c>
      <c r="L113" s="114">
        <f>-18.5-20</f>
        <v>-38.5</v>
      </c>
      <c r="M113" s="114">
        <v>-52</v>
      </c>
      <c r="N113" s="114">
        <v>-50</v>
      </c>
      <c r="O113" s="114">
        <v>-66</v>
      </c>
      <c r="P113" s="114">
        <v>-90.2</v>
      </c>
      <c r="Q113" s="114">
        <v>-101.8</v>
      </c>
      <c r="R113" s="114">
        <v>-86</v>
      </c>
      <c r="S113" s="114">
        <f>-47.6-52.6</f>
        <v>-100.2</v>
      </c>
      <c r="T113" s="114">
        <v>-46</v>
      </c>
      <c r="U113" s="114">
        <v>-57.8</v>
      </c>
      <c r="V113" s="114">
        <v>-93.4</v>
      </c>
      <c r="W113" s="114">
        <f>-25.2-34</f>
        <v>-59.2</v>
      </c>
      <c r="X113" s="114">
        <f>-25.2-34</f>
        <v>-59.2</v>
      </c>
      <c r="Y113" s="114">
        <v>-39</v>
      </c>
      <c r="Z113" s="114">
        <v>-38.6</v>
      </c>
      <c r="AA113" s="114">
        <v>-3</v>
      </c>
      <c r="AB113" s="114">
        <v>-42</v>
      </c>
      <c r="AC113" s="114">
        <v>-74</v>
      </c>
      <c r="AD113" s="114">
        <v>-80.3</v>
      </c>
      <c r="AE113" s="114">
        <f>-31.2-41.7</f>
        <v>-72.900000000000006</v>
      </c>
      <c r="AF113" s="114">
        <f>-46-51.4</f>
        <v>-97.4</v>
      </c>
      <c r="AG113" s="113">
        <v>240</v>
      </c>
      <c r="AH113" s="47">
        <f t="shared" si="20"/>
        <v>-3</v>
      </c>
      <c r="AI113" s="48">
        <f t="shared" si="21"/>
        <v>-127.4</v>
      </c>
    </row>
    <row r="114" spans="1:37" x14ac:dyDescent="0.25">
      <c r="A114" s="102" t="s">
        <v>122</v>
      </c>
      <c r="B114" s="114">
        <v>-8</v>
      </c>
      <c r="C114" s="114">
        <v>-7.4</v>
      </c>
      <c r="D114" s="114">
        <v>-7.5</v>
      </c>
      <c r="E114" s="114">
        <v>-7.5</v>
      </c>
      <c r="F114" s="114">
        <v>-7.5</v>
      </c>
      <c r="G114" s="114">
        <v>-7.5</v>
      </c>
      <c r="H114" s="114">
        <v>-6.2</v>
      </c>
      <c r="I114" s="114">
        <v>-4</v>
      </c>
      <c r="J114" s="114">
        <v>6.58</v>
      </c>
      <c r="K114" s="114">
        <v>5.5</v>
      </c>
      <c r="L114" s="114">
        <v>12.8</v>
      </c>
      <c r="M114" s="114">
        <v>12.6</v>
      </c>
      <c r="N114" s="114">
        <v>8</v>
      </c>
      <c r="O114" s="114">
        <v>10</v>
      </c>
      <c r="P114" s="114">
        <v>4.8</v>
      </c>
      <c r="Q114" s="114">
        <v>1.4</v>
      </c>
      <c r="R114" s="114">
        <v>3.8</v>
      </c>
      <c r="S114" s="114">
        <v>-1.9</v>
      </c>
      <c r="T114" s="114">
        <v>23</v>
      </c>
      <c r="U114" s="114">
        <v>44.3</v>
      </c>
      <c r="V114" s="114">
        <v>41.6</v>
      </c>
      <c r="W114" s="114">
        <v>33.9</v>
      </c>
      <c r="X114" s="114">
        <v>33.9</v>
      </c>
      <c r="Y114" s="114">
        <v>44.2</v>
      </c>
      <c r="Z114" s="114">
        <v>51.5</v>
      </c>
      <c r="AA114" s="114">
        <v>54</v>
      </c>
      <c r="AB114" s="114">
        <v>51.4</v>
      </c>
      <c r="AC114" s="114">
        <v>45.9</v>
      </c>
      <c r="AD114" s="114">
        <v>43.9</v>
      </c>
      <c r="AE114" s="114">
        <v>30.9</v>
      </c>
      <c r="AF114" s="114">
        <v>1.5</v>
      </c>
      <c r="AG114" s="113">
        <v>60</v>
      </c>
      <c r="AH114" s="47">
        <f t="shared" si="20"/>
        <v>54</v>
      </c>
      <c r="AI114" s="48">
        <f t="shared" si="21"/>
        <v>-8</v>
      </c>
    </row>
    <row r="115" spans="1:37" x14ac:dyDescent="0.25">
      <c r="A115" s="115" t="s">
        <v>123</v>
      </c>
      <c r="B115" s="116">
        <v>1.5</v>
      </c>
      <c r="C115" s="116">
        <v>1.2</v>
      </c>
      <c r="D115" s="116">
        <v>2.1</v>
      </c>
      <c r="E115" s="116">
        <v>2.1</v>
      </c>
      <c r="F115" s="116">
        <v>2.1</v>
      </c>
      <c r="G115" s="116">
        <v>2.1</v>
      </c>
      <c r="H115" s="116">
        <v>1.2</v>
      </c>
      <c r="I115" s="116">
        <v>0</v>
      </c>
      <c r="J115" s="116">
        <v>5.6</v>
      </c>
      <c r="K115" s="116">
        <v>5.5</v>
      </c>
      <c r="L115" s="116">
        <v>5.5</v>
      </c>
      <c r="M115" s="116">
        <v>5.6</v>
      </c>
      <c r="N115" s="116">
        <v>5.8</v>
      </c>
      <c r="O115" s="116">
        <v>5.8</v>
      </c>
      <c r="P115" s="116">
        <v>6.2</v>
      </c>
      <c r="Q115" s="116">
        <v>6.6</v>
      </c>
      <c r="R115" s="116">
        <v>6.2</v>
      </c>
      <c r="S115" s="116">
        <v>6.1</v>
      </c>
      <c r="T115" s="116">
        <v>6.5</v>
      </c>
      <c r="U115" s="116">
        <v>36.1</v>
      </c>
      <c r="V115" s="116">
        <v>44.3</v>
      </c>
      <c r="W115" s="116">
        <v>44.5</v>
      </c>
      <c r="X115" s="116">
        <v>44.5</v>
      </c>
      <c r="Y115" s="116">
        <v>34.200000000000003</v>
      </c>
      <c r="Z115" s="116">
        <v>54.9</v>
      </c>
      <c r="AA115" s="116">
        <v>12</v>
      </c>
      <c r="AB115" s="116">
        <v>80</v>
      </c>
      <c r="AC115" s="116">
        <v>80</v>
      </c>
      <c r="AD115" s="116">
        <v>82</v>
      </c>
      <c r="AE115" s="116">
        <v>33</v>
      </c>
      <c r="AF115" s="116">
        <v>43</v>
      </c>
      <c r="AG115" s="117">
        <v>120</v>
      </c>
      <c r="AH115" s="47">
        <f t="shared" si="20"/>
        <v>82</v>
      </c>
      <c r="AI115" s="48">
        <f t="shared" si="21"/>
        <v>0</v>
      </c>
    </row>
    <row r="116" spans="1:37" x14ac:dyDescent="0.25">
      <c r="A116" s="115" t="s">
        <v>124</v>
      </c>
      <c r="B116" s="116">
        <v>39.200000000000003</v>
      </c>
      <c r="C116" s="116">
        <v>45.2</v>
      </c>
      <c r="D116" s="116">
        <v>53.9</v>
      </c>
      <c r="E116" s="116">
        <v>53.9</v>
      </c>
      <c r="F116" s="116">
        <v>42.4</v>
      </c>
      <c r="G116" s="116">
        <v>54</v>
      </c>
      <c r="H116" s="116">
        <v>50</v>
      </c>
      <c r="I116" s="116">
        <v>47.3</v>
      </c>
      <c r="J116" s="116">
        <v>24.4</v>
      </c>
      <c r="K116" s="116">
        <v>31.2</v>
      </c>
      <c r="L116" s="116">
        <v>59.1</v>
      </c>
      <c r="M116" s="116">
        <v>50.8</v>
      </c>
      <c r="N116" s="116">
        <v>70</v>
      </c>
      <c r="O116" s="116">
        <v>44</v>
      </c>
      <c r="P116" s="116">
        <v>8.6</v>
      </c>
      <c r="Q116" s="116">
        <v>31.6</v>
      </c>
      <c r="R116" s="116">
        <v>38.1</v>
      </c>
      <c r="S116" s="116">
        <v>27</v>
      </c>
      <c r="T116" s="116">
        <v>77</v>
      </c>
      <c r="U116" s="116">
        <v>62.7</v>
      </c>
      <c r="V116" s="116">
        <v>16.100000000000001</v>
      </c>
      <c r="W116" s="116">
        <v>24.7</v>
      </c>
      <c r="X116" s="116">
        <v>24.7</v>
      </c>
      <c r="Y116" s="116">
        <v>50.8</v>
      </c>
      <c r="Z116" s="116">
        <v>70</v>
      </c>
      <c r="AA116" s="116">
        <v>11</v>
      </c>
      <c r="AB116" s="116">
        <v>56.8</v>
      </c>
      <c r="AC116" s="116">
        <v>38.4</v>
      </c>
      <c r="AD116" s="116">
        <v>29.4</v>
      </c>
      <c r="AE116" s="116">
        <v>28.2</v>
      </c>
      <c r="AF116" s="116">
        <v>27.1</v>
      </c>
      <c r="AG116" s="117"/>
      <c r="AH116" s="47">
        <f t="shared" si="20"/>
        <v>77</v>
      </c>
      <c r="AI116" s="48">
        <f t="shared" si="21"/>
        <v>8.6</v>
      </c>
    </row>
    <row r="117" spans="1:37" x14ac:dyDescent="0.25">
      <c r="A117" s="115" t="s">
        <v>125</v>
      </c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>
        <v>-1</v>
      </c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>
        <v>4.4000000000000004</v>
      </c>
      <c r="AB117" s="116"/>
      <c r="AC117" s="116"/>
      <c r="AD117" s="116"/>
      <c r="AE117" s="116"/>
      <c r="AF117" s="116"/>
      <c r="AG117" s="118"/>
      <c r="AH117" s="47">
        <f t="shared" si="20"/>
        <v>4.4000000000000004</v>
      </c>
      <c r="AI117" s="48">
        <f t="shared" si="21"/>
        <v>-1</v>
      </c>
    </row>
    <row r="118" spans="1:37" x14ac:dyDescent="0.25">
      <c r="A118" s="119" t="s">
        <v>126</v>
      </c>
      <c r="B118" s="105">
        <v>47.8</v>
      </c>
      <c r="C118" s="105">
        <v>52.1</v>
      </c>
      <c r="D118" s="105">
        <v>55.3</v>
      </c>
      <c r="E118" s="105">
        <v>55.3</v>
      </c>
      <c r="F118" s="105">
        <v>56</v>
      </c>
      <c r="G118" s="105">
        <v>58.3</v>
      </c>
      <c r="H118" s="105">
        <v>52</v>
      </c>
      <c r="I118" s="105">
        <v>50</v>
      </c>
      <c r="J118" s="105">
        <v>52.2</v>
      </c>
      <c r="K118" s="105">
        <v>50.6</v>
      </c>
      <c r="L118" s="105">
        <v>49.2</v>
      </c>
      <c r="M118" s="105">
        <v>45.4</v>
      </c>
      <c r="N118" s="105">
        <v>38.200000000000003</v>
      </c>
      <c r="O118" s="105">
        <v>4</v>
      </c>
      <c r="P118" s="105">
        <v>-5.3</v>
      </c>
      <c r="Q118" s="105">
        <v>-30</v>
      </c>
      <c r="R118" s="105">
        <v>-32.700000000000003</v>
      </c>
      <c r="S118" s="105">
        <v>-47.9</v>
      </c>
      <c r="T118" s="105">
        <v>-23.5</v>
      </c>
      <c r="U118" s="105">
        <v>-27.7</v>
      </c>
      <c r="V118" s="105">
        <v>-33.5</v>
      </c>
      <c r="W118" s="105">
        <v>-29.1</v>
      </c>
      <c r="X118" s="105">
        <v>-29.1</v>
      </c>
      <c r="Y118" s="105">
        <v>-26.1</v>
      </c>
      <c r="Z118" s="105">
        <v>-29.8</v>
      </c>
      <c r="AA118" s="105">
        <v>-6</v>
      </c>
      <c r="AB118" s="105">
        <v>25.8</v>
      </c>
      <c r="AC118" s="105">
        <v>26.9</v>
      </c>
      <c r="AD118" s="105">
        <v>27.5</v>
      </c>
      <c r="AE118" s="105">
        <v>35.4</v>
      </c>
      <c r="AF118" s="105">
        <v>37</v>
      </c>
      <c r="AG118" s="118"/>
      <c r="AH118" s="47">
        <f t="shared" si="20"/>
        <v>58.3</v>
      </c>
      <c r="AI118" s="48">
        <f t="shared" si="21"/>
        <v>-47.9</v>
      </c>
    </row>
    <row r="119" spans="1:37" x14ac:dyDescent="0.25">
      <c r="A119" s="120" t="s">
        <v>127</v>
      </c>
      <c r="B119" s="105">
        <v>97.8</v>
      </c>
      <c r="C119" s="105">
        <v>86.7</v>
      </c>
      <c r="D119" s="105">
        <v>81.5</v>
      </c>
      <c r="E119" s="105">
        <v>82.5</v>
      </c>
      <c r="F119" s="105">
        <v>85</v>
      </c>
      <c r="G119" s="105">
        <v>88</v>
      </c>
      <c r="H119" s="105">
        <v>80</v>
      </c>
      <c r="I119" s="105">
        <v>70</v>
      </c>
      <c r="J119" s="105">
        <v>73</v>
      </c>
      <c r="K119" s="105">
        <v>78.5</v>
      </c>
      <c r="L119" s="105">
        <v>53</v>
      </c>
      <c r="M119" s="105">
        <v>62.5</v>
      </c>
      <c r="N119" s="105">
        <v>45</v>
      </c>
      <c r="O119" s="105">
        <v>71</v>
      </c>
      <c r="P119" s="105">
        <v>91.2</v>
      </c>
      <c r="Q119" s="105">
        <v>93.9</v>
      </c>
      <c r="R119" s="105">
        <v>79.900000000000006</v>
      </c>
      <c r="S119" s="105">
        <v>92.9</v>
      </c>
      <c r="T119" s="105">
        <v>64</v>
      </c>
      <c r="U119" s="105">
        <v>45.1</v>
      </c>
      <c r="V119" s="105">
        <v>70.2</v>
      </c>
      <c r="W119" s="105">
        <v>68.8</v>
      </c>
      <c r="X119" s="105">
        <v>68.8</v>
      </c>
      <c r="Y119" s="105">
        <v>43.1</v>
      </c>
      <c r="Z119" s="105">
        <v>37.200000000000003</v>
      </c>
      <c r="AA119" s="105">
        <v>87</v>
      </c>
      <c r="AB119" s="105">
        <v>41</v>
      </c>
      <c r="AC119" s="105">
        <v>65.900000000000006</v>
      </c>
      <c r="AD119" s="105">
        <v>70</v>
      </c>
      <c r="AE119" s="105">
        <v>85.9</v>
      </c>
      <c r="AF119" s="105">
        <v>92.3</v>
      </c>
      <c r="AG119" s="118"/>
      <c r="AH119" s="47">
        <f t="shared" si="20"/>
        <v>97.8</v>
      </c>
      <c r="AI119" s="48">
        <f t="shared" si="21"/>
        <v>37.200000000000003</v>
      </c>
    </row>
    <row r="120" spans="1:37" ht="15.75" thickBot="1" x14ac:dyDescent="0.3">
      <c r="A120" s="119" t="s">
        <v>128</v>
      </c>
      <c r="B120" s="105">
        <v>14.8</v>
      </c>
      <c r="C120" s="105">
        <v>10.5</v>
      </c>
      <c r="D120" s="105">
        <v>-1.3</v>
      </c>
      <c r="E120" s="105">
        <v>-2.8</v>
      </c>
      <c r="F120" s="105">
        <v>-4.2</v>
      </c>
      <c r="G120" s="105">
        <v>-6.7</v>
      </c>
      <c r="H120" s="105">
        <v>-10</v>
      </c>
      <c r="I120" s="105">
        <v>-9</v>
      </c>
      <c r="J120" s="105">
        <v>0.9</v>
      </c>
      <c r="K120" s="105">
        <v>4.4000000000000004</v>
      </c>
      <c r="L120" s="105">
        <v>7.4</v>
      </c>
      <c r="M120" s="105">
        <v>7.8</v>
      </c>
      <c r="N120" s="105">
        <v>4</v>
      </c>
      <c r="O120" s="105">
        <v>35</v>
      </c>
      <c r="P120" s="105">
        <v>55.5</v>
      </c>
      <c r="Q120" s="105">
        <v>50.9</v>
      </c>
      <c r="R120" s="105">
        <v>51.7</v>
      </c>
      <c r="S120" s="105">
        <v>69.5</v>
      </c>
      <c r="T120" s="105">
        <v>69.400000000000006</v>
      </c>
      <c r="U120" s="105">
        <v>57.7</v>
      </c>
      <c r="V120" s="105">
        <v>88.2</v>
      </c>
      <c r="W120" s="105">
        <v>85.5</v>
      </c>
      <c r="X120" s="105">
        <v>85.5</v>
      </c>
      <c r="Y120" s="105">
        <v>76.599999999999994</v>
      </c>
      <c r="Z120" s="105">
        <v>89.2</v>
      </c>
      <c r="AA120" s="105">
        <v>39</v>
      </c>
      <c r="AB120" s="105">
        <v>59.9</v>
      </c>
      <c r="AC120" s="105">
        <v>53.4</v>
      </c>
      <c r="AD120" s="105">
        <v>52.9</v>
      </c>
      <c r="AE120" s="105">
        <v>36.9</v>
      </c>
      <c r="AF120" s="105">
        <v>35</v>
      </c>
      <c r="AG120" s="118"/>
      <c r="AH120" s="47">
        <f t="shared" si="20"/>
        <v>89.2</v>
      </c>
      <c r="AI120" s="48">
        <f t="shared" si="21"/>
        <v>-10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42">SUM(B122:B226)</f>
        <v>0</v>
      </c>
      <c r="C227" s="136">
        <f t="shared" si="42"/>
        <v>0</v>
      </c>
      <c r="D227" s="136">
        <f t="shared" si="42"/>
        <v>0</v>
      </c>
      <c r="E227" s="136">
        <f t="shared" si="42"/>
        <v>0</v>
      </c>
      <c r="F227" s="136">
        <f t="shared" si="42"/>
        <v>0</v>
      </c>
      <c r="G227" s="136">
        <f t="shared" si="42"/>
        <v>0</v>
      </c>
      <c r="H227" s="136">
        <f t="shared" si="42"/>
        <v>0</v>
      </c>
      <c r="I227" s="136">
        <f t="shared" si="42"/>
        <v>0</v>
      </c>
      <c r="J227" s="136">
        <f t="shared" si="42"/>
        <v>0</v>
      </c>
      <c r="K227" s="136">
        <f t="shared" si="42"/>
        <v>0</v>
      </c>
      <c r="L227" s="136">
        <f t="shared" si="42"/>
        <v>0</v>
      </c>
      <c r="M227" s="136">
        <f t="shared" si="42"/>
        <v>0</v>
      </c>
      <c r="N227" s="136">
        <f t="shared" si="42"/>
        <v>0</v>
      </c>
      <c r="O227" s="136">
        <f t="shared" si="42"/>
        <v>0</v>
      </c>
      <c r="P227" s="136">
        <f t="shared" si="42"/>
        <v>0</v>
      </c>
      <c r="Q227" s="136">
        <f t="shared" si="42"/>
        <v>0</v>
      </c>
      <c r="R227" s="136">
        <f t="shared" si="42"/>
        <v>0</v>
      </c>
      <c r="S227" s="136">
        <f t="shared" si="42"/>
        <v>0</v>
      </c>
      <c r="T227" s="136">
        <f t="shared" si="42"/>
        <v>0</v>
      </c>
      <c r="U227" s="136">
        <f t="shared" si="42"/>
        <v>0</v>
      </c>
      <c r="V227" s="136">
        <f t="shared" si="42"/>
        <v>0</v>
      </c>
      <c r="W227" s="136">
        <f t="shared" si="42"/>
        <v>0</v>
      </c>
      <c r="X227" s="136">
        <f t="shared" si="42"/>
        <v>0</v>
      </c>
      <c r="Y227" s="136">
        <f t="shared" si="42"/>
        <v>0</v>
      </c>
      <c r="Z227" s="136">
        <f t="shared" si="42"/>
        <v>0</v>
      </c>
      <c r="AA227" s="136">
        <f t="shared" si="42"/>
        <v>0</v>
      </c>
      <c r="AB227" s="136">
        <f t="shared" si="42"/>
        <v>0</v>
      </c>
      <c r="AC227" s="136">
        <f t="shared" si="42"/>
        <v>0</v>
      </c>
      <c r="AD227" s="136">
        <f t="shared" si="42"/>
        <v>0</v>
      </c>
      <c r="AE227" s="136">
        <f t="shared" si="42"/>
        <v>0</v>
      </c>
      <c r="AF227" s="137">
        <f t="shared" si="42"/>
        <v>0</v>
      </c>
      <c r="AG227" s="138">
        <f t="shared" si="42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43">AF229</f>
        <v>0</v>
      </c>
      <c r="C229" s="140">
        <v>0.3</v>
      </c>
      <c r="D229" s="140">
        <f t="shared" ref="D229:P234" si="44">C229</f>
        <v>0.3</v>
      </c>
      <c r="E229" s="140">
        <f t="shared" si="44"/>
        <v>0.3</v>
      </c>
      <c r="F229" s="140">
        <f t="shared" si="44"/>
        <v>0.3</v>
      </c>
      <c r="G229" s="140">
        <f t="shared" si="44"/>
        <v>0.3</v>
      </c>
      <c r="H229" s="140">
        <f t="shared" si="44"/>
        <v>0.3</v>
      </c>
      <c r="I229" s="140">
        <f t="shared" si="44"/>
        <v>0.3</v>
      </c>
      <c r="J229" s="140">
        <f t="shared" si="44"/>
        <v>0.3</v>
      </c>
      <c r="K229" s="140">
        <f t="shared" si="44"/>
        <v>0.3</v>
      </c>
      <c r="L229" s="140">
        <f t="shared" si="44"/>
        <v>0.3</v>
      </c>
      <c r="M229" s="140">
        <f t="shared" si="44"/>
        <v>0.3</v>
      </c>
      <c r="N229" s="140">
        <f t="shared" si="44"/>
        <v>0.3</v>
      </c>
      <c r="O229" s="140">
        <f t="shared" si="44"/>
        <v>0.3</v>
      </c>
      <c r="P229" s="140">
        <f t="shared" si="44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43"/>
        <v>0</v>
      </c>
      <c r="C230" s="128">
        <v>0.4</v>
      </c>
      <c r="D230" s="128">
        <f t="shared" si="44"/>
        <v>0.4</v>
      </c>
      <c r="E230" s="128">
        <f t="shared" si="44"/>
        <v>0.4</v>
      </c>
      <c r="F230" s="128">
        <f t="shared" si="44"/>
        <v>0.4</v>
      </c>
      <c r="G230" s="128">
        <f t="shared" si="44"/>
        <v>0.4</v>
      </c>
      <c r="H230" s="128">
        <f t="shared" si="44"/>
        <v>0.4</v>
      </c>
      <c r="I230" s="128">
        <f t="shared" si="44"/>
        <v>0.4</v>
      </c>
      <c r="J230" s="128">
        <f t="shared" si="44"/>
        <v>0.4</v>
      </c>
      <c r="K230" s="128">
        <f t="shared" si="44"/>
        <v>0.4</v>
      </c>
      <c r="L230" s="128">
        <f t="shared" si="44"/>
        <v>0.4</v>
      </c>
      <c r="M230" s="128">
        <f t="shared" si="44"/>
        <v>0.4</v>
      </c>
      <c r="N230" s="128">
        <f t="shared" si="44"/>
        <v>0.4</v>
      </c>
      <c r="O230" s="128">
        <f t="shared" si="44"/>
        <v>0.4</v>
      </c>
      <c r="P230" s="128">
        <f t="shared" si="44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43"/>
        <v>0</v>
      </c>
      <c r="C231" s="128">
        <v>1.5</v>
      </c>
      <c r="D231" s="128">
        <f t="shared" si="44"/>
        <v>1.5</v>
      </c>
      <c r="E231" s="128">
        <f t="shared" si="44"/>
        <v>1.5</v>
      </c>
      <c r="F231" s="128">
        <f t="shared" si="44"/>
        <v>1.5</v>
      </c>
      <c r="G231" s="128">
        <f t="shared" si="44"/>
        <v>1.5</v>
      </c>
      <c r="H231" s="128">
        <f t="shared" si="44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44"/>
        <v>123.21900000000009</v>
      </c>
      <c r="K231" s="128">
        <f t="shared" ca="1" si="44"/>
        <v>123.21900000000009</v>
      </c>
      <c r="L231" s="128">
        <f t="shared" ca="1" si="44"/>
        <v>123.21900000000009</v>
      </c>
      <c r="M231" s="128">
        <f t="shared" ca="1" si="44"/>
        <v>119.19900000000008</v>
      </c>
      <c r="N231" s="128">
        <f t="shared" ca="1" si="44"/>
        <v>119.19900000000008</v>
      </c>
      <c r="O231" s="128">
        <f t="shared" ca="1" si="44"/>
        <v>119.19900000000008</v>
      </c>
      <c r="P231" s="128">
        <f t="shared" ca="1" si="44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43"/>
        <v>0</v>
      </c>
      <c r="C232" s="128">
        <v>0.3</v>
      </c>
      <c r="D232" s="128">
        <f t="shared" si="44"/>
        <v>0.3</v>
      </c>
      <c r="E232" s="128">
        <f t="shared" si="44"/>
        <v>0.3</v>
      </c>
      <c r="F232" s="128">
        <f t="shared" si="44"/>
        <v>0.3</v>
      </c>
      <c r="G232" s="128">
        <f t="shared" si="44"/>
        <v>0.3</v>
      </c>
      <c r="H232" s="128">
        <f t="shared" si="44"/>
        <v>0.3</v>
      </c>
      <c r="I232" s="128">
        <f t="shared" si="44"/>
        <v>0.3</v>
      </c>
      <c r="J232" s="128">
        <f t="shared" si="44"/>
        <v>0.3</v>
      </c>
      <c r="K232" s="128">
        <f t="shared" si="44"/>
        <v>0.3</v>
      </c>
      <c r="L232" s="128">
        <f t="shared" si="44"/>
        <v>0.3</v>
      </c>
      <c r="M232" s="128">
        <f t="shared" si="44"/>
        <v>0.3</v>
      </c>
      <c r="N232" s="128">
        <f t="shared" si="44"/>
        <v>0.3</v>
      </c>
      <c r="O232" s="128">
        <f t="shared" si="44"/>
        <v>0.3</v>
      </c>
      <c r="P232" s="128">
        <f t="shared" si="44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43"/>
        <v>0</v>
      </c>
      <c r="C233" s="128">
        <v>0.4</v>
      </c>
      <c r="D233" s="128">
        <f t="shared" si="44"/>
        <v>0.4</v>
      </c>
      <c r="E233" s="128">
        <f t="shared" si="44"/>
        <v>0.4</v>
      </c>
      <c r="F233" s="128">
        <f t="shared" si="44"/>
        <v>0.4</v>
      </c>
      <c r="G233" s="128">
        <f t="shared" si="44"/>
        <v>0.4</v>
      </c>
      <c r="H233" s="128">
        <f t="shared" si="44"/>
        <v>0.4</v>
      </c>
      <c r="I233" s="128">
        <f t="shared" si="44"/>
        <v>0.4</v>
      </c>
      <c r="J233" s="128">
        <f t="shared" si="44"/>
        <v>0.4</v>
      </c>
      <c r="K233" s="128">
        <f t="shared" si="44"/>
        <v>0.4</v>
      </c>
      <c r="L233" s="128">
        <f t="shared" si="44"/>
        <v>0.4</v>
      </c>
      <c r="M233" s="128">
        <f t="shared" si="44"/>
        <v>0.4</v>
      </c>
      <c r="N233" s="128">
        <f t="shared" si="44"/>
        <v>0.4</v>
      </c>
      <c r="O233" s="128">
        <f t="shared" si="44"/>
        <v>0.4</v>
      </c>
      <c r="P233" s="128">
        <f t="shared" si="44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43"/>
        <v>0</v>
      </c>
      <c r="C234" s="132">
        <v>0.64</v>
      </c>
      <c r="D234" s="132">
        <f t="shared" si="44"/>
        <v>0.64</v>
      </c>
      <c r="E234" s="132">
        <f t="shared" si="44"/>
        <v>0.64</v>
      </c>
      <c r="F234" s="132">
        <f t="shared" si="44"/>
        <v>0.64</v>
      </c>
      <c r="G234" s="132">
        <f t="shared" si="44"/>
        <v>0.64</v>
      </c>
      <c r="H234" s="132">
        <f t="shared" si="44"/>
        <v>0.64</v>
      </c>
      <c r="I234" s="132">
        <f t="shared" si="44"/>
        <v>0.64</v>
      </c>
      <c r="J234" s="132">
        <f t="shared" si="44"/>
        <v>0.64</v>
      </c>
      <c r="K234" s="132">
        <f t="shared" si="44"/>
        <v>0.64</v>
      </c>
      <c r="L234" s="132">
        <f t="shared" si="44"/>
        <v>0.64</v>
      </c>
      <c r="M234" s="132">
        <f t="shared" si="44"/>
        <v>0.64</v>
      </c>
      <c r="N234" s="132">
        <f t="shared" si="44"/>
        <v>0.64</v>
      </c>
      <c r="O234" s="132">
        <f t="shared" si="44"/>
        <v>0.64</v>
      </c>
      <c r="P234" s="132">
        <f t="shared" si="44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45">SUM(B229:B234)</f>
        <v>0</v>
      </c>
      <c r="C235" s="136">
        <f t="shared" si="45"/>
        <v>3.54</v>
      </c>
      <c r="D235" s="136">
        <f t="shared" si="45"/>
        <v>3.54</v>
      </c>
      <c r="E235" s="136">
        <f t="shared" si="45"/>
        <v>3.54</v>
      </c>
      <c r="F235" s="136">
        <f t="shared" si="45"/>
        <v>3.54</v>
      </c>
      <c r="G235" s="136">
        <f t="shared" si="45"/>
        <v>3.54</v>
      </c>
      <c r="H235" s="136">
        <f t="shared" si="45"/>
        <v>3.54</v>
      </c>
      <c r="I235" s="136">
        <f t="shared" ca="1" si="45"/>
        <v>121.23900000000009</v>
      </c>
      <c r="J235" s="136">
        <f t="shared" ca="1" si="45"/>
        <v>121.23900000000009</v>
      </c>
      <c r="K235" s="136">
        <f t="shared" ca="1" si="45"/>
        <v>121.23900000000009</v>
      </c>
      <c r="L235" s="136">
        <f t="shared" ca="1" si="45"/>
        <v>125.2590000000001</v>
      </c>
      <c r="M235" s="136">
        <f t="shared" ca="1" si="45"/>
        <v>121.23900000000009</v>
      </c>
      <c r="N235" s="136">
        <f t="shared" ca="1" si="45"/>
        <v>121.23900000000009</v>
      </c>
      <c r="O235" s="136">
        <f t="shared" ca="1" si="45"/>
        <v>121.23900000000009</v>
      </c>
      <c r="P235" s="136">
        <f t="shared" ca="1" si="45"/>
        <v>121.23900000000009</v>
      </c>
      <c r="Q235" s="136">
        <f t="shared" si="45"/>
        <v>0</v>
      </c>
      <c r="R235" s="136">
        <f t="shared" si="45"/>
        <v>0</v>
      </c>
      <c r="S235" s="136">
        <f t="shared" si="45"/>
        <v>0</v>
      </c>
      <c r="T235" s="136">
        <f t="shared" si="45"/>
        <v>0</v>
      </c>
      <c r="U235" s="136">
        <f t="shared" si="45"/>
        <v>0</v>
      </c>
      <c r="V235" s="136">
        <f t="shared" si="45"/>
        <v>0</v>
      </c>
      <c r="W235" s="136">
        <f t="shared" si="45"/>
        <v>0</v>
      </c>
      <c r="X235" s="136">
        <f t="shared" si="45"/>
        <v>0</v>
      </c>
      <c r="Y235" s="136">
        <f t="shared" si="45"/>
        <v>0</v>
      </c>
      <c r="Z235" s="136">
        <f t="shared" si="45"/>
        <v>0</v>
      </c>
      <c r="AA235" s="136">
        <f t="shared" si="45"/>
        <v>0</v>
      </c>
      <c r="AB235" s="136">
        <f t="shared" si="45"/>
        <v>0</v>
      </c>
      <c r="AC235" s="136">
        <f t="shared" si="45"/>
        <v>0</v>
      </c>
      <c r="AD235" s="136">
        <f t="shared" si="45"/>
        <v>0</v>
      </c>
      <c r="AE235" s="136">
        <f t="shared" si="45"/>
        <v>0</v>
      </c>
      <c r="AF235" s="136">
        <f t="shared" si="45"/>
        <v>0</v>
      </c>
      <c r="AG235" s="145">
        <f t="shared" si="45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1953.12</v>
      </c>
      <c r="C244" s="161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28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2080/04/28)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2080/04/28)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46">B91</f>
        <v>1912.62</v>
      </c>
      <c r="U249" s="170">
        <f t="shared" si="46"/>
        <v>1876.52</v>
      </c>
      <c r="V249" s="170">
        <f t="shared" si="46"/>
        <v>1812.02</v>
      </c>
      <c r="W249" s="170">
        <f t="shared" si="46"/>
        <v>1807.02</v>
      </c>
      <c r="X249" s="170">
        <f t="shared" si="46"/>
        <v>1802.92</v>
      </c>
      <c r="Y249" s="170">
        <f t="shared" si="46"/>
        <v>1822.82</v>
      </c>
      <c r="Z249" s="170">
        <f t="shared" si="46"/>
        <v>1842.82</v>
      </c>
      <c r="AA249" s="170">
        <f t="shared" si="46"/>
        <v>1825.52</v>
      </c>
      <c r="AB249" s="170">
        <f t="shared" si="46"/>
        <v>1861.02</v>
      </c>
      <c r="AC249" s="170">
        <f t="shared" si="46"/>
        <v>1929.62</v>
      </c>
      <c r="AD249" s="170">
        <f t="shared" si="46"/>
        <v>1953.12</v>
      </c>
      <c r="AE249" s="170">
        <f t="shared" si="46"/>
        <v>1928.42</v>
      </c>
      <c r="AF249" s="170">
        <f t="shared" si="46"/>
        <v>1824.2199999999998</v>
      </c>
      <c r="AG249" s="170">
        <f t="shared" si="46"/>
        <v>1874.62</v>
      </c>
      <c r="AH249" s="170">
        <f t="shared" si="46"/>
        <v>1895.52</v>
      </c>
      <c r="AI249" s="170">
        <f t="shared" si="46"/>
        <v>1885.02</v>
      </c>
      <c r="AJ249" s="170">
        <f t="shared" si="46"/>
        <v>1852.32</v>
      </c>
      <c r="AK249" s="170">
        <f t="shared" si="46"/>
        <v>1936.52</v>
      </c>
      <c r="AL249" s="170">
        <f t="shared" si="46"/>
        <v>1900.6399999999999</v>
      </c>
      <c r="AM249" s="170">
        <f t="shared" si="46"/>
        <v>1915.1399999999999</v>
      </c>
      <c r="AN249" s="170">
        <f t="shared" si="46"/>
        <v>1851.0400000000002</v>
      </c>
      <c r="AO249" s="170">
        <f t="shared" si="46"/>
        <v>1878.5700000000002</v>
      </c>
      <c r="AP249" s="170">
        <f t="shared" si="46"/>
        <v>1802.74</v>
      </c>
      <c r="AQ249" s="170">
        <f t="shared" si="46"/>
        <v>1850.7399999999998</v>
      </c>
      <c r="AR249" s="170">
        <f t="shared" si="46"/>
        <v>1874.94</v>
      </c>
      <c r="AS249" s="170">
        <f t="shared" si="46"/>
        <v>2029.5900000000001</v>
      </c>
      <c r="AT249" s="170">
        <f t="shared" si="46"/>
        <v>1954.94</v>
      </c>
      <c r="AU249" s="170">
        <f t="shared" si="46"/>
        <v>1985.44</v>
      </c>
      <c r="AV249" s="170">
        <f t="shared" si="46"/>
        <v>1981.3400000000001</v>
      </c>
      <c r="AW249" s="170">
        <f t="shared" si="46"/>
        <v>1909.1399999999999</v>
      </c>
      <c r="AX249" s="170">
        <f t="shared" si="46"/>
        <v>1866.54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47">C234</f>
        <v>0.64</v>
      </c>
      <c r="C270" s="173">
        <f t="shared" si="47"/>
        <v>0.64</v>
      </c>
      <c r="D270" s="173">
        <f t="shared" si="47"/>
        <v>0.64</v>
      </c>
      <c r="E270" s="173">
        <f t="shared" si="47"/>
        <v>0.64</v>
      </c>
      <c r="F270" s="173">
        <f t="shared" si="47"/>
        <v>0.64</v>
      </c>
      <c r="G270" s="173">
        <f t="shared" si="47"/>
        <v>0.64</v>
      </c>
      <c r="H270" s="173">
        <f t="shared" si="47"/>
        <v>0.64</v>
      </c>
      <c r="I270" s="173">
        <f t="shared" si="47"/>
        <v>0.64</v>
      </c>
      <c r="J270" s="173">
        <f t="shared" si="47"/>
        <v>0.64</v>
      </c>
      <c r="K270" s="173">
        <f t="shared" si="47"/>
        <v>0.64</v>
      </c>
      <c r="L270" s="173">
        <f t="shared" si="47"/>
        <v>0.64</v>
      </c>
      <c r="M270" s="173">
        <f t="shared" si="47"/>
        <v>0.64</v>
      </c>
      <c r="N270" s="173">
        <f t="shared" si="47"/>
        <v>0.64</v>
      </c>
      <c r="O270" s="173">
        <f t="shared" si="47"/>
        <v>0.64</v>
      </c>
      <c r="P270" s="173">
        <f t="shared" si="47"/>
        <v>0</v>
      </c>
      <c r="Q270" s="173">
        <f t="shared" si="47"/>
        <v>0</v>
      </c>
      <c r="R270" s="173">
        <f t="shared" si="47"/>
        <v>0</v>
      </c>
      <c r="S270" s="173">
        <f t="shared" si="47"/>
        <v>0</v>
      </c>
      <c r="T270" s="173">
        <f t="shared" si="47"/>
        <v>0</v>
      </c>
      <c r="U270" s="173">
        <f t="shared" si="47"/>
        <v>0</v>
      </c>
      <c r="V270" s="173">
        <f t="shared" si="47"/>
        <v>0</v>
      </c>
      <c r="W270" s="173">
        <f t="shared" si="47"/>
        <v>0</v>
      </c>
      <c r="X270" s="173">
        <f t="shared" si="47"/>
        <v>0</v>
      </c>
      <c r="Y270" s="173">
        <f t="shared" si="47"/>
        <v>0</v>
      </c>
      <c r="Z270" s="173">
        <f t="shared" si="47"/>
        <v>0</v>
      </c>
      <c r="AA270" s="173">
        <f t="shared" si="47"/>
        <v>0</v>
      </c>
      <c r="AB270" s="173">
        <f t="shared" si="47"/>
        <v>0</v>
      </c>
      <c r="AC270" s="173">
        <f t="shared" si="47"/>
        <v>0</v>
      </c>
      <c r="AD270" s="173">
        <f t="shared" si="47"/>
        <v>0</v>
      </c>
      <c r="AE270" s="173">
        <f t="shared" si="47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48">IF(B238&lt;100,"",B238-520)</f>
        <v/>
      </c>
      <c r="C271" s="174" t="str">
        <f t="shared" si="48"/>
        <v/>
      </c>
      <c r="D271" s="174" t="str">
        <f t="shared" si="48"/>
        <v/>
      </c>
      <c r="E271" s="174" t="str">
        <f t="shared" si="48"/>
        <v/>
      </c>
      <c r="F271" s="174" t="str">
        <f t="shared" si="48"/>
        <v/>
      </c>
      <c r="G271" s="174" t="str">
        <f t="shared" si="48"/>
        <v/>
      </c>
      <c r="H271" s="174" t="str">
        <f t="shared" si="48"/>
        <v/>
      </c>
      <c r="I271" s="174" t="str">
        <f t="shared" si="48"/>
        <v/>
      </c>
      <c r="J271" s="174" t="str">
        <f t="shared" si="48"/>
        <v/>
      </c>
      <c r="K271" s="174" t="str">
        <f t="shared" si="48"/>
        <v/>
      </c>
      <c r="L271" s="174" t="str">
        <f t="shared" si="48"/>
        <v/>
      </c>
      <c r="M271" s="174" t="str">
        <f t="shared" si="48"/>
        <v/>
      </c>
      <c r="N271" s="174" t="str">
        <f t="shared" si="48"/>
        <v/>
      </c>
      <c r="O271" s="174" t="str">
        <f t="shared" si="48"/>
        <v/>
      </c>
      <c r="P271" s="174" t="str">
        <f t="shared" si="48"/>
        <v/>
      </c>
      <c r="Q271" s="174" t="str">
        <f t="shared" si="48"/>
        <v/>
      </c>
      <c r="R271" s="174" t="str">
        <f t="shared" si="48"/>
        <v/>
      </c>
      <c r="S271" s="174" t="str">
        <f t="shared" si="48"/>
        <v/>
      </c>
      <c r="T271" s="174" t="str">
        <f t="shared" si="48"/>
        <v/>
      </c>
      <c r="U271" s="174" t="str">
        <f t="shared" si="48"/>
        <v/>
      </c>
      <c r="V271" s="174" t="str">
        <f t="shared" si="48"/>
        <v/>
      </c>
      <c r="W271" s="174" t="str">
        <f t="shared" si="48"/>
        <v/>
      </c>
      <c r="X271" s="174" t="str">
        <f t="shared" si="48"/>
        <v/>
      </c>
      <c r="Y271" s="174" t="str">
        <f t="shared" si="48"/>
        <v/>
      </c>
      <c r="Z271" s="174" t="str">
        <f t="shared" si="48"/>
        <v/>
      </c>
      <c r="AA271" s="174" t="str">
        <f t="shared" si="48"/>
        <v/>
      </c>
      <c r="AB271" s="174" t="str">
        <f t="shared" si="48"/>
        <v/>
      </c>
      <c r="AC271" s="174" t="str">
        <f t="shared" si="48"/>
        <v/>
      </c>
      <c r="AD271" s="174" t="str">
        <f t="shared" si="48"/>
        <v/>
      </c>
      <c r="AE271" s="174" t="str">
        <f t="shared" si="48"/>
        <v/>
      </c>
      <c r="AF271" s="174" t="str">
        <f t="shared" si="48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49">IF(B239&lt;100,"",B239-620)</f>
        <v/>
      </c>
      <c r="C272" s="174" t="str">
        <f t="shared" si="49"/>
        <v/>
      </c>
      <c r="D272" s="174" t="str">
        <f t="shared" si="49"/>
        <v/>
      </c>
      <c r="E272" s="174" t="str">
        <f t="shared" si="49"/>
        <v/>
      </c>
      <c r="F272" s="174" t="str">
        <f t="shared" si="49"/>
        <v/>
      </c>
      <c r="G272" s="174" t="str">
        <f t="shared" si="49"/>
        <v/>
      </c>
      <c r="H272" s="174" t="str">
        <f t="shared" si="49"/>
        <v/>
      </c>
      <c r="I272" s="174" t="str">
        <f t="shared" si="49"/>
        <v/>
      </c>
      <c r="J272" s="174" t="str">
        <f t="shared" si="49"/>
        <v/>
      </c>
      <c r="K272" s="174" t="str">
        <f t="shared" si="49"/>
        <v/>
      </c>
      <c r="L272" s="174" t="str">
        <f t="shared" si="49"/>
        <v/>
      </c>
      <c r="M272" s="174" t="str">
        <f t="shared" si="49"/>
        <v/>
      </c>
      <c r="N272" s="174" t="str">
        <f t="shared" si="49"/>
        <v/>
      </c>
      <c r="O272" s="174" t="str">
        <f t="shared" si="49"/>
        <v/>
      </c>
      <c r="P272" s="174" t="str">
        <f t="shared" si="49"/>
        <v/>
      </c>
      <c r="Q272" s="174" t="str">
        <f t="shared" si="49"/>
        <v/>
      </c>
      <c r="R272" s="174" t="str">
        <f t="shared" si="49"/>
        <v/>
      </c>
      <c r="S272" s="174" t="str">
        <f t="shared" si="49"/>
        <v/>
      </c>
      <c r="T272" s="174" t="str">
        <f t="shared" si="49"/>
        <v/>
      </c>
      <c r="U272" s="174" t="str">
        <f t="shared" si="49"/>
        <v/>
      </c>
      <c r="V272" s="174" t="str">
        <f t="shared" si="49"/>
        <v/>
      </c>
      <c r="W272" s="174" t="str">
        <f t="shared" si="49"/>
        <v/>
      </c>
      <c r="X272" s="174" t="str">
        <f t="shared" si="49"/>
        <v/>
      </c>
      <c r="Y272" s="174" t="str">
        <f t="shared" si="49"/>
        <v/>
      </c>
      <c r="Z272" s="174" t="str">
        <f t="shared" si="49"/>
        <v/>
      </c>
      <c r="AA272" s="174" t="str">
        <f t="shared" si="49"/>
        <v/>
      </c>
      <c r="AB272" s="174" t="str">
        <f t="shared" si="49"/>
        <v/>
      </c>
      <c r="AC272" s="174" t="str">
        <f t="shared" si="49"/>
        <v/>
      </c>
      <c r="AD272" s="174" t="str">
        <f t="shared" si="49"/>
        <v/>
      </c>
      <c r="AE272" s="174" t="str">
        <f t="shared" si="49"/>
        <v/>
      </c>
      <c r="AF272" s="174" t="str">
        <f t="shared" si="49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50">IF(B240&lt;100,"",B240-330)</f>
        <v/>
      </c>
      <c r="C273" s="174" t="str">
        <f t="shared" si="50"/>
        <v/>
      </c>
      <c r="D273" s="174" t="str">
        <f t="shared" si="50"/>
        <v/>
      </c>
      <c r="E273" s="174" t="str">
        <f t="shared" si="50"/>
        <v/>
      </c>
      <c r="F273" s="174" t="str">
        <f t="shared" si="50"/>
        <v/>
      </c>
      <c r="G273" s="174" t="str">
        <f t="shared" si="50"/>
        <v/>
      </c>
      <c r="H273" s="174" t="str">
        <f t="shared" si="50"/>
        <v/>
      </c>
      <c r="I273" s="174" t="str">
        <f t="shared" si="50"/>
        <v/>
      </c>
      <c r="J273" s="174" t="str">
        <f t="shared" si="50"/>
        <v/>
      </c>
      <c r="K273" s="174" t="str">
        <f t="shared" si="50"/>
        <v/>
      </c>
      <c r="L273" s="174" t="str">
        <f t="shared" si="50"/>
        <v/>
      </c>
      <c r="M273" s="174" t="str">
        <f t="shared" si="50"/>
        <v/>
      </c>
      <c r="N273" s="174" t="str">
        <f t="shared" si="50"/>
        <v/>
      </c>
      <c r="O273" s="174" t="str">
        <f t="shared" si="50"/>
        <v/>
      </c>
      <c r="P273" s="174" t="str">
        <f t="shared" si="50"/>
        <v/>
      </c>
      <c r="Q273" s="174" t="str">
        <f t="shared" si="50"/>
        <v/>
      </c>
      <c r="R273" s="174" t="str">
        <f t="shared" si="50"/>
        <v/>
      </c>
      <c r="S273" s="174" t="str">
        <f t="shared" si="50"/>
        <v/>
      </c>
      <c r="T273" s="174" t="str">
        <f t="shared" si="50"/>
        <v/>
      </c>
      <c r="U273" s="174" t="str">
        <f t="shared" si="50"/>
        <v/>
      </c>
      <c r="V273" s="174" t="str">
        <f t="shared" si="50"/>
        <v/>
      </c>
      <c r="W273" s="174" t="str">
        <f t="shared" si="50"/>
        <v/>
      </c>
      <c r="X273" s="174" t="str">
        <f t="shared" si="50"/>
        <v/>
      </c>
      <c r="Y273" s="174" t="str">
        <f t="shared" si="50"/>
        <v/>
      </c>
      <c r="Z273" s="174" t="str">
        <f t="shared" si="50"/>
        <v/>
      </c>
      <c r="AA273" s="174" t="str">
        <f t="shared" si="50"/>
        <v/>
      </c>
      <c r="AB273" s="174" t="str">
        <f t="shared" si="50"/>
        <v/>
      </c>
      <c r="AC273" s="174" t="str">
        <f t="shared" si="50"/>
        <v/>
      </c>
      <c r="AD273" s="174" t="str">
        <f t="shared" si="50"/>
        <v/>
      </c>
      <c r="AE273" s="174" t="str">
        <f t="shared" si="50"/>
        <v/>
      </c>
      <c r="AF273" s="174" t="str">
        <f t="shared" si="50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51">IF(B241&lt;100,"",B241-1500)</f>
        <v/>
      </c>
      <c r="C274" s="174" t="str">
        <f t="shared" si="51"/>
        <v/>
      </c>
      <c r="D274" s="174" t="str">
        <f t="shared" si="51"/>
        <v/>
      </c>
      <c r="E274" s="174" t="str">
        <f t="shared" si="51"/>
        <v/>
      </c>
      <c r="F274" s="174" t="str">
        <f t="shared" si="51"/>
        <v/>
      </c>
      <c r="G274" s="174" t="str">
        <f t="shared" si="51"/>
        <v/>
      </c>
      <c r="H274" s="174" t="str">
        <f t="shared" si="51"/>
        <v/>
      </c>
      <c r="I274" s="174" t="str">
        <f t="shared" si="51"/>
        <v/>
      </c>
      <c r="J274" s="174" t="str">
        <f t="shared" si="51"/>
        <v/>
      </c>
      <c r="K274" s="174" t="str">
        <f t="shared" si="51"/>
        <v/>
      </c>
      <c r="L274" s="174" t="str">
        <f t="shared" si="51"/>
        <v/>
      </c>
      <c r="M274" s="174" t="str">
        <f t="shared" si="51"/>
        <v/>
      </c>
      <c r="N274" s="174" t="str">
        <f t="shared" si="51"/>
        <v/>
      </c>
      <c r="O274" s="174" t="str">
        <f t="shared" si="51"/>
        <v/>
      </c>
      <c r="P274" s="174" t="str">
        <f t="shared" si="51"/>
        <v/>
      </c>
      <c r="Q274" s="174" t="str">
        <f t="shared" si="51"/>
        <v/>
      </c>
      <c r="R274" s="174" t="str">
        <f t="shared" si="51"/>
        <v/>
      </c>
      <c r="S274" s="174" t="str">
        <f t="shared" si="51"/>
        <v/>
      </c>
      <c r="T274" s="174" t="str">
        <f t="shared" si="51"/>
        <v/>
      </c>
      <c r="U274" s="174" t="str">
        <f t="shared" si="51"/>
        <v/>
      </c>
      <c r="V274" s="174" t="str">
        <f t="shared" si="51"/>
        <v/>
      </c>
      <c r="W274" s="174" t="str">
        <f t="shared" si="51"/>
        <v/>
      </c>
      <c r="X274" s="174" t="str">
        <f t="shared" si="51"/>
        <v/>
      </c>
      <c r="Y274" s="174" t="str">
        <f t="shared" si="51"/>
        <v/>
      </c>
      <c r="Z274" s="174" t="str">
        <f t="shared" si="51"/>
        <v/>
      </c>
      <c r="AA274" s="174" t="str">
        <f t="shared" si="51"/>
        <v/>
      </c>
      <c r="AB274" s="174" t="str">
        <f t="shared" si="51"/>
        <v/>
      </c>
      <c r="AC274" s="174" t="str">
        <f t="shared" si="51"/>
        <v/>
      </c>
      <c r="AD274" s="174" t="str">
        <f t="shared" si="51"/>
        <v/>
      </c>
      <c r="AE274" s="174" t="str">
        <f t="shared" si="51"/>
        <v/>
      </c>
      <c r="AF274" s="174" t="str">
        <f t="shared" si="51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3940" priority="174">
      <formula>$AH11=0</formula>
    </cfRule>
  </conditionalFormatting>
  <conditionalFormatting sqref="B8 M8 S8 AB8">
    <cfRule type="expression" dxfId="3939" priority="226">
      <formula>AND(C$9&gt;=8/24,C$9&lt;14/24)</formula>
    </cfRule>
    <cfRule type="expression" dxfId="3938" priority="225">
      <formula>AND(C$9&gt;=14/24,C$9&lt;20/24)</formula>
    </cfRule>
    <cfRule type="expression" dxfId="3937" priority="227">
      <formula>C$9&lt;8/24</formula>
    </cfRule>
  </conditionalFormatting>
  <conditionalFormatting sqref="B13:J46 R36:AC46 K41:Q46 B11:N12 O11:S14 K13:N14 K15:S23 K24:O32 P24:S34 N33:O34 K33:M40 N36:Q40">
    <cfRule type="expression" dxfId="3936" priority="22">
      <formula>B11&gt;$AG11</formula>
    </cfRule>
  </conditionalFormatting>
  <conditionalFormatting sqref="B11:N12 O11:S14 K13:N14 B13:J45 K15:S23 K24:O32 P24:S34 N33:O34 K33:M40 N36:Q40 R36:AC45 K41:Q45">
    <cfRule type="expression" dxfId="3935" priority="25">
      <formula>AND(B$9&gt;=8/24,B$9&lt;14/24)</formula>
    </cfRule>
    <cfRule type="expression" dxfId="3934" priority="23">
      <formula>B$9&gt;=20/24</formula>
    </cfRule>
    <cfRule type="expression" dxfId="3933" priority="24">
      <formula>AND(B$9&gt;=14/24,B$9&lt;20/24)</formula>
    </cfRule>
    <cfRule type="expression" dxfId="3932" priority="26">
      <formula>B$9&lt;8/24</formula>
    </cfRule>
  </conditionalFormatting>
  <conditionalFormatting sqref="B47:S47">
    <cfRule type="expression" dxfId="3931" priority="32">
      <formula>B47&gt;$AG47</formula>
    </cfRule>
  </conditionalFormatting>
  <conditionalFormatting sqref="B51:Z53">
    <cfRule type="expression" dxfId="3930" priority="42">
      <formula>B$9&gt;=20/24</formula>
    </cfRule>
    <cfRule type="expression" dxfId="3929" priority="43">
      <formula>AND(B$9&gt;=14/24,B$9&lt;20/24)</formula>
    </cfRule>
    <cfRule type="expression" dxfId="3928" priority="44">
      <formula>AND(B$9&gt;=8/24,B$9&lt;14/24)</formula>
    </cfRule>
    <cfRule type="expression" dxfId="3927" priority="45">
      <formula>B$9&lt;8/24</formula>
    </cfRule>
  </conditionalFormatting>
  <conditionalFormatting sqref="B62:Z66">
    <cfRule type="expression" dxfId="3926" priority="35">
      <formula>AND(B$9&gt;=8/24,B$9&lt;14/24)</formula>
    </cfRule>
    <cfRule type="expression" dxfId="3925" priority="33">
      <formula>B$9&gt;=20/24</formula>
    </cfRule>
    <cfRule type="expression" dxfId="3924" priority="34">
      <formula>AND(B$9&gt;=14/24,B$9&lt;20/24)</formula>
    </cfRule>
    <cfRule type="expression" dxfId="3923" priority="36">
      <formula>B$9&lt;8/24</formula>
    </cfRule>
  </conditionalFormatting>
  <conditionalFormatting sqref="B9:AF10 T11:AC33 AD11:AF45 T34:Y34 Z34:AC35 N35:Y35">
    <cfRule type="expression" dxfId="3922" priority="136">
      <formula>B$9&lt;8/24</formula>
    </cfRule>
    <cfRule type="expression" dxfId="3921" priority="135">
      <formula>AND(B$9&gt;=8/24,B$9&lt;14/24)</formula>
    </cfRule>
    <cfRule type="expression" dxfId="3920" priority="134">
      <formula>AND(B$9&gt;=14/24,B$9&lt;20/24)</formula>
    </cfRule>
  </conditionalFormatting>
  <conditionalFormatting sqref="B46:AF46">
    <cfRule type="expression" dxfId="3919" priority="18">
      <formula>B$9&gt;=20/24</formula>
    </cfRule>
    <cfRule type="expression" dxfId="3918" priority="21">
      <formula>B$9&lt;8/24</formula>
    </cfRule>
    <cfRule type="expression" dxfId="3917" priority="20">
      <formula>AND(B$9&gt;=8/24,B$9&lt;14/24)</formula>
    </cfRule>
    <cfRule type="expression" dxfId="3916" priority="19">
      <formula>AND(B$9&gt;=14/24,B$9&lt;20/24)</formula>
    </cfRule>
  </conditionalFormatting>
  <conditionalFormatting sqref="B55:AF66 B62:M62">
    <cfRule type="expression" dxfId="3915" priority="5">
      <formula>B55&gt;$AG55</formula>
    </cfRule>
  </conditionalFormatting>
  <conditionalFormatting sqref="B55:AF66">
    <cfRule type="expression" dxfId="3914" priority="6">
      <formula>B$9&gt;=20/24</formula>
    </cfRule>
    <cfRule type="expression" dxfId="3913" priority="7">
      <formula>AND(B$9&gt;=14/24,B$9&lt;20/24)</formula>
    </cfRule>
    <cfRule type="expression" dxfId="3912" priority="8">
      <formula>AND(B$9&gt;=8/24,B$9&lt;14/24)</formula>
    </cfRule>
    <cfRule type="expression" dxfId="3911" priority="9">
      <formula>B$9&lt;8/24</formula>
    </cfRule>
  </conditionalFormatting>
  <conditionalFormatting sqref="B69:AF71">
    <cfRule type="expression" dxfId="3910" priority="47">
      <formula>B$9&gt;=20/24</formula>
    </cfRule>
    <cfRule type="expression" dxfId="3909" priority="46">
      <formula>B69&gt;$AG69</formula>
    </cfRule>
    <cfRule type="expression" dxfId="3908" priority="50">
      <formula>B$9&lt;8/24</formula>
    </cfRule>
    <cfRule type="expression" dxfId="3907" priority="49">
      <formula>AND(B$9&gt;=8/24,B$9&lt;14/24)</formula>
    </cfRule>
    <cfRule type="expression" dxfId="3906" priority="48">
      <formula>AND(B$9&gt;=14/24,B$9&lt;20/24)</formula>
    </cfRule>
  </conditionalFormatting>
  <conditionalFormatting sqref="B73:AF91">
    <cfRule type="expression" dxfId="3905" priority="2">
      <formula>AND(B$9&gt;=14/24,B$9&lt;20/24)</formula>
    </cfRule>
    <cfRule type="expression" dxfId="3904" priority="3">
      <formula>AND(B$9&gt;=8/24,B$9&lt;14/24)</formula>
    </cfRule>
    <cfRule type="expression" dxfId="3903" priority="4">
      <formula>B$9&lt;8/24</formula>
    </cfRule>
    <cfRule type="expression" dxfId="3902" priority="1">
      <formula>B$9&gt;=20/24</formula>
    </cfRule>
  </conditionalFormatting>
  <conditionalFormatting sqref="B111:AF120">
    <cfRule type="expression" dxfId="3901" priority="14">
      <formula>B$9&gt;=20/24</formula>
    </cfRule>
    <cfRule type="expression" dxfId="3900" priority="16">
      <formula>AND(B$9&gt;=8/24,B$9&lt;14/24)</formula>
    </cfRule>
    <cfRule type="expression" dxfId="3899" priority="17">
      <formula>B$9&lt;8/24</formula>
    </cfRule>
    <cfRule type="expression" dxfId="3898" priority="15">
      <formula>AND(B$9&gt;=14/24,B$9&lt;20/24)</formula>
    </cfRule>
  </conditionalFormatting>
  <conditionalFormatting sqref="B227:AF227 D229:AF230 B229:B235 D231:H231 J231:AF231 D232:AF235 U248:AF248">
    <cfRule type="expression" dxfId="3897" priority="221">
      <formula>B$9&lt;8/24</formula>
    </cfRule>
    <cfRule type="expression" dxfId="3896" priority="218">
      <formula>B$9&gt;=20/24</formula>
    </cfRule>
    <cfRule type="expression" dxfId="3895" priority="219">
      <formula>AND(B$9&gt;=14/24,B$9&lt;20/24)</formula>
    </cfRule>
    <cfRule type="expression" dxfId="3894" priority="220">
      <formula>AND(B$9&gt;=8/24,B$9&lt;14/24)</formula>
    </cfRule>
  </conditionalFormatting>
  <conditionalFormatting sqref="B54:AG54">
    <cfRule type="expression" dxfId="3893" priority="51">
      <formula>B54&gt;$AG54</formula>
    </cfRule>
    <cfRule type="expression" dxfId="3892" priority="52">
      <formula>B$9&gt;=20/24</formula>
    </cfRule>
    <cfRule type="expression" dxfId="3891" priority="53">
      <formula>AND(B$9&gt;=14/24,B$9&lt;20/24)</formula>
    </cfRule>
    <cfRule type="expression" dxfId="3890" priority="54">
      <formula>AND(B$9&gt;=8/24,B$9&lt;14/24)</formula>
    </cfRule>
    <cfRule type="expression" dxfId="3889" priority="55">
      <formula>B$9&lt;8/24</formula>
    </cfRule>
  </conditionalFormatting>
  <conditionalFormatting sqref="B67:AG68 B72:AG72">
    <cfRule type="expression" dxfId="3888" priority="37">
      <formula>B67&gt;$AG67</formula>
    </cfRule>
  </conditionalFormatting>
  <conditionalFormatting sqref="B72:AG72 B93:AF109">
    <cfRule type="expression" dxfId="3887" priority="41">
      <formula>B$9&lt;8/24</formula>
    </cfRule>
    <cfRule type="expression" dxfId="3886" priority="40">
      <formula>AND(B$9&gt;=8/24,B$9&lt;14/24)</formula>
    </cfRule>
    <cfRule type="expression" dxfId="3885" priority="39">
      <formula>AND(B$9&gt;=14/24,B$9&lt;20/24)</formula>
    </cfRule>
    <cfRule type="expression" dxfId="3884" priority="38">
      <formula>B$9&gt;=20/24</formula>
    </cfRule>
  </conditionalFormatting>
  <conditionalFormatting sqref="M47:S48 B47:L49">
    <cfRule type="expression" dxfId="3883" priority="31">
      <formula>B$9&lt;8/24</formula>
    </cfRule>
    <cfRule type="expression" dxfId="3882" priority="30">
      <formula>AND(B$9&gt;=8/24,B$9&lt;14/24)</formula>
    </cfRule>
    <cfRule type="expression" dxfId="3881" priority="29">
      <formula>AND(B$9&gt;=14/24,B$9&lt;20/24)</formula>
    </cfRule>
    <cfRule type="expression" dxfId="3880" priority="28">
      <formula>B$9&gt;=20/24</formula>
    </cfRule>
  </conditionalFormatting>
  <conditionalFormatting sqref="M48:S48 E48:L49 B48:D53 E51:AD53">
    <cfRule type="expression" dxfId="3879" priority="27">
      <formula>B48&gt;$AG48</formula>
    </cfRule>
  </conditionalFormatting>
  <conditionalFormatting sqref="O3:P3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878" priority="224">
      <formula>C$9&gt;=20/24</formula>
    </cfRule>
  </conditionalFormatting>
  <conditionalFormatting sqref="S8">
    <cfRule type="expression" dxfId="3877" priority="213">
      <formula>AND(U$9&gt;=8/24,U$9&lt;14/24)</formula>
    </cfRule>
    <cfRule type="expression" dxfId="3876" priority="214">
      <formula>U$9&lt;8/24</formula>
    </cfRule>
    <cfRule type="expression" dxfId="3875" priority="211">
      <formula>U$9&gt;=20/24</formula>
    </cfRule>
    <cfRule type="expression" dxfId="3874" priority="212">
      <formula>AND(U$9&gt;=14/24,U$9&lt;20/24)</formula>
    </cfRule>
  </conditionalFormatting>
  <conditionalFormatting sqref="T248">
    <cfRule type="expression" dxfId="3873" priority="239">
      <formula>AX$9&lt;8/24</formula>
    </cfRule>
    <cfRule type="expression" dxfId="3872" priority="236">
      <formula>AX$9&gt;=20/24</formula>
    </cfRule>
    <cfRule type="expression" dxfId="3871" priority="237">
      <formula>AND(AX$9&gt;=14/24,AX$9&lt;20/24)</formula>
    </cfRule>
    <cfRule type="expression" dxfId="3870" priority="238">
      <formula>AND(AX$9&gt;=8/24,AX$9&lt;14/24)</formula>
    </cfRule>
  </conditionalFormatting>
  <conditionalFormatting sqref="T11:AC33 AD11:AF45 T34:Y34 Z34:AC35 N35:Y35 B9:AF10">
    <cfRule type="expression" dxfId="3869" priority="133">
      <formula>B$9&gt;=20/24</formula>
    </cfRule>
  </conditionalFormatting>
  <conditionalFormatting sqref="T48:AD49 AE48:AF53 M49:O49 R49:S49 P49:Q50 E50:O50 R50:AD50">
    <cfRule type="expression" dxfId="3868" priority="137">
      <formula>E48&gt;$AG48</formula>
    </cfRule>
  </conditionalFormatting>
  <conditionalFormatting sqref="T47:AF47">
    <cfRule type="expression" dxfId="3867" priority="142">
      <formula>T47&gt;$AG47</formula>
    </cfRule>
  </conditionalFormatting>
  <conditionalFormatting sqref="T47:AF49 M49:S49">
    <cfRule type="expression" dxfId="3866" priority="141">
      <formula>M$9&lt;8/24</formula>
    </cfRule>
    <cfRule type="expression" dxfId="3865" priority="139">
      <formula>AND(M$9&gt;=14/24,M$9&lt;20/24)</formula>
    </cfRule>
    <cfRule type="expression" dxfId="3864" priority="138">
      <formula>M$9&gt;=20/24</formula>
    </cfRule>
    <cfRule type="expression" dxfId="3863" priority="140">
      <formula>AND(M$9&gt;=8/24,M$9&lt;14/24)</formula>
    </cfRule>
  </conditionalFormatting>
  <conditionalFormatting sqref="V3 AB3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A51:AF53">
    <cfRule type="expression" dxfId="3862" priority="159">
      <formula>AND(AA$9&gt;=8/24,AA$9&lt;14/24)</formula>
    </cfRule>
    <cfRule type="expression" dxfId="3861" priority="160">
      <formula>AA$9&lt;8/24</formula>
    </cfRule>
    <cfRule type="expression" dxfId="3860" priority="157">
      <formula>AA$9&gt;=20/24</formula>
    </cfRule>
    <cfRule type="expression" dxfId="3859" priority="158">
      <formula>AND(AA$9&gt;=14/24,AA$9&lt;20/24)</formula>
    </cfRule>
  </conditionalFormatting>
  <conditionalFormatting sqref="AB8">
    <cfRule type="expression" dxfId="3858" priority="207">
      <formula>AD$9&gt;=20/24</formula>
    </cfRule>
    <cfRule type="expression" dxfId="3857" priority="208">
      <formula>AND(AD$9&gt;=14/24,AD$9&lt;20/24)</formula>
    </cfRule>
    <cfRule type="expression" dxfId="3856" priority="209">
      <formula>AND(AD$9&gt;=8/24,AD$9&lt;14/24)</formula>
    </cfRule>
    <cfRule type="expression" dxfId="3855" priority="210">
      <formula>AD$9&lt;8/24</formula>
    </cfRule>
  </conditionalFormatting>
  <conditionalFormatting sqref="AD11:AF46 T11:AC33 T34:Y34 Z34:AC35 N35:Y35">
    <cfRule type="expression" dxfId="3854" priority="132">
      <formula>N11&gt;$AG11</formula>
    </cfRule>
  </conditionalFormatting>
  <conditionalFormatting sqref="AG50">
    <cfRule type="expression" dxfId="3853" priority="194">
      <formula>AG50&gt;$AG50</formula>
    </cfRule>
  </conditionalFormatting>
  <conditionalFormatting sqref="AG89">
    <cfRule type="expression" dxfId="3852" priority="197">
      <formula>AND(AG$9&gt;=8/24,AG$9&lt;14/24)</formula>
    </cfRule>
    <cfRule type="expression" dxfId="3851" priority="198">
      <formula>AG$9&lt;8/24</formula>
    </cfRule>
    <cfRule type="expression" dxfId="3850" priority="195">
      <formula>AG$9&gt;=20/24</formula>
    </cfRule>
    <cfRule type="expression" dxfId="3849" priority="196">
      <formula>AND(AG$9&gt;=14/24,AG$9&lt;20/24)</formula>
    </cfRule>
  </conditionalFormatting>
  <conditionalFormatting sqref="AG248">
    <cfRule type="expression" dxfId="3848" priority="231">
      <formula>B$9&lt;8/24</formula>
    </cfRule>
    <cfRule type="expression" dxfId="3847" priority="230">
      <formula>AND(B$9&gt;=8/24,B$9&lt;14/24)</formula>
    </cfRule>
    <cfRule type="expression" dxfId="3846" priority="229">
      <formula>AND(B$9&gt;=14/24,B$9&lt;20/24)</formula>
    </cfRule>
    <cfRule type="expression" dxfId="3845" priority="228">
      <formula>B$9&gt;=20/24</formula>
    </cfRule>
  </conditionalFormatting>
  <conditionalFormatting sqref="AH248:AX248">
    <cfRule type="expression" dxfId="3844" priority="232">
      <formula>AG$9&gt;=20/24</formula>
    </cfRule>
    <cfRule type="expression" dxfId="3843" priority="233">
      <formula>AND(AG$9&gt;=14/24,AG$9&lt;20/24)</formula>
    </cfRule>
    <cfRule type="expression" dxfId="3842" priority="234">
      <formula>AND(AG$9&gt;=8/24,AG$9&lt;14/24)</formula>
    </cfRule>
    <cfRule type="expression" dxfId="3841" priority="235">
      <formula>AG$9&lt;8/24</formula>
    </cfRule>
  </conditionalFormatting>
  <conditionalFormatting sqref="AL4:AL6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840" priority="244">
      <formula>AJ$9&lt;8/24</formula>
    </cfRule>
    <cfRule type="expression" dxfId="3839" priority="241">
      <formula>AJ$9&gt;=20/24</formula>
    </cfRule>
    <cfRule type="expression" dxfId="3838" priority="242">
      <formula>AND(AJ$9&gt;=14/24,AJ$9&lt;20/24)</formula>
    </cfRule>
    <cfRule type="expression" dxfId="3837" priority="243">
      <formula>AND(AJ$9&gt;=8/24,AJ$9&lt;14/24)</formula>
    </cfRule>
  </conditionalFormatting>
  <conditionalFormatting sqref="AL80:AN80 AL86:AN86">
    <cfRule type="expression" dxfId="3836" priority="184">
      <formula>AND(AL$9&gt;=8/24,AL$9&lt;14/24)</formula>
    </cfRule>
    <cfRule type="expression" dxfId="3835" priority="183">
      <formula>AND(AL$9&gt;=14/24,AL$9&lt;20/24)</formula>
    </cfRule>
    <cfRule type="expression" dxfId="3834" priority="182">
      <formula>AL$9&gt;=20/24</formula>
    </cfRule>
    <cfRule type="expression" dxfId="3833" priority="185">
      <formula>AL$9&lt;8/24</formula>
    </cfRule>
  </conditionalFormatting>
  <conditionalFormatting sqref="AN81:AN84">
    <cfRule type="expression" dxfId="3832" priority="180">
      <formula>AND(AN$9&gt;=8/24,AN$9&lt;14/24)</formula>
    </cfRule>
    <cfRule type="expression" dxfId="3831" priority="179">
      <formula>AND(AN$9&gt;=14/24,AN$9&lt;20/24)</formula>
    </cfRule>
    <cfRule type="expression" dxfId="3830" priority="178">
      <formula>AN$9&gt;=20/24</formula>
    </cfRule>
    <cfRule type="expression" dxfId="3829" priority="181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8E82-303B-476B-953D-7BC7182C5EA4}">
  <dimension ref="A1:CJ281"/>
  <sheetViews>
    <sheetView workbookViewId="0">
      <pane xSplit="1" ySplit="10" topLeftCell="B14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J130" sqref="AJ13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.85546875" style="1" customWidth="1"/>
    <col min="12" max="12" width="6.140625" style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2080/04/29</v>
      </c>
      <c r="C4" s="203"/>
      <c r="D4" s="203"/>
      <c r="E4" s="204" t="str">
        <f ca="1">"2079/"&amp;"12/"&amp;INT(MID(CELL("filename",G6),FIND("]",CELL("filename",G6))+1,200))</f>
        <v>2079/12/29</v>
      </c>
      <c r="F4" s="204"/>
      <c r="G4" s="204"/>
      <c r="H4" s="204" t="str">
        <f ca="1">TEXT(E4,"dddd")</f>
        <v>Friday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1.5</v>
      </c>
      <c r="C5" s="30">
        <f t="shared" si="0"/>
        <v>0</v>
      </c>
      <c r="D5" s="30">
        <f t="shared" si="0"/>
        <v>3.3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6.7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5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1.1000000000000001</v>
      </c>
      <c r="X5" s="30">
        <f t="shared" si="0"/>
        <v>0</v>
      </c>
      <c r="Y5" s="30">
        <f t="shared" si="0"/>
        <v>15</v>
      </c>
      <c r="Z5" s="30">
        <f t="shared" si="0"/>
        <v>15</v>
      </c>
      <c r="AA5" s="30">
        <f t="shared" si="0"/>
        <v>19</v>
      </c>
      <c r="AB5" s="30">
        <f t="shared" si="0"/>
        <v>22.6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B84</f>
        <v>15.9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2049MW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Load=1783</v>
      </c>
      <c r="B7" s="35">
        <f t="shared" ref="B7:AF7" si="1">B91</f>
        <v>1802.4399999999998</v>
      </c>
      <c r="C7" s="35">
        <f t="shared" si="1"/>
        <v>1783.74</v>
      </c>
      <c r="D7" s="35">
        <f t="shared" si="1"/>
        <v>1782.84</v>
      </c>
      <c r="E7" s="35">
        <f t="shared" si="1"/>
        <v>1799.04</v>
      </c>
      <c r="F7" s="35">
        <f t="shared" si="1"/>
        <v>1799.84</v>
      </c>
      <c r="G7" s="35">
        <f t="shared" si="1"/>
        <v>1831.04</v>
      </c>
      <c r="H7" s="35">
        <f t="shared" si="1"/>
        <v>1874.8400000000001</v>
      </c>
      <c r="I7" s="35">
        <f t="shared" si="1"/>
        <v>1883.14</v>
      </c>
      <c r="J7" s="35">
        <f t="shared" si="1"/>
        <v>1886.9399999999998</v>
      </c>
      <c r="K7" s="35">
        <f t="shared" si="1"/>
        <v>1990.2399999999998</v>
      </c>
      <c r="L7" s="35">
        <f t="shared" si="1"/>
        <v>2049.2400000000002</v>
      </c>
      <c r="M7" s="35">
        <f t="shared" si="1"/>
        <v>1990.6299999999999</v>
      </c>
      <c r="N7" s="35">
        <f>N91</f>
        <v>1953.1299999999999</v>
      </c>
      <c r="O7" s="35">
        <f t="shared" si="1"/>
        <v>1964.33</v>
      </c>
      <c r="P7" s="35">
        <f t="shared" si="1"/>
        <v>1992.74</v>
      </c>
      <c r="Q7" s="35">
        <f t="shared" si="1"/>
        <v>1997.64</v>
      </c>
      <c r="R7" s="35">
        <f t="shared" si="1"/>
        <v>1997.64</v>
      </c>
      <c r="S7" s="35">
        <f t="shared" si="1"/>
        <v>1992.04</v>
      </c>
      <c r="T7" s="35">
        <f t="shared" si="1"/>
        <v>2014.04</v>
      </c>
      <c r="U7" s="35">
        <f t="shared" si="1"/>
        <v>2036.7399999999998</v>
      </c>
      <c r="V7" s="35">
        <f t="shared" si="1"/>
        <v>2028.04</v>
      </c>
      <c r="W7" s="35">
        <f t="shared" si="1"/>
        <v>1987.54</v>
      </c>
      <c r="X7" s="35">
        <f t="shared" si="1"/>
        <v>1993.2399999999998</v>
      </c>
      <c r="Y7" s="35">
        <f t="shared" si="1"/>
        <v>1992.1399999999999</v>
      </c>
      <c r="Z7" s="35">
        <f t="shared" si="1"/>
        <v>2056.9399999999996</v>
      </c>
      <c r="AA7" s="35">
        <f t="shared" si="1"/>
        <v>2058.14</v>
      </c>
      <c r="AB7" s="35">
        <f t="shared" si="1"/>
        <v>2093.54</v>
      </c>
      <c r="AC7" s="35">
        <f t="shared" si="1"/>
        <v>2076.14</v>
      </c>
      <c r="AD7" s="35">
        <f t="shared" si="1"/>
        <v>2017.7399999999998</v>
      </c>
      <c r="AE7" s="35">
        <f t="shared" si="1"/>
        <v>1983.24</v>
      </c>
      <c r="AF7" s="35">
        <f t="shared" si="1"/>
        <v>1969.2399999999998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90.2</v>
      </c>
      <c r="C11" s="45">
        <v>90.2</v>
      </c>
      <c r="D11" s="45">
        <v>90.2</v>
      </c>
      <c r="E11" s="45">
        <v>90.2</v>
      </c>
      <c r="F11" s="45">
        <v>90.2</v>
      </c>
      <c r="G11" s="45">
        <v>90.2</v>
      </c>
      <c r="H11" s="45">
        <v>90.2</v>
      </c>
      <c r="I11" s="45">
        <v>90.2</v>
      </c>
      <c r="J11" s="45">
        <v>90.2</v>
      </c>
      <c r="K11" s="45">
        <v>90.2</v>
      </c>
      <c r="L11" s="45">
        <v>90.2</v>
      </c>
      <c r="M11" s="45">
        <v>90</v>
      </c>
      <c r="N11" s="45">
        <v>90</v>
      </c>
      <c r="O11" s="45">
        <v>90</v>
      </c>
      <c r="P11" s="45">
        <v>90</v>
      </c>
      <c r="Q11" s="45">
        <v>90</v>
      </c>
      <c r="R11" s="45">
        <v>90</v>
      </c>
      <c r="S11" s="45">
        <v>90</v>
      </c>
      <c r="T11" s="45">
        <v>90</v>
      </c>
      <c r="U11" s="45">
        <v>90</v>
      </c>
      <c r="V11" s="45">
        <v>90</v>
      </c>
      <c r="W11" s="45">
        <v>89.8</v>
      </c>
      <c r="X11" s="45">
        <v>89.8</v>
      </c>
      <c r="Y11" s="45">
        <v>89.8</v>
      </c>
      <c r="Z11" s="45">
        <v>89.8</v>
      </c>
      <c r="AA11" s="45">
        <v>89.8</v>
      </c>
      <c r="AB11" s="45">
        <v>89.8</v>
      </c>
      <c r="AC11" s="45">
        <v>89.8</v>
      </c>
      <c r="AD11" s="45">
        <v>89.8</v>
      </c>
      <c r="AE11" s="45">
        <v>89.8</v>
      </c>
      <c r="AF11" s="45">
        <v>89.8</v>
      </c>
      <c r="AG11" s="46">
        <v>86</v>
      </c>
      <c r="AH11" s="47">
        <f t="shared" ref="AH11:AH76" si="2">MAX(B11:AF11)</f>
        <v>90.2</v>
      </c>
      <c r="AI11" s="48">
        <f t="shared" ref="AI11:AI76" si="3">MIN(B11:AF11)</f>
        <v>89.8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7</v>
      </c>
      <c r="P12" s="45">
        <v>7</v>
      </c>
      <c r="Q12" s="45">
        <v>7</v>
      </c>
      <c r="R12" s="45">
        <v>7</v>
      </c>
      <c r="S12" s="45">
        <v>7</v>
      </c>
      <c r="T12" s="45">
        <v>11</v>
      </c>
      <c r="U12" s="45">
        <v>11</v>
      </c>
      <c r="V12" s="45">
        <v>11</v>
      </c>
      <c r="W12" s="45">
        <v>12</v>
      </c>
      <c r="X12" s="45">
        <v>12</v>
      </c>
      <c r="Y12" s="45">
        <v>12</v>
      </c>
      <c r="Z12" s="45">
        <v>12</v>
      </c>
      <c r="AA12" s="45">
        <v>12</v>
      </c>
      <c r="AB12" s="45">
        <v>12</v>
      </c>
      <c r="AC12" s="45">
        <v>12</v>
      </c>
      <c r="AD12" s="45">
        <v>10</v>
      </c>
      <c r="AE12" s="45">
        <v>10</v>
      </c>
      <c r="AF12" s="45">
        <v>10</v>
      </c>
      <c r="AG12" s="49">
        <v>54</v>
      </c>
      <c r="AH12" s="47">
        <f t="shared" si="2"/>
        <v>12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54.8</v>
      </c>
      <c r="C13" s="45">
        <v>54.7</v>
      </c>
      <c r="D13" s="45">
        <v>54.7</v>
      </c>
      <c r="E13" s="45">
        <v>54.7</v>
      </c>
      <c r="F13" s="45">
        <v>54.7</v>
      </c>
      <c r="G13" s="45">
        <v>54.7</v>
      </c>
      <c r="H13" s="45">
        <v>54.7</v>
      </c>
      <c r="I13" s="45">
        <v>54.7</v>
      </c>
      <c r="J13" s="45">
        <v>54.7</v>
      </c>
      <c r="K13" s="45">
        <v>54.7</v>
      </c>
      <c r="L13" s="45">
        <v>54.7</v>
      </c>
      <c r="M13" s="45">
        <v>54.7</v>
      </c>
      <c r="N13" s="45">
        <v>54.7</v>
      </c>
      <c r="O13" s="45">
        <v>54.7</v>
      </c>
      <c r="P13" s="45">
        <v>54.7</v>
      </c>
      <c r="Q13" s="45">
        <v>54.7</v>
      </c>
      <c r="R13" s="45">
        <v>54.7</v>
      </c>
      <c r="S13" s="45">
        <v>54.7</v>
      </c>
      <c r="T13" s="45">
        <v>54.7</v>
      </c>
      <c r="U13" s="45">
        <v>54.7</v>
      </c>
      <c r="V13" s="45">
        <v>54.7</v>
      </c>
      <c r="W13" s="45">
        <v>54.7</v>
      </c>
      <c r="X13" s="45">
        <v>54.7</v>
      </c>
      <c r="Y13" s="45">
        <v>54.7</v>
      </c>
      <c r="Z13" s="45">
        <v>54.7</v>
      </c>
      <c r="AA13" s="45">
        <v>54.7</v>
      </c>
      <c r="AB13" s="45">
        <v>54.7</v>
      </c>
      <c r="AC13" s="45">
        <v>54.7</v>
      </c>
      <c r="AD13" s="45">
        <v>54.7</v>
      </c>
      <c r="AE13" s="45">
        <v>54.7</v>
      </c>
      <c r="AF13" s="45">
        <v>54.7</v>
      </c>
      <c r="AG13" s="46">
        <v>52.4</v>
      </c>
      <c r="AH13" s="47">
        <f t="shared" si="2"/>
        <v>54.8</v>
      </c>
      <c r="AI13" s="48">
        <f t="shared" si="3"/>
        <v>54.7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25.3</v>
      </c>
      <c r="C14" s="45">
        <v>50.5</v>
      </c>
      <c r="D14" s="45">
        <v>50.5</v>
      </c>
      <c r="E14" s="45">
        <v>50.5</v>
      </c>
      <c r="F14" s="45">
        <v>50.5</v>
      </c>
      <c r="G14" s="45">
        <v>50.5</v>
      </c>
      <c r="H14" s="45">
        <v>50.5</v>
      </c>
      <c r="I14" s="45">
        <v>50.5</v>
      </c>
      <c r="J14" s="45">
        <v>50.5</v>
      </c>
      <c r="K14" s="45">
        <v>50.5</v>
      </c>
      <c r="L14" s="45">
        <v>50.5</v>
      </c>
      <c r="M14" s="58">
        <v>50.5</v>
      </c>
      <c r="N14" s="58">
        <v>50.5</v>
      </c>
      <c r="O14" s="58">
        <v>50.5</v>
      </c>
      <c r="P14" s="58">
        <v>50.5</v>
      </c>
      <c r="Q14" s="58">
        <v>50.5</v>
      </c>
      <c r="R14" s="58">
        <v>50.5</v>
      </c>
      <c r="S14" s="58">
        <v>50.5</v>
      </c>
      <c r="T14" s="58">
        <v>50.5</v>
      </c>
      <c r="U14" s="58">
        <v>50.5</v>
      </c>
      <c r="V14" s="58">
        <v>50.5</v>
      </c>
      <c r="W14" s="58">
        <v>50.5</v>
      </c>
      <c r="X14" s="58">
        <v>50.5</v>
      </c>
      <c r="Y14" s="58">
        <v>50.5</v>
      </c>
      <c r="Z14" s="58">
        <v>50.5</v>
      </c>
      <c r="AA14" s="45">
        <v>50.5</v>
      </c>
      <c r="AB14" s="45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49">
        <v>50</v>
      </c>
      <c r="AH14" s="47">
        <f t="shared" si="2"/>
        <v>50.5</v>
      </c>
      <c r="AI14" s="48">
        <f t="shared" si="3"/>
        <v>25.3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45.9</v>
      </c>
      <c r="C15" s="45">
        <v>45.9</v>
      </c>
      <c r="D15" s="45">
        <v>45.9</v>
      </c>
      <c r="E15" s="45">
        <v>45.9</v>
      </c>
      <c r="F15" s="45">
        <v>45.9</v>
      </c>
      <c r="G15" s="45">
        <v>45.9</v>
      </c>
      <c r="H15" s="45">
        <v>45.9</v>
      </c>
      <c r="I15" s="45">
        <v>45.9</v>
      </c>
      <c r="J15" s="45">
        <v>45.9</v>
      </c>
      <c r="K15" s="45">
        <v>45.9</v>
      </c>
      <c r="L15" s="45">
        <v>45.9</v>
      </c>
      <c r="M15" s="45">
        <v>45.9</v>
      </c>
      <c r="N15" s="45">
        <v>45.9</v>
      </c>
      <c r="O15" s="45">
        <v>45.9</v>
      </c>
      <c r="P15" s="45">
        <v>45.9</v>
      </c>
      <c r="Q15" s="45">
        <v>45.9</v>
      </c>
      <c r="R15" s="45">
        <v>45.9</v>
      </c>
      <c r="S15" s="45">
        <v>45.7</v>
      </c>
      <c r="T15" s="45">
        <v>45.7</v>
      </c>
      <c r="U15" s="45">
        <v>45.7</v>
      </c>
      <c r="V15" s="45">
        <v>45.7</v>
      </c>
      <c r="W15" s="45">
        <v>41.8</v>
      </c>
      <c r="X15" s="45">
        <v>41.8</v>
      </c>
      <c r="Y15" s="45">
        <v>41.8</v>
      </c>
      <c r="Z15" s="45">
        <v>41.8</v>
      </c>
      <c r="AA15" s="45">
        <v>46.7</v>
      </c>
      <c r="AB15" s="45">
        <v>46.7</v>
      </c>
      <c r="AC15" s="45">
        <v>46.7</v>
      </c>
      <c r="AD15" s="45">
        <v>46.7</v>
      </c>
      <c r="AE15" s="45">
        <v>46.7</v>
      </c>
      <c r="AF15" s="45">
        <v>46.7</v>
      </c>
      <c r="AG15" s="49">
        <v>45</v>
      </c>
      <c r="AH15" s="47">
        <f t="shared" si="2"/>
        <v>46.7</v>
      </c>
      <c r="AI15" s="48">
        <f t="shared" si="3"/>
        <v>41.8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0</v>
      </c>
      <c r="C16" s="45">
        <v>30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0</v>
      </c>
      <c r="J16" s="45">
        <v>0</v>
      </c>
      <c r="K16" s="45">
        <v>0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0</v>
      </c>
      <c r="T16" s="45">
        <v>0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0</v>
      </c>
      <c r="AB16" s="45">
        <v>0</v>
      </c>
      <c r="AC16" s="45">
        <v>0</v>
      </c>
      <c r="AD16" s="45">
        <v>0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</v>
      </c>
      <c r="C17" s="45">
        <v>28</v>
      </c>
      <c r="D17" s="45">
        <v>28</v>
      </c>
      <c r="E17" s="45">
        <v>28</v>
      </c>
      <c r="F17" s="45">
        <v>28</v>
      </c>
      <c r="G17" s="45">
        <v>28</v>
      </c>
      <c r="H17" s="45">
        <v>28</v>
      </c>
      <c r="I17" s="45">
        <v>28</v>
      </c>
      <c r="J17" s="45">
        <v>28</v>
      </c>
      <c r="K17" s="45">
        <v>28</v>
      </c>
      <c r="L17" s="45">
        <v>28</v>
      </c>
      <c r="M17" s="45">
        <v>28</v>
      </c>
      <c r="N17" s="45">
        <v>28</v>
      </c>
      <c r="O17" s="45">
        <v>28</v>
      </c>
      <c r="P17" s="45">
        <v>26</v>
      </c>
      <c r="Q17" s="45">
        <v>26</v>
      </c>
      <c r="R17" s="45">
        <v>26</v>
      </c>
      <c r="S17" s="45">
        <v>30</v>
      </c>
      <c r="T17" s="45">
        <v>30</v>
      </c>
      <c r="U17" s="45">
        <v>30</v>
      </c>
      <c r="V17" s="45">
        <v>30</v>
      </c>
      <c r="W17" s="45">
        <v>28</v>
      </c>
      <c r="X17" s="45">
        <v>28</v>
      </c>
      <c r="Y17" s="45">
        <v>28</v>
      </c>
      <c r="Z17" s="45">
        <v>28</v>
      </c>
      <c r="AA17" s="45">
        <v>28</v>
      </c>
      <c r="AB17" s="45">
        <v>28</v>
      </c>
      <c r="AC17" s="45">
        <v>28</v>
      </c>
      <c r="AD17" s="45">
        <v>28</v>
      </c>
      <c r="AE17" s="45">
        <v>28</v>
      </c>
      <c r="AF17" s="45">
        <v>28</v>
      </c>
      <c r="AG17" s="49">
        <v>42</v>
      </c>
      <c r="AH17" s="47">
        <f t="shared" si="2"/>
        <v>30</v>
      </c>
      <c r="AI17" s="48">
        <f t="shared" si="3"/>
        <v>26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38.6</v>
      </c>
      <c r="C18" s="45">
        <v>38.6</v>
      </c>
      <c r="D18" s="45">
        <v>38.6</v>
      </c>
      <c r="E18" s="45">
        <v>38.6</v>
      </c>
      <c r="F18" s="45">
        <v>38.6</v>
      </c>
      <c r="G18" s="45">
        <v>38.6</v>
      </c>
      <c r="H18" s="45">
        <v>38.6</v>
      </c>
      <c r="I18" s="45">
        <v>38.6</v>
      </c>
      <c r="J18" s="45">
        <v>38.6</v>
      </c>
      <c r="K18" s="45">
        <v>38.6</v>
      </c>
      <c r="L18" s="45">
        <v>38.6</v>
      </c>
      <c r="M18" s="45">
        <v>38.6</v>
      </c>
      <c r="N18" s="45">
        <v>38.6</v>
      </c>
      <c r="O18" s="45">
        <v>38.6</v>
      </c>
      <c r="P18" s="45">
        <v>38.6</v>
      </c>
      <c r="Q18" s="45">
        <v>38.6</v>
      </c>
      <c r="R18" s="45">
        <v>38.6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38.6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9">
        <v>36</v>
      </c>
      <c r="AH19" s="47">
        <f t="shared" si="2"/>
        <v>0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29.8</v>
      </c>
      <c r="C20" s="45">
        <v>29.8</v>
      </c>
      <c r="D20" s="45">
        <v>15.4</v>
      </c>
      <c r="E20" s="45">
        <v>20.5</v>
      </c>
      <c r="F20" s="45">
        <v>29.8</v>
      </c>
      <c r="G20" s="45">
        <v>29.8</v>
      </c>
      <c r="H20" s="45">
        <v>29.8</v>
      </c>
      <c r="I20" s="45">
        <v>29.8</v>
      </c>
      <c r="J20" s="45">
        <v>29.8</v>
      </c>
      <c r="K20" s="45">
        <v>29.8</v>
      </c>
      <c r="L20" s="45">
        <v>29.8</v>
      </c>
      <c r="M20" s="45">
        <v>29.99</v>
      </c>
      <c r="N20" s="45">
        <v>29.99</v>
      </c>
      <c r="O20" s="45">
        <v>29.99</v>
      </c>
      <c r="P20" s="45">
        <v>15</v>
      </c>
      <c r="Q20" s="45">
        <v>15</v>
      </c>
      <c r="R20" s="45">
        <v>15</v>
      </c>
      <c r="S20" s="45">
        <v>20.8</v>
      </c>
      <c r="T20" s="45">
        <v>20.8</v>
      </c>
      <c r="U20" s="45">
        <v>20.8</v>
      </c>
      <c r="V20" s="45">
        <v>16</v>
      </c>
      <c r="W20" s="45">
        <v>15.7</v>
      </c>
      <c r="X20" s="45">
        <v>15.7</v>
      </c>
      <c r="Y20" s="45">
        <v>15.7</v>
      </c>
      <c r="Z20" s="45">
        <v>21</v>
      </c>
      <c r="AA20" s="45">
        <v>21</v>
      </c>
      <c r="AB20" s="45">
        <v>21</v>
      </c>
      <c r="AC20" s="45">
        <v>30.1</v>
      </c>
      <c r="AD20" s="45">
        <v>30.1</v>
      </c>
      <c r="AE20" s="45">
        <v>5.7</v>
      </c>
      <c r="AF20" s="45">
        <v>5.7</v>
      </c>
      <c r="AG20" s="51">
        <v>30</v>
      </c>
      <c r="AH20" s="47">
        <f t="shared" si="2"/>
        <v>30.1</v>
      </c>
      <c r="AI20" s="48">
        <f t="shared" si="3"/>
        <v>5.7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33</v>
      </c>
      <c r="C21" s="45">
        <v>33</v>
      </c>
      <c r="D21" s="45">
        <v>33</v>
      </c>
      <c r="E21" s="45">
        <v>33</v>
      </c>
      <c r="F21" s="45">
        <v>33</v>
      </c>
      <c r="G21" s="45">
        <v>28</v>
      </c>
      <c r="H21" s="45">
        <v>33</v>
      </c>
      <c r="I21" s="45">
        <v>33</v>
      </c>
      <c r="J21" s="45">
        <v>33</v>
      </c>
      <c r="K21" s="45">
        <v>33</v>
      </c>
      <c r="L21" s="45">
        <v>33</v>
      </c>
      <c r="M21" s="45">
        <v>33.200000000000003</v>
      </c>
      <c r="N21" s="45">
        <v>33.200000000000003</v>
      </c>
      <c r="O21" s="45">
        <v>33.200000000000003</v>
      </c>
      <c r="P21" s="45">
        <v>33.200000000000003</v>
      </c>
      <c r="Q21" s="45">
        <v>33.200000000000003</v>
      </c>
      <c r="R21" s="45">
        <v>33.200000000000003</v>
      </c>
      <c r="S21" s="45">
        <v>33.200000000000003</v>
      </c>
      <c r="T21" s="45">
        <v>33.200000000000003</v>
      </c>
      <c r="U21" s="45">
        <v>33.200000000000003</v>
      </c>
      <c r="V21" s="45">
        <v>33.200000000000003</v>
      </c>
      <c r="W21" s="45">
        <v>32.9</v>
      </c>
      <c r="X21" s="45">
        <v>32.9</v>
      </c>
      <c r="Y21" s="45">
        <v>32.9</v>
      </c>
      <c r="Z21" s="45">
        <v>32.9</v>
      </c>
      <c r="AA21" s="45">
        <v>32.9</v>
      </c>
      <c r="AB21" s="45">
        <v>32.9</v>
      </c>
      <c r="AC21" s="45">
        <v>32.9</v>
      </c>
      <c r="AD21" s="45">
        <v>32.9</v>
      </c>
      <c r="AE21" s="45">
        <v>24.8</v>
      </c>
      <c r="AF21" s="45">
        <v>24.8</v>
      </c>
      <c r="AG21" s="49">
        <v>24.2</v>
      </c>
      <c r="AH21" s="47">
        <f t="shared" si="2"/>
        <v>33.200000000000003</v>
      </c>
      <c r="AI21" s="48">
        <f t="shared" si="3"/>
        <v>24.8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28.3</v>
      </c>
      <c r="C22" s="45">
        <v>28.3</v>
      </c>
      <c r="D22" s="45">
        <v>28.3</v>
      </c>
      <c r="E22" s="45">
        <v>28.3</v>
      </c>
      <c r="F22" s="45">
        <v>28.3</v>
      </c>
      <c r="G22" s="45">
        <v>28.3</v>
      </c>
      <c r="H22" s="45">
        <v>28.3</v>
      </c>
      <c r="I22" s="45">
        <v>28.3</v>
      </c>
      <c r="J22" s="45">
        <v>28.3</v>
      </c>
      <c r="K22" s="45">
        <v>28.3</v>
      </c>
      <c r="L22" s="45">
        <v>28.3</v>
      </c>
      <c r="M22" s="45">
        <v>28.2</v>
      </c>
      <c r="N22" s="45">
        <v>28.2</v>
      </c>
      <c r="O22" s="45">
        <v>28.2</v>
      </c>
      <c r="P22" s="45">
        <v>28.2</v>
      </c>
      <c r="Q22" s="45">
        <v>28.2</v>
      </c>
      <c r="R22" s="45">
        <v>28.2</v>
      </c>
      <c r="S22" s="45">
        <v>28.2</v>
      </c>
      <c r="T22" s="45">
        <v>28.2</v>
      </c>
      <c r="U22" s="45">
        <v>28.2</v>
      </c>
      <c r="V22" s="45">
        <v>28.2</v>
      </c>
      <c r="W22" s="45">
        <v>28.2</v>
      </c>
      <c r="X22" s="45">
        <v>28.2</v>
      </c>
      <c r="Y22" s="45">
        <v>28.2</v>
      </c>
      <c r="Z22" s="45">
        <v>28.2</v>
      </c>
      <c r="AA22" s="45">
        <v>28.2</v>
      </c>
      <c r="AB22" s="45">
        <v>28.2</v>
      </c>
      <c r="AC22" s="45">
        <v>32.9</v>
      </c>
      <c r="AD22" s="45">
        <v>32.9</v>
      </c>
      <c r="AE22" s="45">
        <v>28.2</v>
      </c>
      <c r="AF22" s="45">
        <v>28.2</v>
      </c>
      <c r="AG22" s="49">
        <v>28</v>
      </c>
      <c r="AH22" s="47">
        <f t="shared" si="2"/>
        <v>32.9</v>
      </c>
      <c r="AI22" s="48">
        <f t="shared" si="3"/>
        <v>28.2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27</v>
      </c>
      <c r="J23" s="45">
        <v>27</v>
      </c>
      <c r="K23" s="45">
        <v>27</v>
      </c>
      <c r="L23" s="45">
        <v>27</v>
      </c>
      <c r="M23" s="45">
        <v>27</v>
      </c>
      <c r="N23" s="45">
        <v>20</v>
      </c>
      <c r="O23" s="45">
        <v>20</v>
      </c>
      <c r="P23" s="45">
        <v>15</v>
      </c>
      <c r="Q23" s="45">
        <v>15</v>
      </c>
      <c r="R23" s="45">
        <v>15</v>
      </c>
      <c r="S23" s="45">
        <v>24</v>
      </c>
      <c r="T23" s="45">
        <v>24</v>
      </c>
      <c r="U23" s="45">
        <v>24</v>
      </c>
      <c r="V23" s="45">
        <v>24</v>
      </c>
      <c r="W23" s="45">
        <v>7</v>
      </c>
      <c r="X23" s="45">
        <v>7</v>
      </c>
      <c r="Y23" s="45">
        <v>7</v>
      </c>
      <c r="Z23" s="45">
        <v>27</v>
      </c>
      <c r="AA23" s="45">
        <v>27</v>
      </c>
      <c r="AB23" s="45">
        <v>27</v>
      </c>
      <c r="AC23" s="45">
        <v>27</v>
      </c>
      <c r="AD23" s="45">
        <v>0</v>
      </c>
      <c r="AE23" s="45">
        <v>0</v>
      </c>
      <c r="AF23" s="45">
        <v>0</v>
      </c>
      <c r="AG23" s="51">
        <v>30</v>
      </c>
      <c r="AH23" s="47">
        <f t="shared" si="2"/>
        <v>27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26</v>
      </c>
      <c r="C24" s="45">
        <v>26</v>
      </c>
      <c r="D24" s="45">
        <v>26</v>
      </c>
      <c r="E24" s="45">
        <v>26</v>
      </c>
      <c r="F24" s="45">
        <v>26</v>
      </c>
      <c r="G24" s="45">
        <v>24.6</v>
      </c>
      <c r="H24" s="45">
        <v>24.6</v>
      </c>
      <c r="I24" s="45">
        <v>24.6</v>
      </c>
      <c r="J24" s="45">
        <v>24.6</v>
      </c>
      <c r="K24" s="45">
        <v>24.6</v>
      </c>
      <c r="L24" s="45">
        <v>24.6</v>
      </c>
      <c r="M24" s="45">
        <v>24.5</v>
      </c>
      <c r="N24" s="45">
        <v>24.5</v>
      </c>
      <c r="O24" s="45">
        <v>24.5</v>
      </c>
      <c r="P24" s="45">
        <v>24.5</v>
      </c>
      <c r="Q24" s="45">
        <v>24.5</v>
      </c>
      <c r="R24" s="45">
        <v>24.5</v>
      </c>
      <c r="S24" s="45">
        <v>26</v>
      </c>
      <c r="T24" s="45">
        <v>26</v>
      </c>
      <c r="U24" s="45">
        <v>26</v>
      </c>
      <c r="V24" s="45">
        <v>26</v>
      </c>
      <c r="W24" s="45">
        <v>23.7</v>
      </c>
      <c r="X24" s="45">
        <v>23.7</v>
      </c>
      <c r="Y24" s="45">
        <v>23.7</v>
      </c>
      <c r="Z24" s="45">
        <v>23.7</v>
      </c>
      <c r="AA24" s="45">
        <v>23.7</v>
      </c>
      <c r="AB24" s="45">
        <v>23.7</v>
      </c>
      <c r="AC24" s="45">
        <v>26.2</v>
      </c>
      <c r="AD24" s="45">
        <v>26.2</v>
      </c>
      <c r="AE24" s="45">
        <v>24.4</v>
      </c>
      <c r="AF24" s="45">
        <v>24.4</v>
      </c>
      <c r="AG24" s="49">
        <v>25</v>
      </c>
      <c r="AH24" s="47">
        <f t="shared" si="2"/>
        <v>26.2</v>
      </c>
      <c r="AI24" s="48">
        <f t="shared" si="3"/>
        <v>23.7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15</v>
      </c>
      <c r="N27" s="45">
        <v>20</v>
      </c>
      <c r="O27" s="45">
        <v>20</v>
      </c>
      <c r="P27" s="45">
        <v>15</v>
      </c>
      <c r="Q27" s="45">
        <v>15</v>
      </c>
      <c r="R27" s="45">
        <v>15</v>
      </c>
      <c r="S27" s="45">
        <v>20</v>
      </c>
      <c r="T27" s="45">
        <v>20</v>
      </c>
      <c r="U27" s="45">
        <v>20</v>
      </c>
      <c r="V27" s="45">
        <v>20</v>
      </c>
      <c r="W27" s="45">
        <v>6.5</v>
      </c>
      <c r="X27" s="45">
        <v>6.5</v>
      </c>
      <c r="Y27" s="45">
        <v>6.5</v>
      </c>
      <c r="Z27" s="45">
        <v>25</v>
      </c>
      <c r="AA27" s="45">
        <v>25</v>
      </c>
      <c r="AB27" s="45">
        <v>25</v>
      </c>
      <c r="AC27" s="45">
        <v>25</v>
      </c>
      <c r="AD27" s="45">
        <v>25</v>
      </c>
      <c r="AE27" s="45">
        <v>4.5</v>
      </c>
      <c r="AF27" s="45">
        <v>4.5</v>
      </c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24.7</v>
      </c>
      <c r="C28" s="45">
        <v>24.7</v>
      </c>
      <c r="D28" s="45">
        <v>24.7</v>
      </c>
      <c r="E28" s="45">
        <v>24.7</v>
      </c>
      <c r="F28" s="45">
        <v>24.7</v>
      </c>
      <c r="G28" s="45">
        <v>24.7</v>
      </c>
      <c r="H28" s="45">
        <v>24.7</v>
      </c>
      <c r="I28" s="45">
        <v>24.7</v>
      </c>
      <c r="J28" s="45">
        <v>24.7</v>
      </c>
      <c r="K28" s="45">
        <v>24.7</v>
      </c>
      <c r="L28" s="45">
        <v>24.7</v>
      </c>
      <c r="M28" s="45">
        <v>24.8</v>
      </c>
      <c r="N28" s="45">
        <v>24.8</v>
      </c>
      <c r="O28" s="45">
        <v>24.8</v>
      </c>
      <c r="P28" s="45">
        <v>24.8</v>
      </c>
      <c r="Q28" s="45">
        <v>24.8</v>
      </c>
      <c r="R28" s="45">
        <v>24.8</v>
      </c>
      <c r="S28" s="45">
        <v>24.9</v>
      </c>
      <c r="T28" s="45">
        <v>24.9</v>
      </c>
      <c r="U28" s="45">
        <v>24.9</v>
      </c>
      <c r="V28" s="45">
        <v>24.9</v>
      </c>
      <c r="W28" s="45">
        <v>24.8</v>
      </c>
      <c r="X28" s="45">
        <v>24.8</v>
      </c>
      <c r="Y28" s="45">
        <v>24.8</v>
      </c>
      <c r="Z28" s="45">
        <v>24.8</v>
      </c>
      <c r="AA28" s="45">
        <v>24.8</v>
      </c>
      <c r="AB28" s="45">
        <v>24.8</v>
      </c>
      <c r="AC28" s="45">
        <v>24.8</v>
      </c>
      <c r="AD28" s="45">
        <v>24.8</v>
      </c>
      <c r="AE28" s="45">
        <v>24.8</v>
      </c>
      <c r="AF28" s="45">
        <v>24.8</v>
      </c>
      <c r="AG28" s="49">
        <v>23.5</v>
      </c>
      <c r="AH28" s="47">
        <f t="shared" si="2"/>
        <v>24.9</v>
      </c>
      <c r="AI28" s="48">
        <f t="shared" si="3"/>
        <v>24.7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</v>
      </c>
      <c r="C30" s="45">
        <v>7</v>
      </c>
      <c r="D30" s="45">
        <v>7</v>
      </c>
      <c r="E30" s="45">
        <v>7</v>
      </c>
      <c r="F30" s="45">
        <v>7</v>
      </c>
      <c r="G30" s="45">
        <v>7</v>
      </c>
      <c r="H30" s="45">
        <v>7</v>
      </c>
      <c r="I30" s="45">
        <v>7</v>
      </c>
      <c r="J30" s="45">
        <v>7</v>
      </c>
      <c r="K30" s="45">
        <v>7</v>
      </c>
      <c r="L30" s="45">
        <v>7</v>
      </c>
      <c r="M30" s="45">
        <v>7</v>
      </c>
      <c r="N30" s="45">
        <v>7</v>
      </c>
      <c r="O30" s="45">
        <v>7</v>
      </c>
      <c r="P30" s="45">
        <v>7</v>
      </c>
      <c r="Q30" s="45">
        <v>7</v>
      </c>
      <c r="R30" s="45">
        <v>7</v>
      </c>
      <c r="S30" s="45">
        <v>7</v>
      </c>
      <c r="T30" s="45">
        <v>7</v>
      </c>
      <c r="U30" s="45">
        <v>7</v>
      </c>
      <c r="V30" s="45">
        <v>7</v>
      </c>
      <c r="W30" s="45">
        <v>7</v>
      </c>
      <c r="X30" s="45">
        <v>7</v>
      </c>
      <c r="Y30" s="45">
        <v>7</v>
      </c>
      <c r="Z30" s="45">
        <v>7</v>
      </c>
      <c r="AA30" s="45">
        <v>7</v>
      </c>
      <c r="AB30" s="45">
        <v>7</v>
      </c>
      <c r="AC30" s="45">
        <v>7</v>
      </c>
      <c r="AD30" s="45">
        <v>7</v>
      </c>
      <c r="AE30" s="45">
        <v>7</v>
      </c>
      <c r="AF30" s="45">
        <v>7</v>
      </c>
      <c r="AG30" s="49">
        <v>22.1</v>
      </c>
      <c r="AH30" s="47">
        <f t="shared" si="2"/>
        <v>7</v>
      </c>
      <c r="AI30" s="48">
        <f t="shared" si="3"/>
        <v>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21</v>
      </c>
      <c r="C31" s="45">
        <v>21</v>
      </c>
      <c r="D31" s="45">
        <v>21</v>
      </c>
      <c r="E31" s="45">
        <v>21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21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21</v>
      </c>
      <c r="D32" s="45">
        <v>21</v>
      </c>
      <c r="E32" s="45">
        <v>21</v>
      </c>
      <c r="F32" s="45">
        <v>21</v>
      </c>
      <c r="G32" s="45">
        <v>21</v>
      </c>
      <c r="H32" s="45">
        <v>21</v>
      </c>
      <c r="I32" s="45">
        <v>21</v>
      </c>
      <c r="J32" s="45">
        <v>21</v>
      </c>
      <c r="K32" s="45">
        <v>21</v>
      </c>
      <c r="L32" s="45">
        <v>21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10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10</v>
      </c>
      <c r="J33" s="45">
        <v>10</v>
      </c>
      <c r="K33" s="45">
        <v>10</v>
      </c>
      <c r="L33" s="45">
        <v>10</v>
      </c>
      <c r="M33" s="45">
        <v>10</v>
      </c>
      <c r="N33" s="45">
        <v>4</v>
      </c>
      <c r="O33" s="45">
        <v>4</v>
      </c>
      <c r="P33" s="45">
        <v>4</v>
      </c>
      <c r="Q33" s="45">
        <v>4</v>
      </c>
      <c r="R33" s="45">
        <v>4</v>
      </c>
      <c r="S33" s="45">
        <v>4</v>
      </c>
      <c r="T33" s="45">
        <v>4</v>
      </c>
      <c r="U33" s="45">
        <v>4</v>
      </c>
      <c r="V33" s="45">
        <v>4</v>
      </c>
      <c r="W33" s="45">
        <v>4</v>
      </c>
      <c r="X33" s="45">
        <v>4</v>
      </c>
      <c r="Y33" s="45">
        <v>4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5</v>
      </c>
      <c r="AF33" s="45">
        <v>5</v>
      </c>
      <c r="AG33" s="49">
        <v>20</v>
      </c>
      <c r="AH33" s="47">
        <f t="shared" si="2"/>
        <v>10</v>
      </c>
      <c r="AI33" s="48">
        <f t="shared" si="3"/>
        <v>4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4</v>
      </c>
      <c r="C34" s="45">
        <v>9</v>
      </c>
      <c r="D34" s="45">
        <v>4</v>
      </c>
      <c r="E34" s="45">
        <v>4</v>
      </c>
      <c r="F34" s="45">
        <v>4</v>
      </c>
      <c r="G34" s="45">
        <v>5</v>
      </c>
      <c r="H34" s="45">
        <v>5</v>
      </c>
      <c r="I34" s="45">
        <v>5</v>
      </c>
      <c r="J34" s="45">
        <v>5</v>
      </c>
      <c r="K34" s="45">
        <v>5</v>
      </c>
      <c r="L34" s="45">
        <v>5</v>
      </c>
      <c r="M34" s="45">
        <v>5</v>
      </c>
      <c r="N34" s="45">
        <v>5</v>
      </c>
      <c r="O34" s="45">
        <v>5</v>
      </c>
      <c r="P34" s="45">
        <v>5</v>
      </c>
      <c r="Q34" s="45">
        <v>5</v>
      </c>
      <c r="R34" s="45">
        <v>5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5</v>
      </c>
      <c r="Y34" s="45">
        <v>5</v>
      </c>
      <c r="Z34" s="45">
        <v>5</v>
      </c>
      <c r="AA34" s="45">
        <v>5</v>
      </c>
      <c r="AB34" s="45">
        <v>5</v>
      </c>
      <c r="AC34" s="45">
        <v>5</v>
      </c>
      <c r="AD34" s="45">
        <v>5</v>
      </c>
      <c r="AE34" s="45">
        <v>3.5</v>
      </c>
      <c r="AF34" s="45">
        <v>3.5</v>
      </c>
      <c r="AG34" s="49">
        <v>18</v>
      </c>
      <c r="AH34" s="47">
        <f t="shared" si="2"/>
        <v>9</v>
      </c>
      <c r="AI34" s="48">
        <f t="shared" si="3"/>
        <v>3.5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15.3</v>
      </c>
      <c r="C35" s="45">
        <v>15.3</v>
      </c>
      <c r="D35" s="45">
        <v>15.3</v>
      </c>
      <c r="E35" s="45">
        <v>15.3</v>
      </c>
      <c r="F35" s="45">
        <v>15.3</v>
      </c>
      <c r="G35" s="45">
        <v>15.3</v>
      </c>
      <c r="H35" s="45">
        <v>15.3</v>
      </c>
      <c r="I35" s="45">
        <v>15.3</v>
      </c>
      <c r="J35" s="45">
        <v>15.3</v>
      </c>
      <c r="K35" s="45">
        <v>15.3</v>
      </c>
      <c r="L35" s="45">
        <v>15.3</v>
      </c>
      <c r="M35" s="45">
        <v>15.3</v>
      </c>
      <c r="N35" s="45">
        <v>15.3</v>
      </c>
      <c r="O35" s="45">
        <v>15.3</v>
      </c>
      <c r="P35" s="45">
        <v>15.3</v>
      </c>
      <c r="Q35" s="45">
        <v>15.3</v>
      </c>
      <c r="R35" s="45">
        <v>15.3</v>
      </c>
      <c r="S35" s="45">
        <v>15.3</v>
      </c>
      <c r="T35" s="45">
        <v>15.3</v>
      </c>
      <c r="U35" s="45">
        <v>15.3</v>
      </c>
      <c r="V35" s="45">
        <v>15.3</v>
      </c>
      <c r="W35" s="45">
        <v>15.3</v>
      </c>
      <c r="X35" s="45">
        <v>15.3</v>
      </c>
      <c r="Y35" s="45">
        <v>15.3</v>
      </c>
      <c r="Z35" s="45">
        <v>15.3</v>
      </c>
      <c r="AA35" s="45">
        <v>15.3</v>
      </c>
      <c r="AB35" s="45">
        <v>15.3</v>
      </c>
      <c r="AC35" s="45">
        <v>15.3</v>
      </c>
      <c r="AD35" s="45">
        <v>15.3</v>
      </c>
      <c r="AE35" s="45">
        <v>15.3</v>
      </c>
      <c r="AF35" s="45">
        <v>15.3</v>
      </c>
      <c r="AG35" s="49">
        <v>14.9</v>
      </c>
      <c r="AH35" s="47">
        <f t="shared" si="2"/>
        <v>15.3</v>
      </c>
      <c r="AI35" s="48">
        <f t="shared" si="3"/>
        <v>15.3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12.5</v>
      </c>
      <c r="C38" s="45">
        <v>12.5</v>
      </c>
      <c r="D38" s="45">
        <v>12.5</v>
      </c>
      <c r="E38" s="45">
        <v>12.5</v>
      </c>
      <c r="F38" s="45">
        <v>12.5</v>
      </c>
      <c r="G38" s="45">
        <v>12.5</v>
      </c>
      <c r="H38" s="45">
        <v>12.5</v>
      </c>
      <c r="I38" s="45">
        <v>12.5</v>
      </c>
      <c r="J38" s="45">
        <v>12.5</v>
      </c>
      <c r="K38" s="45">
        <v>12.5</v>
      </c>
      <c r="L38" s="45">
        <v>12.5</v>
      </c>
      <c r="M38" s="45">
        <v>12.5</v>
      </c>
      <c r="N38" s="45">
        <v>12.5</v>
      </c>
      <c r="O38" s="45">
        <v>12.5</v>
      </c>
      <c r="P38" s="45">
        <v>12.5</v>
      </c>
      <c r="Q38" s="45">
        <v>12.5</v>
      </c>
      <c r="R38" s="45">
        <v>12.5</v>
      </c>
      <c r="S38" s="45">
        <v>12.5</v>
      </c>
      <c r="T38" s="45">
        <v>12.5</v>
      </c>
      <c r="U38" s="45">
        <v>12.5</v>
      </c>
      <c r="V38" s="45">
        <v>12.5</v>
      </c>
      <c r="W38" s="45">
        <v>12.5</v>
      </c>
      <c r="X38" s="45">
        <v>12.5</v>
      </c>
      <c r="Y38" s="45">
        <v>12.5</v>
      </c>
      <c r="Z38" s="45">
        <v>12.5</v>
      </c>
      <c r="AA38" s="45">
        <v>12.5</v>
      </c>
      <c r="AB38" s="45">
        <v>12.5</v>
      </c>
      <c r="AC38" s="45">
        <v>12.5</v>
      </c>
      <c r="AD38" s="45">
        <v>12.5</v>
      </c>
      <c r="AE38" s="45">
        <v>12.5</v>
      </c>
      <c r="AF38" s="45">
        <v>12.5</v>
      </c>
      <c r="AG38" s="49">
        <v>13</v>
      </c>
      <c r="AH38" s="47">
        <f t="shared" si="2"/>
        <v>12.5</v>
      </c>
      <c r="AI38" s="48">
        <f t="shared" si="3"/>
        <v>12.5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6</v>
      </c>
      <c r="P39" s="45">
        <v>4.5999999999999996</v>
      </c>
      <c r="Q39" s="45">
        <v>4.5999999999999996</v>
      </c>
      <c r="R39" s="45">
        <v>4.5999999999999996</v>
      </c>
      <c r="S39" s="45">
        <v>4.5999999999999996</v>
      </c>
      <c r="T39" s="45">
        <v>4.5999999999999996</v>
      </c>
      <c r="U39" s="45">
        <v>4.5999999999999996</v>
      </c>
      <c r="V39" s="45">
        <v>4.5999999999999996</v>
      </c>
      <c r="W39" s="45">
        <v>3</v>
      </c>
      <c r="X39" s="45">
        <v>3</v>
      </c>
      <c r="Y39" s="45">
        <v>3</v>
      </c>
      <c r="Z39" s="45">
        <v>3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6</v>
      </c>
      <c r="AG39" s="49">
        <v>12</v>
      </c>
      <c r="AH39" s="47">
        <f t="shared" si="2"/>
        <v>6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2.2000000000000002</v>
      </c>
      <c r="I40" s="45">
        <v>2.2000000000000002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3.7</v>
      </c>
      <c r="AB40" s="45">
        <v>3.7</v>
      </c>
      <c r="AC40" s="45">
        <v>3.7</v>
      </c>
      <c r="AD40" s="45">
        <v>3.7</v>
      </c>
      <c r="AE40" s="45">
        <v>3.7</v>
      </c>
      <c r="AF40" s="45">
        <v>3.7</v>
      </c>
      <c r="AG40" s="49">
        <v>12</v>
      </c>
      <c r="AH40" s="47">
        <f t="shared" si="2"/>
        <v>3.7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9">
        <v>12</v>
      </c>
      <c r="AH41" s="47">
        <f t="shared" si="2"/>
        <v>0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0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52">
        <v>22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12</v>
      </c>
      <c r="C43" s="45">
        <v>12</v>
      </c>
      <c r="D43" s="45">
        <v>12</v>
      </c>
      <c r="E43" s="45">
        <v>12</v>
      </c>
      <c r="F43" s="45">
        <v>12</v>
      </c>
      <c r="G43" s="45">
        <v>12</v>
      </c>
      <c r="H43" s="45">
        <v>12</v>
      </c>
      <c r="I43" s="45">
        <v>12</v>
      </c>
      <c r="J43" s="45">
        <v>12</v>
      </c>
      <c r="K43" s="45">
        <v>12</v>
      </c>
      <c r="L43" s="45">
        <v>12</v>
      </c>
      <c r="M43" s="45">
        <v>12</v>
      </c>
      <c r="N43" s="45">
        <v>12</v>
      </c>
      <c r="O43" s="45">
        <v>12</v>
      </c>
      <c r="P43" s="45">
        <v>12</v>
      </c>
      <c r="Q43" s="45">
        <v>12</v>
      </c>
      <c r="R43" s="45">
        <v>12</v>
      </c>
      <c r="S43" s="45">
        <v>12</v>
      </c>
      <c r="T43" s="45">
        <v>12</v>
      </c>
      <c r="U43" s="45">
        <v>12</v>
      </c>
      <c r="V43" s="45">
        <v>12</v>
      </c>
      <c r="W43" s="45">
        <v>12</v>
      </c>
      <c r="X43" s="45">
        <v>12</v>
      </c>
      <c r="Y43" s="45">
        <v>12</v>
      </c>
      <c r="Z43" s="45">
        <v>12</v>
      </c>
      <c r="AA43" s="45">
        <v>12</v>
      </c>
      <c r="AB43" s="45">
        <v>12</v>
      </c>
      <c r="AC43" s="45">
        <v>12</v>
      </c>
      <c r="AD43" s="45">
        <v>12</v>
      </c>
      <c r="AE43" s="45">
        <v>12</v>
      </c>
      <c r="AF43" s="45">
        <v>12</v>
      </c>
      <c r="AG43" s="51">
        <v>11.88</v>
      </c>
      <c r="AH43" s="47">
        <f t="shared" si="2"/>
        <v>12</v>
      </c>
      <c r="AI43" s="48">
        <f t="shared" si="3"/>
        <v>12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</v>
      </c>
      <c r="C44" s="45">
        <v>10</v>
      </c>
      <c r="D44" s="45">
        <v>10</v>
      </c>
      <c r="E44" s="45">
        <v>10</v>
      </c>
      <c r="F44" s="45">
        <v>10</v>
      </c>
      <c r="G44" s="45">
        <v>10</v>
      </c>
      <c r="H44" s="45">
        <v>10</v>
      </c>
      <c r="I44" s="45">
        <v>10</v>
      </c>
      <c r="J44" s="45">
        <v>10</v>
      </c>
      <c r="K44" s="45">
        <v>10</v>
      </c>
      <c r="L44" s="45">
        <v>10</v>
      </c>
      <c r="M44" s="45">
        <v>10</v>
      </c>
      <c r="N44" s="45">
        <v>10</v>
      </c>
      <c r="O44" s="45">
        <v>10</v>
      </c>
      <c r="P44" s="45">
        <v>10</v>
      </c>
      <c r="Q44" s="45">
        <v>10</v>
      </c>
      <c r="R44" s="45">
        <v>10</v>
      </c>
      <c r="S44" s="45">
        <v>10</v>
      </c>
      <c r="T44" s="45">
        <v>10</v>
      </c>
      <c r="U44" s="45">
        <v>10</v>
      </c>
      <c r="V44" s="45">
        <v>10</v>
      </c>
      <c r="W44" s="45">
        <v>10</v>
      </c>
      <c r="X44" s="45">
        <v>10</v>
      </c>
      <c r="Y44" s="45">
        <v>10</v>
      </c>
      <c r="Z44" s="45">
        <v>10</v>
      </c>
      <c r="AA44" s="45">
        <v>10</v>
      </c>
      <c r="AB44" s="45">
        <v>10</v>
      </c>
      <c r="AC44" s="45">
        <v>10</v>
      </c>
      <c r="AD44" s="45">
        <v>10</v>
      </c>
      <c r="AE44" s="45">
        <v>10</v>
      </c>
      <c r="AF44" s="45">
        <v>10</v>
      </c>
      <c r="AG44" s="54">
        <v>11</v>
      </c>
      <c r="AH44" s="47">
        <f t="shared" si="2"/>
        <v>10</v>
      </c>
      <c r="AI44" s="48">
        <f t="shared" si="3"/>
        <v>10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9</v>
      </c>
      <c r="C46" s="45">
        <v>9</v>
      </c>
      <c r="D46" s="45">
        <v>9</v>
      </c>
      <c r="E46" s="45">
        <v>9</v>
      </c>
      <c r="F46" s="45">
        <v>9</v>
      </c>
      <c r="G46" s="45">
        <v>9</v>
      </c>
      <c r="H46" s="45">
        <v>9</v>
      </c>
      <c r="I46" s="45">
        <v>9</v>
      </c>
      <c r="J46" s="45">
        <v>9</v>
      </c>
      <c r="K46" s="45">
        <v>9</v>
      </c>
      <c r="L46" s="45">
        <v>9</v>
      </c>
      <c r="M46" s="45">
        <v>9</v>
      </c>
      <c r="N46" s="45">
        <v>9</v>
      </c>
      <c r="O46" s="45">
        <v>9</v>
      </c>
      <c r="P46" s="45">
        <v>9</v>
      </c>
      <c r="Q46" s="45">
        <v>9</v>
      </c>
      <c r="R46" s="45">
        <v>9</v>
      </c>
      <c r="S46" s="45">
        <v>9</v>
      </c>
      <c r="T46" s="45">
        <v>9</v>
      </c>
      <c r="U46" s="45">
        <v>9</v>
      </c>
      <c r="V46" s="45">
        <v>9</v>
      </c>
      <c r="W46" s="45">
        <v>9</v>
      </c>
      <c r="X46" s="45">
        <v>9</v>
      </c>
      <c r="Y46" s="45">
        <v>9</v>
      </c>
      <c r="Z46" s="45">
        <v>9</v>
      </c>
      <c r="AA46" s="45">
        <v>9</v>
      </c>
      <c r="AB46" s="45">
        <v>9</v>
      </c>
      <c r="AC46" s="45">
        <v>9</v>
      </c>
      <c r="AD46" s="45">
        <v>9</v>
      </c>
      <c r="AE46" s="45">
        <v>9</v>
      </c>
      <c r="AF46" s="45">
        <v>9</v>
      </c>
      <c r="AG46" s="54">
        <v>10</v>
      </c>
      <c r="AH46" s="47">
        <f t="shared" si="2"/>
        <v>9</v>
      </c>
      <c r="AI46" s="48">
        <f t="shared" si="3"/>
        <v>9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370</v>
      </c>
      <c r="C48" s="56">
        <v>370</v>
      </c>
      <c r="D48" s="56">
        <v>370</v>
      </c>
      <c r="E48" s="56">
        <v>370</v>
      </c>
      <c r="F48" s="56">
        <v>370</v>
      </c>
      <c r="G48" s="56">
        <v>380</v>
      </c>
      <c r="H48" s="56">
        <v>380</v>
      </c>
      <c r="I48" s="56">
        <v>400</v>
      </c>
      <c r="J48" s="56">
        <v>400</v>
      </c>
      <c r="K48" s="56">
        <v>400</v>
      </c>
      <c r="L48" s="56">
        <v>400</v>
      </c>
      <c r="M48" s="56">
        <v>400</v>
      </c>
      <c r="N48" s="56">
        <v>400</v>
      </c>
      <c r="O48" s="56">
        <v>400</v>
      </c>
      <c r="P48" s="56">
        <v>400</v>
      </c>
      <c r="Q48" s="56">
        <v>400</v>
      </c>
      <c r="R48" s="56">
        <v>400</v>
      </c>
      <c r="S48" s="56">
        <v>400</v>
      </c>
      <c r="T48" s="56">
        <v>400</v>
      </c>
      <c r="U48" s="56">
        <v>400</v>
      </c>
      <c r="V48" s="56">
        <v>400</v>
      </c>
      <c r="W48" s="56">
        <v>400</v>
      </c>
      <c r="X48" s="56">
        <v>400</v>
      </c>
      <c r="Y48" s="56">
        <v>400</v>
      </c>
      <c r="Z48" s="56">
        <v>400</v>
      </c>
      <c r="AA48" s="56">
        <v>410</v>
      </c>
      <c r="AB48" s="56">
        <v>410</v>
      </c>
      <c r="AC48" s="56">
        <v>410</v>
      </c>
      <c r="AD48" s="56">
        <v>410</v>
      </c>
      <c r="AE48" s="56">
        <v>410</v>
      </c>
      <c r="AF48" s="56">
        <v>410</v>
      </c>
      <c r="AG48" s="54">
        <v>85</v>
      </c>
      <c r="AH48" s="47">
        <f t="shared" si="2"/>
        <v>410</v>
      </c>
      <c r="AI48" s="48">
        <f t="shared" si="3"/>
        <v>370</v>
      </c>
      <c r="AK48" s="50"/>
    </row>
    <row r="49" spans="1:41" ht="15.75" thickBot="1" x14ac:dyDescent="0.3">
      <c r="A49" s="57" t="s">
        <v>57</v>
      </c>
      <c r="B49" s="56">
        <f>73.8+24.9</f>
        <v>98.699999999999989</v>
      </c>
      <c r="C49" s="56">
        <f>25.9+77.4</f>
        <v>103.30000000000001</v>
      </c>
      <c r="D49" s="56">
        <f t="shared" ref="D49:K49" si="4">25.9+77.4</f>
        <v>103.30000000000001</v>
      </c>
      <c r="E49" s="56">
        <f t="shared" si="4"/>
        <v>103.30000000000001</v>
      </c>
      <c r="F49" s="56">
        <f t="shared" si="4"/>
        <v>103.30000000000001</v>
      </c>
      <c r="G49" s="56">
        <f t="shared" si="4"/>
        <v>103.30000000000001</v>
      </c>
      <c r="H49" s="56">
        <v>100.7</v>
      </c>
      <c r="I49" s="56">
        <f t="shared" si="4"/>
        <v>103.30000000000001</v>
      </c>
      <c r="J49" s="56">
        <f t="shared" si="4"/>
        <v>103.30000000000001</v>
      </c>
      <c r="K49" s="56">
        <f t="shared" si="4"/>
        <v>103.30000000000001</v>
      </c>
      <c r="L49" s="56">
        <v>100</v>
      </c>
      <c r="M49" s="58">
        <v>95.5</v>
      </c>
      <c r="N49" s="58">
        <v>95.5</v>
      </c>
      <c r="O49" s="58">
        <v>95.5</v>
      </c>
      <c r="P49" s="58">
        <v>95.5</v>
      </c>
      <c r="Q49" s="58">
        <v>95.5</v>
      </c>
      <c r="R49" s="58">
        <v>95.5</v>
      </c>
      <c r="S49" s="58">
        <v>103.4</v>
      </c>
      <c r="T49" s="58">
        <v>98</v>
      </c>
      <c r="U49" s="58">
        <v>106</v>
      </c>
      <c r="V49" s="58">
        <v>106.7</v>
      </c>
      <c r="W49" s="58">
        <v>98</v>
      </c>
      <c r="X49" s="58">
        <v>106.8</v>
      </c>
      <c r="Y49" s="58">
        <v>106.8</v>
      </c>
      <c r="Z49" s="58">
        <v>106.8</v>
      </c>
      <c r="AA49" s="56">
        <v>68</v>
      </c>
      <c r="AB49" s="56">
        <v>68</v>
      </c>
      <c r="AC49" s="56">
        <v>95</v>
      </c>
      <c r="AD49" s="56">
        <v>98</v>
      </c>
      <c r="AE49" s="56">
        <v>106.3</v>
      </c>
      <c r="AF49" s="56">
        <v>107</v>
      </c>
      <c r="AG49" s="54">
        <v>240</v>
      </c>
      <c r="AH49" s="47">
        <f t="shared" si="2"/>
        <v>107</v>
      </c>
      <c r="AI49" s="48">
        <f t="shared" si="3"/>
        <v>68</v>
      </c>
      <c r="AK49" s="50"/>
    </row>
    <row r="50" spans="1:41" ht="15.75" thickBot="1" x14ac:dyDescent="0.3">
      <c r="A50" s="59" t="s">
        <v>58</v>
      </c>
      <c r="B50" s="60">
        <f t="shared" ref="B50:C50" si="5">SUM(B11:B48)</f>
        <v>952.9</v>
      </c>
      <c r="C50" s="60">
        <f t="shared" si="5"/>
        <v>1039</v>
      </c>
      <c r="D50" s="60">
        <f t="shared" ref="D50:AF50" si="6">SUM(D11:D48)</f>
        <v>1028.5999999999999</v>
      </c>
      <c r="E50" s="60">
        <f t="shared" si="6"/>
        <v>1033.7</v>
      </c>
      <c r="F50" s="60">
        <f t="shared" si="6"/>
        <v>1044</v>
      </c>
      <c r="G50" s="60">
        <f t="shared" si="6"/>
        <v>1048.5999999999999</v>
      </c>
      <c r="H50" s="60">
        <f t="shared" si="6"/>
        <v>1055.8000000000002</v>
      </c>
      <c r="I50" s="60">
        <f t="shared" si="6"/>
        <v>1063.8000000000002</v>
      </c>
      <c r="J50" s="60">
        <f t="shared" si="6"/>
        <v>1067.5999999999999</v>
      </c>
      <c r="K50" s="60">
        <f t="shared" si="6"/>
        <v>1067.5999999999999</v>
      </c>
      <c r="L50" s="60">
        <f t="shared" si="6"/>
        <v>1111.6000000000001</v>
      </c>
      <c r="M50" s="60">
        <f t="shared" si="6"/>
        <v>1127.69</v>
      </c>
      <c r="N50" s="60">
        <f t="shared" si="6"/>
        <v>1119.69</v>
      </c>
      <c r="O50" s="60">
        <f t="shared" ref="O50:P50" si="7">SUM(O11:O48)</f>
        <v>1126.69</v>
      </c>
      <c r="P50" s="60">
        <f t="shared" si="7"/>
        <v>1098.3</v>
      </c>
      <c r="Q50" s="60">
        <f t="shared" si="6"/>
        <v>1098.3</v>
      </c>
      <c r="R50" s="60">
        <f t="shared" si="6"/>
        <v>1098.3</v>
      </c>
      <c r="S50" s="60">
        <f t="shared" si="6"/>
        <v>1078.9000000000001</v>
      </c>
      <c r="T50" s="60">
        <f t="shared" si="6"/>
        <v>1082.9000000000001</v>
      </c>
      <c r="U50" s="60">
        <f t="shared" si="6"/>
        <v>1126.8999999999999</v>
      </c>
      <c r="V50" s="60">
        <f t="shared" si="6"/>
        <v>1122.0999999999999</v>
      </c>
      <c r="W50" s="60">
        <f t="shared" si="6"/>
        <v>1081.8999999999999</v>
      </c>
      <c r="X50" s="60">
        <f t="shared" si="6"/>
        <v>1081.8999999999999</v>
      </c>
      <c r="Y50" s="60">
        <f t="shared" si="6"/>
        <v>1081.8999999999999</v>
      </c>
      <c r="Z50" s="60">
        <f t="shared" si="6"/>
        <v>1131.6999999999998</v>
      </c>
      <c r="AA50" s="60">
        <v>1131.6999999999998</v>
      </c>
      <c r="AB50" s="60">
        <f t="shared" si="6"/>
        <v>1109.3</v>
      </c>
      <c r="AC50" s="60">
        <f t="shared" si="6"/>
        <v>1125.5999999999999</v>
      </c>
      <c r="AD50" s="60">
        <f t="shared" si="6"/>
        <v>1096.5999999999999</v>
      </c>
      <c r="AE50" s="60">
        <f t="shared" si="6"/>
        <v>1074.5999999999999</v>
      </c>
      <c r="AF50" s="60">
        <f t="shared" si="6"/>
        <v>1074.5999999999999</v>
      </c>
      <c r="AG50" s="61">
        <f>SUM(AG13:AG48)</f>
        <v>922.14</v>
      </c>
      <c r="AH50" s="47">
        <f t="shared" si="2"/>
        <v>1131.6999999999998</v>
      </c>
      <c r="AI50" s="48">
        <f t="shared" si="3"/>
        <v>952.9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60</v>
      </c>
      <c r="C52" s="64">
        <v>60</v>
      </c>
      <c r="D52" s="64">
        <v>60</v>
      </c>
      <c r="E52" s="64">
        <v>60</v>
      </c>
      <c r="F52" s="64">
        <v>60</v>
      </c>
      <c r="G52" s="64">
        <v>60</v>
      </c>
      <c r="H52" s="64">
        <v>60</v>
      </c>
      <c r="I52" s="64">
        <v>60</v>
      </c>
      <c r="J52" s="64">
        <v>60</v>
      </c>
      <c r="K52" s="64">
        <v>60</v>
      </c>
      <c r="L52" s="64">
        <v>60</v>
      </c>
      <c r="M52" s="64">
        <v>60</v>
      </c>
      <c r="N52" s="64">
        <v>60</v>
      </c>
      <c r="O52" s="64">
        <v>60</v>
      </c>
      <c r="P52" s="64">
        <v>60</v>
      </c>
      <c r="Q52" s="64">
        <v>60</v>
      </c>
      <c r="R52" s="64">
        <v>60</v>
      </c>
      <c r="S52" s="64">
        <v>60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60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10.3</v>
      </c>
      <c r="C53" s="66">
        <v>10.199999999999999</v>
      </c>
      <c r="D53" s="66">
        <v>10.199999999999999</v>
      </c>
      <c r="E53" s="66">
        <v>18</v>
      </c>
      <c r="F53" s="66">
        <v>18</v>
      </c>
      <c r="G53" s="66">
        <v>18</v>
      </c>
      <c r="H53" s="66">
        <v>18.100000000000001</v>
      </c>
      <c r="I53" s="66">
        <v>18.100000000000001</v>
      </c>
      <c r="J53" s="66">
        <v>18.100000000000001</v>
      </c>
      <c r="K53" s="66">
        <v>18.100000000000001</v>
      </c>
      <c r="L53" s="66">
        <v>18.100000000000001</v>
      </c>
      <c r="M53" s="66">
        <v>18.100000000000001</v>
      </c>
      <c r="N53" s="66">
        <v>18.100000000000001</v>
      </c>
      <c r="O53" s="66">
        <v>18.100000000000001</v>
      </c>
      <c r="P53" s="66">
        <v>18.100000000000001</v>
      </c>
      <c r="Q53" s="66">
        <v>18.100000000000001</v>
      </c>
      <c r="R53" s="66">
        <v>18.100000000000001</v>
      </c>
      <c r="S53" s="66">
        <v>18</v>
      </c>
      <c r="T53" s="66">
        <v>21</v>
      </c>
      <c r="U53" s="66">
        <v>21</v>
      </c>
      <c r="V53" s="66">
        <v>21</v>
      </c>
      <c r="W53" s="66">
        <v>20.5</v>
      </c>
      <c r="X53" s="66">
        <v>20.5</v>
      </c>
      <c r="Y53" s="66">
        <v>20.5</v>
      </c>
      <c r="Z53" s="66">
        <v>20.5</v>
      </c>
      <c r="AA53" s="66">
        <v>20.5</v>
      </c>
      <c r="AB53" s="66">
        <v>20.5</v>
      </c>
      <c r="AC53" s="66">
        <v>20.5</v>
      </c>
      <c r="AD53" s="66">
        <v>20.5</v>
      </c>
      <c r="AE53" s="66">
        <v>20.5</v>
      </c>
      <c r="AF53" s="66">
        <v>20.5</v>
      </c>
      <c r="AG53" s="67">
        <v>22.1</v>
      </c>
      <c r="AH53" s="47">
        <f t="shared" si="2"/>
        <v>21</v>
      </c>
      <c r="AI53" s="48">
        <f t="shared" si="3"/>
        <v>10.199999999999999</v>
      </c>
      <c r="AK53" s="50"/>
    </row>
    <row r="54" spans="1:41" ht="15.75" thickBot="1" x14ac:dyDescent="0.3">
      <c r="A54" s="68" t="s">
        <v>62</v>
      </c>
      <c r="B54" s="60">
        <f t="shared" ref="B54:C54" si="8">SUM(B51:B53)</f>
        <v>526.29999999999995</v>
      </c>
      <c r="C54" s="60">
        <f t="shared" si="8"/>
        <v>526.20000000000005</v>
      </c>
      <c r="D54" s="60">
        <f t="shared" ref="D54:AG54" si="9">SUM(D51:D53)</f>
        <v>526.20000000000005</v>
      </c>
      <c r="E54" s="60">
        <f t="shared" si="9"/>
        <v>534</v>
      </c>
      <c r="F54" s="60">
        <f t="shared" si="9"/>
        <v>534</v>
      </c>
      <c r="G54" s="60">
        <f t="shared" si="9"/>
        <v>534</v>
      </c>
      <c r="H54" s="60">
        <f t="shared" si="9"/>
        <v>534.1</v>
      </c>
      <c r="I54" s="60">
        <f t="shared" si="9"/>
        <v>534.1</v>
      </c>
      <c r="J54" s="60">
        <f t="shared" si="9"/>
        <v>534.1</v>
      </c>
      <c r="K54" s="60">
        <f t="shared" si="9"/>
        <v>534.1</v>
      </c>
      <c r="L54" s="60">
        <f t="shared" si="9"/>
        <v>534.1</v>
      </c>
      <c r="M54" s="60">
        <f t="shared" si="9"/>
        <v>534.1</v>
      </c>
      <c r="N54" s="60">
        <f t="shared" si="9"/>
        <v>534.1</v>
      </c>
      <c r="O54" s="60">
        <f t="shared" ref="O54:P54" si="10">SUM(O51:O53)</f>
        <v>534.1</v>
      </c>
      <c r="P54" s="60">
        <f t="shared" si="10"/>
        <v>534.1</v>
      </c>
      <c r="Q54" s="60">
        <f t="shared" si="9"/>
        <v>534.1</v>
      </c>
      <c r="R54" s="60">
        <f t="shared" si="9"/>
        <v>534.1</v>
      </c>
      <c r="S54" s="60">
        <f t="shared" si="9"/>
        <v>534</v>
      </c>
      <c r="T54" s="60">
        <f t="shared" si="9"/>
        <v>537</v>
      </c>
      <c r="U54" s="60">
        <f t="shared" si="9"/>
        <v>537</v>
      </c>
      <c r="V54" s="60">
        <f t="shared" si="9"/>
        <v>537</v>
      </c>
      <c r="W54" s="60">
        <f t="shared" si="9"/>
        <v>536.5</v>
      </c>
      <c r="X54" s="60">
        <f t="shared" si="9"/>
        <v>536.5</v>
      </c>
      <c r="Y54" s="60">
        <f t="shared" si="9"/>
        <v>536.5</v>
      </c>
      <c r="Z54" s="60">
        <f t="shared" si="9"/>
        <v>536.5</v>
      </c>
      <c r="AA54" s="60">
        <v>536.5</v>
      </c>
      <c r="AB54" s="60">
        <f t="shared" si="9"/>
        <v>536.5</v>
      </c>
      <c r="AC54" s="60">
        <f t="shared" si="9"/>
        <v>536.5</v>
      </c>
      <c r="AD54" s="60">
        <f t="shared" si="9"/>
        <v>536.5</v>
      </c>
      <c r="AE54" s="60">
        <f t="shared" si="9"/>
        <v>536.5</v>
      </c>
      <c r="AF54" s="60">
        <f t="shared" si="9"/>
        <v>531.5</v>
      </c>
      <c r="AG54" s="61">
        <f t="shared" si="9"/>
        <v>538.1</v>
      </c>
      <c r="AH54" s="47">
        <f t="shared" si="2"/>
        <v>537</v>
      </c>
      <c r="AI54" s="48">
        <f t="shared" si="3"/>
        <v>526.20000000000005</v>
      </c>
      <c r="AK54" s="50"/>
    </row>
    <row r="55" spans="1:41" x14ac:dyDescent="0.25">
      <c r="A55" s="44" t="s">
        <v>63</v>
      </c>
      <c r="B55" s="45">
        <v>133.1</v>
      </c>
      <c r="C55" s="45">
        <v>0</v>
      </c>
      <c r="D55" s="45">
        <v>70.8</v>
      </c>
      <c r="E55" s="45">
        <v>70.8</v>
      </c>
      <c r="F55" s="45">
        <v>70.8</v>
      </c>
      <c r="G55" s="45">
        <v>93.7</v>
      </c>
      <c r="H55" s="45">
        <v>130.9</v>
      </c>
      <c r="I55" s="45">
        <v>131</v>
      </c>
      <c r="J55" s="45">
        <v>131</v>
      </c>
      <c r="K55" s="45">
        <v>131</v>
      </c>
      <c r="L55" s="45">
        <v>131</v>
      </c>
      <c r="M55" s="45">
        <v>129.69999999999999</v>
      </c>
      <c r="N55" s="45">
        <v>129.69999999999999</v>
      </c>
      <c r="O55" s="45">
        <v>129.69999999999999</v>
      </c>
      <c r="P55" s="45">
        <v>126.1</v>
      </c>
      <c r="Q55" s="45">
        <v>131</v>
      </c>
      <c r="R55" s="45">
        <v>131</v>
      </c>
      <c r="S55" s="45">
        <v>131.69999999999999</v>
      </c>
      <c r="T55" s="45">
        <v>131.69999999999999</v>
      </c>
      <c r="U55" s="45">
        <v>131.69999999999999</v>
      </c>
      <c r="V55" s="45">
        <v>132.19999999999999</v>
      </c>
      <c r="W55" s="45">
        <v>132.19999999999999</v>
      </c>
      <c r="X55" s="45">
        <v>132.19999999999999</v>
      </c>
      <c r="Y55" s="45">
        <v>132.19999999999999</v>
      </c>
      <c r="Z55" s="45">
        <v>132.19999999999999</v>
      </c>
      <c r="AA55" s="45">
        <v>132.19999999999999</v>
      </c>
      <c r="AB55" s="45">
        <v>132.19999999999999</v>
      </c>
      <c r="AC55" s="45">
        <v>132.19999999999999</v>
      </c>
      <c r="AD55" s="45">
        <v>132.19999999999999</v>
      </c>
      <c r="AE55" s="45">
        <v>132.19999999999999</v>
      </c>
      <c r="AF55" s="45">
        <v>132.19999999999999</v>
      </c>
      <c r="AG55" s="51">
        <v>144</v>
      </c>
      <c r="AH55" s="47">
        <f t="shared" si="2"/>
        <v>133.1</v>
      </c>
      <c r="AI55" s="48">
        <f t="shared" si="3"/>
        <v>0</v>
      </c>
      <c r="AK55" s="50"/>
    </row>
    <row r="56" spans="1:41" x14ac:dyDescent="0.25">
      <c r="A56" s="53" t="s">
        <v>64</v>
      </c>
      <c r="B56" s="45">
        <v>34.799999999999997</v>
      </c>
      <c r="C56" s="45">
        <v>50</v>
      </c>
      <c r="D56" s="64">
        <v>50.9</v>
      </c>
      <c r="E56" s="64">
        <v>50.9</v>
      </c>
      <c r="F56" s="64">
        <v>49.8</v>
      </c>
      <c r="G56" s="64">
        <v>50.9</v>
      </c>
      <c r="H56" s="64">
        <v>49.6</v>
      </c>
      <c r="I56" s="64">
        <v>50.1</v>
      </c>
      <c r="J56" s="64">
        <v>50.1</v>
      </c>
      <c r="K56" s="64">
        <v>50.1</v>
      </c>
      <c r="L56" s="64">
        <v>50.1</v>
      </c>
      <c r="M56" s="64">
        <v>50.5</v>
      </c>
      <c r="N56" s="64">
        <v>50.5</v>
      </c>
      <c r="O56" s="64">
        <v>50.5</v>
      </c>
      <c r="P56" s="64">
        <v>70.5</v>
      </c>
      <c r="Q56" s="64">
        <v>70.5</v>
      </c>
      <c r="R56" s="64">
        <v>70.5</v>
      </c>
      <c r="S56" s="45">
        <v>71.3</v>
      </c>
      <c r="T56" s="45">
        <v>71.3</v>
      </c>
      <c r="U56" s="45">
        <v>70</v>
      </c>
      <c r="V56" s="45">
        <v>70</v>
      </c>
      <c r="W56" s="45">
        <v>69.400000000000006</v>
      </c>
      <c r="X56" s="45">
        <v>69.400000000000006</v>
      </c>
      <c r="Y56" s="45">
        <v>69.400000000000006</v>
      </c>
      <c r="Z56" s="45">
        <v>69.400000000000006</v>
      </c>
      <c r="AA56" s="45">
        <v>69.400000000000006</v>
      </c>
      <c r="AB56" s="45">
        <v>69.400000000000006</v>
      </c>
      <c r="AC56" s="45">
        <v>69.400000000000006</v>
      </c>
      <c r="AD56" s="45">
        <v>69.400000000000006</v>
      </c>
      <c r="AE56" s="45">
        <v>69.400000000000006</v>
      </c>
      <c r="AF56" s="45">
        <v>59.7</v>
      </c>
      <c r="AG56" s="54">
        <v>70</v>
      </c>
      <c r="AH56" s="47">
        <f t="shared" si="2"/>
        <v>71.3</v>
      </c>
      <c r="AI56" s="48">
        <f t="shared" si="3"/>
        <v>34.799999999999997</v>
      </c>
      <c r="AK56" s="50"/>
    </row>
    <row r="57" spans="1:41" x14ac:dyDescent="0.25">
      <c r="A57" s="53" t="s">
        <v>65</v>
      </c>
      <c r="B57" s="45">
        <v>61.3</v>
      </c>
      <c r="C57" s="45">
        <v>61</v>
      </c>
      <c r="D57" s="64">
        <v>61</v>
      </c>
      <c r="E57" s="64">
        <v>61</v>
      </c>
      <c r="F57" s="64">
        <v>63</v>
      </c>
      <c r="G57" s="64">
        <v>61.9</v>
      </c>
      <c r="H57" s="64">
        <v>62.5</v>
      </c>
      <c r="I57" s="64">
        <v>62.1</v>
      </c>
      <c r="J57" s="64">
        <v>62.1</v>
      </c>
      <c r="K57" s="64">
        <v>62.1</v>
      </c>
      <c r="L57" s="64">
        <v>62.1</v>
      </c>
      <c r="M57" s="64">
        <v>62.1</v>
      </c>
      <c r="N57" s="64">
        <v>62.1</v>
      </c>
      <c r="O57" s="64">
        <v>62.1</v>
      </c>
      <c r="P57" s="64">
        <v>62.9</v>
      </c>
      <c r="Q57" s="64">
        <v>62.9</v>
      </c>
      <c r="R57" s="64">
        <v>62.9</v>
      </c>
      <c r="S57" s="45">
        <v>62.6</v>
      </c>
      <c r="T57" s="45">
        <v>62.6</v>
      </c>
      <c r="U57" s="45">
        <v>62.6</v>
      </c>
      <c r="V57" s="45">
        <v>62.6</v>
      </c>
      <c r="W57" s="45">
        <v>62.7</v>
      </c>
      <c r="X57" s="45">
        <v>62.7</v>
      </c>
      <c r="Y57" s="45">
        <v>62.7</v>
      </c>
      <c r="Z57" s="45">
        <v>62.7</v>
      </c>
      <c r="AA57" s="45">
        <v>62.7</v>
      </c>
      <c r="AB57" s="45">
        <v>62.7</v>
      </c>
      <c r="AC57" s="45">
        <v>62.7</v>
      </c>
      <c r="AD57" s="45">
        <v>62.7</v>
      </c>
      <c r="AE57" s="45">
        <v>62.7</v>
      </c>
      <c r="AF57" s="45">
        <v>62.7</v>
      </c>
      <c r="AG57" s="54">
        <v>69</v>
      </c>
      <c r="AH57" s="47">
        <f t="shared" si="2"/>
        <v>63</v>
      </c>
      <c r="AI57" s="48">
        <f t="shared" si="3"/>
        <v>61</v>
      </c>
      <c r="AK57" s="50"/>
    </row>
    <row r="58" spans="1:41" x14ac:dyDescent="0.25">
      <c r="A58" s="53" t="s">
        <v>66</v>
      </c>
      <c r="B58" s="45">
        <v>0</v>
      </c>
      <c r="C58" s="45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0</v>
      </c>
      <c r="O58" s="56">
        <v>0</v>
      </c>
      <c r="P58" s="56">
        <v>22.9</v>
      </c>
      <c r="Q58" s="56">
        <v>22.9</v>
      </c>
      <c r="R58" s="56">
        <v>22.9</v>
      </c>
      <c r="S58" s="45">
        <v>25.2</v>
      </c>
      <c r="T58" s="45">
        <v>25.2</v>
      </c>
      <c r="U58" s="45">
        <v>25.2</v>
      </c>
      <c r="V58" s="45">
        <v>25.2</v>
      </c>
      <c r="W58" s="45">
        <v>25.9</v>
      </c>
      <c r="X58" s="45">
        <v>30.5</v>
      </c>
      <c r="Y58" s="45">
        <v>30.5</v>
      </c>
      <c r="Z58" s="45">
        <v>30.5</v>
      </c>
      <c r="AA58" s="45">
        <v>30.5</v>
      </c>
      <c r="AB58" s="45">
        <v>30.5</v>
      </c>
      <c r="AC58" s="45">
        <v>30.5</v>
      </c>
      <c r="AD58" s="45">
        <v>30.5</v>
      </c>
      <c r="AE58" s="45">
        <v>21</v>
      </c>
      <c r="AF58" s="45">
        <v>21</v>
      </c>
      <c r="AG58" s="54">
        <v>60</v>
      </c>
      <c r="AH58" s="47">
        <f t="shared" si="2"/>
        <v>30.5</v>
      </c>
      <c r="AI58" s="48">
        <f t="shared" si="3"/>
        <v>0</v>
      </c>
      <c r="AK58" s="50"/>
    </row>
    <row r="59" spans="1:41" x14ac:dyDescent="0.25">
      <c r="A59" s="53" t="s">
        <v>67</v>
      </c>
      <c r="B59" s="45">
        <v>30</v>
      </c>
      <c r="C59" s="45">
        <v>15</v>
      </c>
      <c r="D59" s="64">
        <v>15</v>
      </c>
      <c r="E59" s="64">
        <v>15</v>
      </c>
      <c r="F59" s="64">
        <v>0</v>
      </c>
      <c r="G59" s="64">
        <v>0</v>
      </c>
      <c r="H59" s="64">
        <v>0</v>
      </c>
      <c r="I59" s="56">
        <v>0</v>
      </c>
      <c r="J59" s="56">
        <v>0</v>
      </c>
      <c r="K59" s="56">
        <v>0</v>
      </c>
      <c r="L59" s="56">
        <v>15</v>
      </c>
      <c r="M59" s="56">
        <v>15</v>
      </c>
      <c r="N59" s="56">
        <v>15</v>
      </c>
      <c r="O59" s="56">
        <v>15</v>
      </c>
      <c r="P59" s="56">
        <v>28</v>
      </c>
      <c r="Q59" s="56">
        <v>28</v>
      </c>
      <c r="R59" s="56">
        <v>28</v>
      </c>
      <c r="S59" s="45">
        <v>28</v>
      </c>
      <c r="T59" s="45">
        <v>28</v>
      </c>
      <c r="U59" s="45">
        <v>28</v>
      </c>
      <c r="V59" s="45">
        <v>28</v>
      </c>
      <c r="W59" s="45">
        <v>28</v>
      </c>
      <c r="X59" s="45">
        <v>28</v>
      </c>
      <c r="Y59" s="45">
        <v>28</v>
      </c>
      <c r="Z59" s="45">
        <v>28</v>
      </c>
      <c r="AA59" s="45">
        <v>28</v>
      </c>
      <c r="AB59" s="45">
        <v>28</v>
      </c>
      <c r="AC59" s="45">
        <v>28</v>
      </c>
      <c r="AD59" s="45">
        <v>28</v>
      </c>
      <c r="AE59" s="45">
        <v>28</v>
      </c>
      <c r="AF59" s="45">
        <v>28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45">
        <v>0</v>
      </c>
      <c r="C60" s="45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4.2</v>
      </c>
      <c r="P60" s="64">
        <v>5.5</v>
      </c>
      <c r="Q60" s="64">
        <v>5.5</v>
      </c>
      <c r="R60" s="64">
        <v>5.5</v>
      </c>
      <c r="S60" s="45">
        <v>4.4000000000000004</v>
      </c>
      <c r="T60" s="45">
        <v>4.4000000000000004</v>
      </c>
      <c r="U60" s="45">
        <v>4.4000000000000004</v>
      </c>
      <c r="V60" s="45">
        <v>0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5.5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2</v>
      </c>
      <c r="C61" s="64">
        <v>2</v>
      </c>
      <c r="D61" s="64">
        <v>2</v>
      </c>
      <c r="E61" s="64">
        <v>2</v>
      </c>
      <c r="F61" s="64">
        <v>9</v>
      </c>
      <c r="G61" s="64">
        <v>9</v>
      </c>
      <c r="H61" s="64">
        <v>9</v>
      </c>
      <c r="I61" s="64">
        <v>9</v>
      </c>
      <c r="J61" s="64">
        <v>9</v>
      </c>
      <c r="K61" s="64">
        <v>9</v>
      </c>
      <c r="L61" s="64">
        <v>9</v>
      </c>
      <c r="M61" s="64">
        <v>9</v>
      </c>
      <c r="N61" s="64">
        <v>9</v>
      </c>
      <c r="O61" s="64">
        <v>9</v>
      </c>
      <c r="P61" s="64">
        <v>9</v>
      </c>
      <c r="Q61" s="64">
        <v>9</v>
      </c>
      <c r="R61" s="64">
        <v>9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2</v>
      </c>
      <c r="AK61" s="50"/>
    </row>
    <row r="62" spans="1:41" x14ac:dyDescent="0.25">
      <c r="A62" s="53" t="s">
        <v>70</v>
      </c>
      <c r="B62" s="64">
        <v>2.2000000000000002</v>
      </c>
      <c r="C62" s="64">
        <v>2.2000000000000002</v>
      </c>
      <c r="D62" s="64">
        <v>2.2000000000000002</v>
      </c>
      <c r="E62" s="64">
        <v>2.2000000000000002</v>
      </c>
      <c r="F62" s="64">
        <v>2.2000000000000002</v>
      </c>
      <c r="G62" s="64">
        <v>2.2000000000000002</v>
      </c>
      <c r="H62" s="64">
        <v>2.2000000000000002</v>
      </c>
      <c r="I62" s="64">
        <v>2.2000000000000002</v>
      </c>
      <c r="J62" s="64">
        <v>2.2000000000000002</v>
      </c>
      <c r="K62" s="64">
        <v>2.2000000000000002</v>
      </c>
      <c r="L62" s="64">
        <v>2.2000000000000002</v>
      </c>
      <c r="M62" s="64">
        <v>2.2000000000000002</v>
      </c>
      <c r="N62" s="64">
        <v>2.2000000000000002</v>
      </c>
      <c r="O62" s="64">
        <v>2.2000000000000002</v>
      </c>
      <c r="P62" s="64">
        <v>2.2000000000000002</v>
      </c>
      <c r="Q62" s="64">
        <v>2.2000000000000002</v>
      </c>
      <c r="R62" s="64">
        <v>2.2000000000000002</v>
      </c>
      <c r="S62" s="64">
        <v>2.2000000000000002</v>
      </c>
      <c r="T62" s="64">
        <v>2.2000000000000002</v>
      </c>
      <c r="U62" s="64">
        <v>2.2000000000000002</v>
      </c>
      <c r="V62" s="64">
        <v>2.2000000000000002</v>
      </c>
      <c r="W62" s="64">
        <v>2.2000000000000002</v>
      </c>
      <c r="X62" s="64">
        <v>2.2000000000000002</v>
      </c>
      <c r="Y62" s="64">
        <v>2.2000000000000002</v>
      </c>
      <c r="Z62" s="64">
        <v>2.2000000000000002</v>
      </c>
      <c r="AA62" s="64">
        <v>2.2000000000000002</v>
      </c>
      <c r="AB62" s="64">
        <v>2.2000000000000002</v>
      </c>
      <c r="AC62" s="64">
        <v>2.2000000000000002</v>
      </c>
      <c r="AD62" s="64">
        <v>2.2000000000000002</v>
      </c>
      <c r="AE62" s="64">
        <v>2.2000000000000002</v>
      </c>
      <c r="AF62" s="64">
        <v>2.2000000000000002</v>
      </c>
      <c r="AG62" s="54">
        <v>15</v>
      </c>
      <c r="AH62" s="47">
        <f t="shared" si="2"/>
        <v>2.2000000000000002</v>
      </c>
      <c r="AI62" s="48">
        <f t="shared" si="3"/>
        <v>2.2000000000000002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1.4</v>
      </c>
      <c r="C63" s="64">
        <v>1.4</v>
      </c>
      <c r="D63" s="64">
        <v>1.4</v>
      </c>
      <c r="E63" s="64">
        <v>1.4</v>
      </c>
      <c r="F63" s="64">
        <v>1.4</v>
      </c>
      <c r="G63" s="64">
        <v>6</v>
      </c>
      <c r="H63" s="64">
        <v>6</v>
      </c>
      <c r="I63" s="64">
        <v>6.1</v>
      </c>
      <c r="J63" s="64">
        <v>6.1</v>
      </c>
      <c r="K63" s="64">
        <v>6.1</v>
      </c>
      <c r="L63" s="64">
        <v>6.1</v>
      </c>
      <c r="M63" s="64">
        <v>6.1</v>
      </c>
      <c r="N63" s="64">
        <v>6.1</v>
      </c>
      <c r="O63" s="64">
        <v>6.1</v>
      </c>
      <c r="P63" s="64">
        <v>8.5</v>
      </c>
      <c r="Q63" s="64">
        <v>8.5</v>
      </c>
      <c r="R63" s="64">
        <v>8.5</v>
      </c>
      <c r="S63" s="64">
        <v>9</v>
      </c>
      <c r="T63" s="64">
        <v>9</v>
      </c>
      <c r="U63" s="64">
        <v>9</v>
      </c>
      <c r="V63" s="64">
        <v>9</v>
      </c>
      <c r="W63" s="64">
        <v>9</v>
      </c>
      <c r="X63" s="64">
        <v>9</v>
      </c>
      <c r="Y63" s="64">
        <v>9</v>
      </c>
      <c r="Z63" s="64">
        <v>9</v>
      </c>
      <c r="AA63" s="64">
        <v>9</v>
      </c>
      <c r="AB63" s="64">
        <v>9</v>
      </c>
      <c r="AC63" s="64">
        <v>9</v>
      </c>
      <c r="AD63" s="64">
        <v>13.3</v>
      </c>
      <c r="AE63" s="64">
        <v>13.3</v>
      </c>
      <c r="AF63" s="64">
        <v>10</v>
      </c>
      <c r="AG63" s="54">
        <v>14.1</v>
      </c>
      <c r="AH63" s="47">
        <f t="shared" si="2"/>
        <v>13.3</v>
      </c>
      <c r="AI63" s="48">
        <f t="shared" si="3"/>
        <v>1.4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6</v>
      </c>
      <c r="C64" s="64">
        <v>6</v>
      </c>
      <c r="D64" s="64">
        <v>6</v>
      </c>
      <c r="E64" s="64">
        <v>6</v>
      </c>
      <c r="F64" s="64">
        <v>6.9</v>
      </c>
      <c r="G64" s="64">
        <v>6</v>
      </c>
      <c r="H64" s="64">
        <v>6</v>
      </c>
      <c r="I64" s="64">
        <v>6</v>
      </c>
      <c r="J64" s="64">
        <v>6</v>
      </c>
      <c r="K64" s="64">
        <v>6</v>
      </c>
      <c r="L64" s="64">
        <v>6</v>
      </c>
      <c r="M64" s="64">
        <v>6</v>
      </c>
      <c r="N64" s="64">
        <v>6</v>
      </c>
      <c r="O64" s="64">
        <v>6</v>
      </c>
      <c r="P64" s="64">
        <v>6</v>
      </c>
      <c r="Q64" s="64">
        <v>6</v>
      </c>
      <c r="R64" s="64">
        <v>6</v>
      </c>
      <c r="S64" s="64">
        <v>6</v>
      </c>
      <c r="T64" s="64">
        <v>6</v>
      </c>
      <c r="U64" s="64">
        <v>6</v>
      </c>
      <c r="V64" s="64">
        <v>6</v>
      </c>
      <c r="W64" s="64">
        <v>6</v>
      </c>
      <c r="X64" s="64">
        <v>6</v>
      </c>
      <c r="Y64" s="64">
        <v>6</v>
      </c>
      <c r="Z64" s="64">
        <v>6</v>
      </c>
      <c r="AA64" s="64">
        <v>6</v>
      </c>
      <c r="AB64" s="64">
        <v>6</v>
      </c>
      <c r="AC64" s="64">
        <v>6</v>
      </c>
      <c r="AD64" s="64">
        <v>6</v>
      </c>
      <c r="AE64" s="64">
        <v>9.6</v>
      </c>
      <c r="AF64" s="64">
        <v>13.6</v>
      </c>
      <c r="AG64" s="54">
        <v>14</v>
      </c>
      <c r="AH64" s="47">
        <f t="shared" si="2"/>
        <v>13.6</v>
      </c>
      <c r="AI64" s="48">
        <f t="shared" si="3"/>
        <v>6</v>
      </c>
      <c r="AK64" s="50"/>
    </row>
    <row r="65" spans="1:40" x14ac:dyDescent="0.25">
      <c r="A65" s="53" t="s">
        <v>73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>
        <v>9</v>
      </c>
      <c r="L65" s="64">
        <v>9</v>
      </c>
      <c r="M65" s="64">
        <v>9</v>
      </c>
      <c r="N65" s="64">
        <v>9</v>
      </c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>
        <v>9</v>
      </c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9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C68" si="11">SUM(B55:B67)</f>
        <v>289.53999999999996</v>
      </c>
      <c r="C68" s="60">
        <f t="shared" si="11"/>
        <v>156.33999999999997</v>
      </c>
      <c r="D68" s="60">
        <f t="shared" ref="D68:AG68" si="12">SUM(D55:D67)</f>
        <v>228.03999999999996</v>
      </c>
      <c r="E68" s="60">
        <f t="shared" si="12"/>
        <v>228.03999999999996</v>
      </c>
      <c r="F68" s="60">
        <f t="shared" si="12"/>
        <v>221.83999999999997</v>
      </c>
      <c r="G68" s="60">
        <f t="shared" si="12"/>
        <v>248.43999999999997</v>
      </c>
      <c r="H68" s="60">
        <f t="shared" si="12"/>
        <v>284.94</v>
      </c>
      <c r="I68" s="60">
        <f t="shared" si="12"/>
        <v>285.24</v>
      </c>
      <c r="J68" s="60">
        <f t="shared" si="12"/>
        <v>285.24</v>
      </c>
      <c r="K68" s="60">
        <f t="shared" si="12"/>
        <v>285.24</v>
      </c>
      <c r="L68" s="60">
        <f t="shared" si="12"/>
        <v>300.24</v>
      </c>
      <c r="M68" s="60">
        <f t="shared" si="12"/>
        <v>299.33999999999997</v>
      </c>
      <c r="N68" s="60">
        <f t="shared" si="12"/>
        <v>299.33999999999997</v>
      </c>
      <c r="O68" s="60">
        <f t="shared" ref="O68:P68" si="13">SUM(O55:O67)</f>
        <v>303.53999999999996</v>
      </c>
      <c r="P68" s="60">
        <f t="shared" si="13"/>
        <v>360.34</v>
      </c>
      <c r="Q68" s="60">
        <f t="shared" si="12"/>
        <v>365.23999999999995</v>
      </c>
      <c r="R68" s="60">
        <f t="shared" si="12"/>
        <v>365.23999999999995</v>
      </c>
      <c r="S68" s="60">
        <f t="shared" si="12"/>
        <v>374.14</v>
      </c>
      <c r="T68" s="60">
        <f t="shared" si="12"/>
        <v>374.14</v>
      </c>
      <c r="U68" s="60">
        <f t="shared" si="12"/>
        <v>372.84</v>
      </c>
      <c r="V68" s="60">
        <f t="shared" si="12"/>
        <v>368.94</v>
      </c>
      <c r="W68" s="60">
        <f t="shared" si="12"/>
        <v>369.14</v>
      </c>
      <c r="X68" s="60">
        <f t="shared" si="12"/>
        <v>373.74</v>
      </c>
      <c r="Y68" s="60">
        <f t="shared" si="12"/>
        <v>373.74</v>
      </c>
      <c r="Z68" s="60">
        <f t="shared" si="12"/>
        <v>373.74</v>
      </c>
      <c r="AA68" s="60">
        <v>374.94</v>
      </c>
      <c r="AB68" s="60">
        <f t="shared" si="12"/>
        <v>373.74</v>
      </c>
      <c r="AC68" s="60">
        <f t="shared" si="12"/>
        <v>373.74</v>
      </c>
      <c r="AD68" s="60">
        <f t="shared" si="12"/>
        <v>378.04</v>
      </c>
      <c r="AE68" s="60">
        <f t="shared" si="12"/>
        <v>372.14000000000004</v>
      </c>
      <c r="AF68" s="60">
        <f t="shared" si="12"/>
        <v>363.14</v>
      </c>
      <c r="AG68" s="61">
        <f t="shared" si="12"/>
        <v>489.91</v>
      </c>
      <c r="AH68" s="47">
        <f t="shared" si="2"/>
        <v>378.04</v>
      </c>
      <c r="AI68" s="48">
        <f t="shared" si="3"/>
        <v>156.33999999999997</v>
      </c>
      <c r="AK68" s="50"/>
    </row>
    <row r="69" spans="1:40" x14ac:dyDescent="0.25">
      <c r="A69" s="44" t="s">
        <v>77</v>
      </c>
      <c r="B69" s="45">
        <v>11.5</v>
      </c>
      <c r="C69" s="45">
        <v>35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10</v>
      </c>
      <c r="K69" s="45">
        <v>9</v>
      </c>
      <c r="L69" s="45">
        <v>13.8</v>
      </c>
      <c r="M69" s="45">
        <v>13.8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/>
      <c r="T69" s="45"/>
      <c r="U69" s="45"/>
      <c r="V69" s="45"/>
      <c r="W69" s="45"/>
      <c r="X69" s="45"/>
      <c r="Y69" s="45"/>
      <c r="Z69" s="45"/>
      <c r="AA69" s="45">
        <v>35</v>
      </c>
      <c r="AB69" s="45">
        <v>35</v>
      </c>
      <c r="AC69" s="45">
        <v>11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35</v>
      </c>
      <c r="AI69" s="48">
        <f t="shared" si="3"/>
        <v>0</v>
      </c>
      <c r="AK69" s="50"/>
    </row>
    <row r="70" spans="1:40" x14ac:dyDescent="0.25">
      <c r="A70" s="53" t="s">
        <v>78</v>
      </c>
      <c r="B70" s="64">
        <v>4.5999999999999996</v>
      </c>
      <c r="C70" s="64">
        <v>18.8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6.6</v>
      </c>
      <c r="M70" s="64">
        <v>6.6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64"/>
      <c r="T70" s="64"/>
      <c r="U70" s="64"/>
      <c r="V70" s="64"/>
      <c r="W70" s="64"/>
      <c r="X70" s="64"/>
      <c r="Y70" s="64"/>
      <c r="Z70" s="64"/>
      <c r="AA70" s="64">
        <v>15</v>
      </c>
      <c r="AB70" s="64">
        <v>15</v>
      </c>
      <c r="AC70" s="64">
        <v>4.9000000000000004</v>
      </c>
      <c r="AD70" s="64">
        <v>4.8</v>
      </c>
      <c r="AE70" s="64">
        <v>0</v>
      </c>
      <c r="AF70" s="64">
        <v>0</v>
      </c>
      <c r="AG70" s="54">
        <v>32</v>
      </c>
      <c r="AH70" s="47">
        <f t="shared" si="2"/>
        <v>18.8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66">
        <v>1.7</v>
      </c>
      <c r="C71" s="66">
        <v>6.9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2.4</v>
      </c>
      <c r="M71" s="66">
        <v>2.4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66"/>
      <c r="T71" s="66"/>
      <c r="U71" s="66"/>
      <c r="V71" s="66"/>
      <c r="W71" s="66"/>
      <c r="X71" s="66"/>
      <c r="Y71" s="66"/>
      <c r="Z71" s="66"/>
      <c r="AA71" s="66">
        <v>5</v>
      </c>
      <c r="AB71" s="66">
        <v>5</v>
      </c>
      <c r="AC71" s="66">
        <v>1.8</v>
      </c>
      <c r="AD71" s="66">
        <v>1.8</v>
      </c>
      <c r="AE71" s="66">
        <v>0</v>
      </c>
      <c r="AF71" s="66">
        <v>0</v>
      </c>
      <c r="AG71" s="67">
        <v>14</v>
      </c>
      <c r="AH71" s="47">
        <f t="shared" si="2"/>
        <v>6.9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 t="shared" ref="B72:C72" si="14">B69+B70+B71</f>
        <v>17.8</v>
      </c>
      <c r="C72" s="60">
        <f t="shared" si="14"/>
        <v>60.699999999999996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103.30000000000001</v>
      </c>
      <c r="L72" s="60">
        <v>103.30000000000001</v>
      </c>
      <c r="M72" s="60">
        <f t="shared" ref="M72:AF72" si="15">M69+M70+M71</f>
        <v>22.799999999999997</v>
      </c>
      <c r="N72" s="60">
        <f t="shared" si="15"/>
        <v>0</v>
      </c>
      <c r="O72" s="60">
        <f t="shared" ref="O72:P72" si="16">O69+O70+O71</f>
        <v>0</v>
      </c>
      <c r="P72" s="60">
        <f t="shared" si="16"/>
        <v>0</v>
      </c>
      <c r="Q72" s="60">
        <f t="shared" si="15"/>
        <v>0</v>
      </c>
      <c r="R72" s="60">
        <f t="shared" si="15"/>
        <v>0</v>
      </c>
      <c r="S72" s="60">
        <f t="shared" si="15"/>
        <v>0</v>
      </c>
      <c r="T72" s="60">
        <f t="shared" si="15"/>
        <v>0</v>
      </c>
      <c r="U72" s="60">
        <f t="shared" si="15"/>
        <v>0</v>
      </c>
      <c r="V72" s="60">
        <f t="shared" si="15"/>
        <v>0</v>
      </c>
      <c r="W72" s="60">
        <f t="shared" si="15"/>
        <v>0</v>
      </c>
      <c r="X72" s="60">
        <f t="shared" si="15"/>
        <v>0</v>
      </c>
      <c r="Y72" s="60">
        <f t="shared" si="15"/>
        <v>0</v>
      </c>
      <c r="Z72" s="60">
        <f t="shared" si="15"/>
        <v>0</v>
      </c>
      <c r="AA72" s="60">
        <v>0</v>
      </c>
      <c r="AB72" s="60">
        <f t="shared" si="15"/>
        <v>55</v>
      </c>
      <c r="AC72" s="60">
        <f t="shared" si="15"/>
        <v>17.7</v>
      </c>
      <c r="AD72" s="60">
        <f t="shared" si="15"/>
        <v>6.6</v>
      </c>
      <c r="AE72" s="60">
        <f t="shared" si="15"/>
        <v>0</v>
      </c>
      <c r="AF72" s="60">
        <f t="shared" si="15"/>
        <v>0</v>
      </c>
      <c r="AG72" s="61">
        <f>SUM(AG69:AG71)</f>
        <v>106</v>
      </c>
      <c r="AH72" s="47">
        <f t="shared" si="2"/>
        <v>103.30000000000001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15.9</v>
      </c>
      <c r="C73" s="45">
        <v>1.5</v>
      </c>
      <c r="D73" s="45">
        <v>-17</v>
      </c>
      <c r="E73" s="45">
        <v>3.3</v>
      </c>
      <c r="F73" s="45">
        <v>-14.4</v>
      </c>
      <c r="G73" s="45">
        <v>-6</v>
      </c>
      <c r="H73" s="45">
        <v>-8.6</v>
      </c>
      <c r="I73" s="45">
        <v>-5.4</v>
      </c>
      <c r="J73" s="45">
        <v>-8</v>
      </c>
      <c r="K73" s="45">
        <v>-20</v>
      </c>
      <c r="L73" s="45">
        <v>-17</v>
      </c>
      <c r="M73" s="45">
        <v>6.7</v>
      </c>
      <c r="N73" s="45">
        <v>-15</v>
      </c>
      <c r="O73" s="45">
        <v>-15</v>
      </c>
      <c r="P73" s="45">
        <v>-18.3</v>
      </c>
      <c r="Q73" s="45">
        <v>-10.8</v>
      </c>
      <c r="R73" s="45">
        <v>-11.2</v>
      </c>
      <c r="S73" s="45">
        <v>5</v>
      </c>
      <c r="T73" s="45">
        <v>-7.6</v>
      </c>
      <c r="U73" s="45">
        <v>-20</v>
      </c>
      <c r="V73" s="45">
        <v>-40</v>
      </c>
      <c r="W73" s="45">
        <v>-9.1999999999999993</v>
      </c>
      <c r="X73" s="45">
        <v>1.1000000000000001</v>
      </c>
      <c r="Y73" s="45">
        <v>-8</v>
      </c>
      <c r="Z73" s="45">
        <v>15</v>
      </c>
      <c r="AA73" s="45">
        <v>15</v>
      </c>
      <c r="AB73" s="45">
        <v>19</v>
      </c>
      <c r="AC73" s="45">
        <v>22.6</v>
      </c>
      <c r="AD73" s="45">
        <v>0</v>
      </c>
      <c r="AE73" s="45">
        <v>-25.3</v>
      </c>
      <c r="AF73" s="45">
        <v>-5.0999999999999996</v>
      </c>
      <c r="AG73" s="51"/>
      <c r="AH73" s="47">
        <f t="shared" si="2"/>
        <v>22.6</v>
      </c>
      <c r="AI73" s="48">
        <f t="shared" si="3"/>
        <v>-40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-396</v>
      </c>
      <c r="C75" s="64">
        <v>-385</v>
      </c>
      <c r="D75" s="64">
        <v>-392</v>
      </c>
      <c r="E75" s="64">
        <v>-408.4</v>
      </c>
      <c r="F75" s="64">
        <v>-418</v>
      </c>
      <c r="G75" s="64">
        <v>-431</v>
      </c>
      <c r="H75" s="64">
        <v>-457.8</v>
      </c>
      <c r="I75" s="64">
        <v>-478</v>
      </c>
      <c r="J75" s="64">
        <v>-452</v>
      </c>
      <c r="K75" s="64">
        <v>-460</v>
      </c>
      <c r="L75" s="64">
        <v>-461.9</v>
      </c>
      <c r="M75" s="64">
        <v>-460</v>
      </c>
      <c r="N75" s="64">
        <v>-406</v>
      </c>
      <c r="O75" s="64">
        <v>-406</v>
      </c>
      <c r="P75" s="64">
        <v>-421.9</v>
      </c>
      <c r="Q75" s="64">
        <v>-440</v>
      </c>
      <c r="R75" s="64">
        <v>-410</v>
      </c>
      <c r="S75" s="64">
        <v>-407.4</v>
      </c>
      <c r="T75" s="64">
        <v>-407</v>
      </c>
      <c r="U75" s="64">
        <v>-429</v>
      </c>
      <c r="V75" s="64">
        <v>-433</v>
      </c>
      <c r="W75" s="64">
        <v>-469.9</v>
      </c>
      <c r="X75" s="64">
        <v>-479.5</v>
      </c>
      <c r="Y75" s="64">
        <v>-460</v>
      </c>
      <c r="Z75" s="64">
        <v>-390</v>
      </c>
      <c r="AA75" s="64">
        <v>-390</v>
      </c>
      <c r="AB75" s="64">
        <v>-363</v>
      </c>
      <c r="AC75" s="64">
        <v>-330</v>
      </c>
      <c r="AD75" s="64">
        <v>-311</v>
      </c>
      <c r="AE75" s="64">
        <v>-341</v>
      </c>
      <c r="AF75" s="64">
        <v>-328</v>
      </c>
      <c r="AG75" s="74"/>
      <c r="AH75" s="47">
        <f t="shared" si="2"/>
        <v>-311</v>
      </c>
      <c r="AI75" s="48">
        <f t="shared" si="3"/>
        <v>-479.5</v>
      </c>
      <c r="AK75" s="50"/>
    </row>
    <row r="76" spans="1:40" x14ac:dyDescent="0.25">
      <c r="A76" s="53" t="s">
        <v>84</v>
      </c>
      <c r="B76" s="75"/>
      <c r="C76" s="64"/>
      <c r="D76" s="64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64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45"/>
      <c r="D77" s="64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4"/>
      <c r="AH77" s="47">
        <f t="shared" ref="AH77:AH120" si="17">MAX(B77:AF77)</f>
        <v>0</v>
      </c>
      <c r="AI77" s="48">
        <f t="shared" ref="AI77:AI120" si="18">MIN(B77:AF77)</f>
        <v>0</v>
      </c>
      <c r="AK77" s="50"/>
    </row>
    <row r="78" spans="1:40" x14ac:dyDescent="0.25">
      <c r="A78" s="53" t="s">
        <v>86</v>
      </c>
      <c r="B78" s="76"/>
      <c r="C78" s="76"/>
      <c r="D78" s="64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4"/>
      <c r="AH78" s="47">
        <f t="shared" si="17"/>
        <v>0</v>
      </c>
      <c r="AI78" s="48">
        <f t="shared" si="18"/>
        <v>0</v>
      </c>
      <c r="AK78" s="50"/>
    </row>
    <row r="79" spans="1:40" ht="15.75" thickBot="1" x14ac:dyDescent="0.3">
      <c r="A79" s="53" t="s">
        <v>87</v>
      </c>
      <c r="B79" s="76"/>
      <c r="C79" s="76"/>
      <c r="D79" s="64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4"/>
      <c r="AH79" s="47">
        <f t="shared" si="17"/>
        <v>0</v>
      </c>
      <c r="AI79" s="48">
        <f t="shared" si="18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76"/>
      <c r="C80" s="76"/>
      <c r="D80" s="64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4"/>
      <c r="AH80" s="47">
        <f t="shared" si="17"/>
        <v>0</v>
      </c>
      <c r="AI80" s="48">
        <f t="shared" si="18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76"/>
      <c r="C81" s="76"/>
      <c r="D81" s="64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4"/>
      <c r="AH81" s="47">
        <f t="shared" si="17"/>
        <v>0</v>
      </c>
      <c r="AI81" s="48">
        <f t="shared" si="18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76"/>
      <c r="C82" s="76"/>
      <c r="D82" s="64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84"/>
      <c r="AH82" s="47">
        <f t="shared" si="17"/>
        <v>0</v>
      </c>
      <c r="AI82" s="48">
        <f t="shared" si="18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76"/>
      <c r="C83" s="76"/>
      <c r="D83" s="64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4"/>
      <c r="AH83" s="47">
        <f t="shared" si="17"/>
        <v>0</v>
      </c>
      <c r="AI83" s="48">
        <f t="shared" si="18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" si="19">SUMIF(B73:B83,"&gt;0")</f>
        <v>15.9</v>
      </c>
      <c r="C84" s="60">
        <f t="shared" ref="C84:AF84" si="20">SUMIF(C73:C83,"&gt;0")</f>
        <v>1.5</v>
      </c>
      <c r="D84" s="60">
        <f t="shared" si="20"/>
        <v>0</v>
      </c>
      <c r="E84" s="60">
        <f t="shared" si="20"/>
        <v>3.3</v>
      </c>
      <c r="F84" s="60">
        <f t="shared" si="20"/>
        <v>0</v>
      </c>
      <c r="G84" s="60">
        <f t="shared" si="20"/>
        <v>0</v>
      </c>
      <c r="H84" s="60">
        <f t="shared" si="20"/>
        <v>0</v>
      </c>
      <c r="I84" s="60">
        <f t="shared" si="20"/>
        <v>0</v>
      </c>
      <c r="J84" s="60">
        <f t="shared" si="20"/>
        <v>0</v>
      </c>
      <c r="K84" s="60">
        <f t="shared" si="20"/>
        <v>0</v>
      </c>
      <c r="L84" s="60">
        <f t="shared" si="20"/>
        <v>0</v>
      </c>
      <c r="M84" s="60">
        <f t="shared" si="20"/>
        <v>6.7</v>
      </c>
      <c r="N84" s="60">
        <f t="shared" si="20"/>
        <v>0</v>
      </c>
      <c r="O84" s="60">
        <f t="shared" ref="O84:P84" si="21">SUMIF(O73:O83,"&gt;0")</f>
        <v>0</v>
      </c>
      <c r="P84" s="60">
        <f t="shared" si="21"/>
        <v>0</v>
      </c>
      <c r="Q84" s="60">
        <f t="shared" si="20"/>
        <v>0</v>
      </c>
      <c r="R84" s="60">
        <f t="shared" si="20"/>
        <v>0</v>
      </c>
      <c r="S84" s="60">
        <f t="shared" si="20"/>
        <v>5</v>
      </c>
      <c r="T84" s="60">
        <f t="shared" si="20"/>
        <v>0</v>
      </c>
      <c r="U84" s="60">
        <f t="shared" si="20"/>
        <v>0</v>
      </c>
      <c r="V84" s="60">
        <f t="shared" si="20"/>
        <v>0</v>
      </c>
      <c r="W84" s="60">
        <f t="shared" si="20"/>
        <v>0</v>
      </c>
      <c r="X84" s="60">
        <f t="shared" si="20"/>
        <v>1.1000000000000001</v>
      </c>
      <c r="Y84" s="60">
        <f t="shared" si="20"/>
        <v>0</v>
      </c>
      <c r="Z84" s="60">
        <f t="shared" si="20"/>
        <v>15</v>
      </c>
      <c r="AA84" s="60">
        <v>15</v>
      </c>
      <c r="AB84" s="60">
        <f t="shared" si="20"/>
        <v>19</v>
      </c>
      <c r="AC84" s="60">
        <f t="shared" si="20"/>
        <v>22.6</v>
      </c>
      <c r="AD84" s="60">
        <f t="shared" si="20"/>
        <v>0</v>
      </c>
      <c r="AE84" s="60">
        <f t="shared" si="20"/>
        <v>0</v>
      </c>
      <c r="AF84" s="60">
        <f t="shared" si="20"/>
        <v>0</v>
      </c>
      <c r="AG84" s="87">
        <f>SUM(AG73:AG83)</f>
        <v>0</v>
      </c>
      <c r="AH84" s="47">
        <f t="shared" si="17"/>
        <v>22.6</v>
      </c>
      <c r="AI84" s="48">
        <f t="shared" si="18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7"/>
        <v>0</v>
      </c>
      <c r="AI85" s="48">
        <f t="shared" si="18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7"/>
        <v>0</v>
      </c>
      <c r="AI86" s="48">
        <f t="shared" si="18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7"/>
        <v>0</v>
      </c>
      <c r="AI87" s="48">
        <f t="shared" si="18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7"/>
        <v>0</v>
      </c>
      <c r="AI88" s="48">
        <f t="shared" si="18"/>
        <v>0</v>
      </c>
    </row>
    <row r="89" spans="1:40" ht="15.75" thickBot="1" x14ac:dyDescent="0.3">
      <c r="A89" s="73" t="s">
        <v>100</v>
      </c>
      <c r="B89" s="94">
        <f t="shared" ref="B89" si="22">B50+B54+B72+B68+B84+B88</f>
        <v>1802.4399999999998</v>
      </c>
      <c r="C89" s="94">
        <f t="shared" ref="C89:AG89" si="23">C50+C54+C72+C68+C84+C88</f>
        <v>1783.74</v>
      </c>
      <c r="D89" s="94">
        <f t="shared" si="23"/>
        <v>1782.84</v>
      </c>
      <c r="E89" s="94">
        <f t="shared" si="23"/>
        <v>1799.04</v>
      </c>
      <c r="F89" s="94">
        <f t="shared" si="23"/>
        <v>1799.84</v>
      </c>
      <c r="G89" s="94">
        <f t="shared" si="23"/>
        <v>1831.04</v>
      </c>
      <c r="H89" s="94">
        <f t="shared" si="23"/>
        <v>1874.8400000000001</v>
      </c>
      <c r="I89" s="94">
        <f t="shared" si="23"/>
        <v>1883.14</v>
      </c>
      <c r="J89" s="94">
        <f t="shared" si="23"/>
        <v>1886.9399999999998</v>
      </c>
      <c r="K89" s="94">
        <f t="shared" si="23"/>
        <v>1990.2399999999998</v>
      </c>
      <c r="L89" s="94">
        <f t="shared" si="23"/>
        <v>2049.2400000000002</v>
      </c>
      <c r="M89" s="94">
        <f t="shared" si="23"/>
        <v>1990.6299999999999</v>
      </c>
      <c r="N89" s="94">
        <f t="shared" si="23"/>
        <v>1953.1299999999999</v>
      </c>
      <c r="O89" s="94">
        <f t="shared" ref="O89:P89" si="24">O50+O54+O72+O68+O84+O88</f>
        <v>1964.33</v>
      </c>
      <c r="P89" s="94">
        <f t="shared" si="24"/>
        <v>1992.74</v>
      </c>
      <c r="Q89" s="94">
        <f t="shared" si="23"/>
        <v>1997.64</v>
      </c>
      <c r="R89" s="94">
        <f t="shared" si="23"/>
        <v>1997.64</v>
      </c>
      <c r="S89" s="94">
        <f t="shared" si="23"/>
        <v>1992.04</v>
      </c>
      <c r="T89" s="94">
        <f t="shared" si="23"/>
        <v>1994.04</v>
      </c>
      <c r="U89" s="94">
        <f t="shared" si="23"/>
        <v>2036.7399999999998</v>
      </c>
      <c r="V89" s="94">
        <f t="shared" si="23"/>
        <v>2028.04</v>
      </c>
      <c r="W89" s="94">
        <f t="shared" si="23"/>
        <v>1987.54</v>
      </c>
      <c r="X89" s="94">
        <f t="shared" si="23"/>
        <v>1993.2399999999998</v>
      </c>
      <c r="Y89" s="94">
        <f t="shared" si="23"/>
        <v>1992.1399999999999</v>
      </c>
      <c r="Z89" s="94">
        <f t="shared" si="23"/>
        <v>2056.9399999999996</v>
      </c>
      <c r="AA89" s="94">
        <v>2058.14</v>
      </c>
      <c r="AB89" s="94">
        <f t="shared" si="23"/>
        <v>2093.54</v>
      </c>
      <c r="AC89" s="94">
        <f t="shared" si="23"/>
        <v>2076.14</v>
      </c>
      <c r="AD89" s="94">
        <f t="shared" si="23"/>
        <v>2017.7399999999998</v>
      </c>
      <c r="AE89" s="94">
        <f t="shared" si="23"/>
        <v>1983.24</v>
      </c>
      <c r="AF89" s="94">
        <f t="shared" si="23"/>
        <v>1969.2399999999998</v>
      </c>
      <c r="AG89" s="61">
        <f t="shared" si="23"/>
        <v>2111.5500000000002</v>
      </c>
      <c r="AH89" s="47">
        <f t="shared" si="17"/>
        <v>2093.54</v>
      </c>
      <c r="AI89" s="48">
        <f t="shared" si="18"/>
        <v>1782.84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>
        <v>20</v>
      </c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7"/>
        <v>20</v>
      </c>
      <c r="AI90" s="48">
        <f t="shared" si="18"/>
        <v>20</v>
      </c>
    </row>
    <row r="91" spans="1:40" ht="15.75" thickBot="1" x14ac:dyDescent="0.3">
      <c r="A91" s="73" t="s">
        <v>102</v>
      </c>
      <c r="B91" s="94">
        <f t="shared" ref="B91" si="25">B89+B90</f>
        <v>1802.4399999999998</v>
      </c>
      <c r="C91" s="94">
        <f t="shared" ref="C91:AF91" si="26">C89+C90</f>
        <v>1783.74</v>
      </c>
      <c r="D91" s="94">
        <f t="shared" si="26"/>
        <v>1782.84</v>
      </c>
      <c r="E91" s="94">
        <f t="shared" si="26"/>
        <v>1799.04</v>
      </c>
      <c r="F91" s="94">
        <f t="shared" si="26"/>
        <v>1799.84</v>
      </c>
      <c r="G91" s="94">
        <f t="shared" si="26"/>
        <v>1831.04</v>
      </c>
      <c r="H91" s="94">
        <f t="shared" si="26"/>
        <v>1874.8400000000001</v>
      </c>
      <c r="I91" s="94">
        <f t="shared" si="26"/>
        <v>1883.14</v>
      </c>
      <c r="J91" s="94">
        <f t="shared" si="26"/>
        <v>1886.9399999999998</v>
      </c>
      <c r="K91" s="94">
        <f t="shared" si="26"/>
        <v>1990.2399999999998</v>
      </c>
      <c r="L91" s="94">
        <f t="shared" si="26"/>
        <v>2049.2400000000002</v>
      </c>
      <c r="M91" s="94">
        <f t="shared" si="26"/>
        <v>1990.6299999999999</v>
      </c>
      <c r="N91" s="94">
        <f t="shared" si="26"/>
        <v>1953.1299999999999</v>
      </c>
      <c r="O91" s="94">
        <f t="shared" ref="O91:P91" si="27">O89+O90</f>
        <v>1964.33</v>
      </c>
      <c r="P91" s="94">
        <f t="shared" si="27"/>
        <v>1992.74</v>
      </c>
      <c r="Q91" s="94">
        <f t="shared" si="26"/>
        <v>1997.64</v>
      </c>
      <c r="R91" s="94">
        <f t="shared" si="26"/>
        <v>1997.64</v>
      </c>
      <c r="S91" s="94">
        <f t="shared" si="26"/>
        <v>1992.04</v>
      </c>
      <c r="T91" s="94">
        <f t="shared" si="26"/>
        <v>2014.04</v>
      </c>
      <c r="U91" s="94">
        <f t="shared" si="26"/>
        <v>2036.7399999999998</v>
      </c>
      <c r="V91" s="94">
        <f t="shared" si="26"/>
        <v>2028.04</v>
      </c>
      <c r="W91" s="94">
        <f t="shared" si="26"/>
        <v>1987.54</v>
      </c>
      <c r="X91" s="94">
        <f t="shared" si="26"/>
        <v>1993.2399999999998</v>
      </c>
      <c r="Y91" s="94">
        <f t="shared" si="26"/>
        <v>1992.1399999999999</v>
      </c>
      <c r="Z91" s="94">
        <f t="shared" si="26"/>
        <v>2056.9399999999996</v>
      </c>
      <c r="AA91" s="94">
        <v>2058.14</v>
      </c>
      <c r="AB91" s="94">
        <f t="shared" si="26"/>
        <v>2093.54</v>
      </c>
      <c r="AC91" s="94">
        <f t="shared" si="26"/>
        <v>2076.14</v>
      </c>
      <c r="AD91" s="94">
        <f t="shared" si="26"/>
        <v>2017.7399999999998</v>
      </c>
      <c r="AE91" s="94">
        <f t="shared" si="26"/>
        <v>1983.24</v>
      </c>
      <c r="AF91" s="94">
        <f t="shared" si="26"/>
        <v>1969.2399999999998</v>
      </c>
      <c r="AG91" s="87">
        <f>AG88+AG84+AG72+AG68+AG50+AG90</f>
        <v>1573.45</v>
      </c>
      <c r="AH91" s="47">
        <f t="shared" si="17"/>
        <v>2093.54</v>
      </c>
      <c r="AI91" s="48">
        <f t="shared" si="18"/>
        <v>1782.84</v>
      </c>
    </row>
    <row r="92" spans="1:40" ht="15.75" thickBot="1" x14ac:dyDescent="0.3">
      <c r="A92" s="73" t="s">
        <v>103</v>
      </c>
      <c r="B92" s="94">
        <f t="shared" ref="B92" si="28">B91-B99</f>
        <v>1802.4399999999998</v>
      </c>
      <c r="C92" s="94">
        <f t="shared" ref="C92:AF92" si="29">C91-C99</f>
        <v>1783.74</v>
      </c>
      <c r="D92" s="94">
        <f t="shared" si="29"/>
        <v>1782.84</v>
      </c>
      <c r="E92" s="94">
        <f t="shared" si="29"/>
        <v>1799.04</v>
      </c>
      <c r="F92" s="94">
        <f t="shared" si="29"/>
        <v>1799.84</v>
      </c>
      <c r="G92" s="94">
        <f t="shared" si="29"/>
        <v>1831.04</v>
      </c>
      <c r="H92" s="94">
        <f t="shared" si="29"/>
        <v>1874.8400000000001</v>
      </c>
      <c r="I92" s="94">
        <f t="shared" si="29"/>
        <v>1883.14</v>
      </c>
      <c r="J92" s="94">
        <f t="shared" si="29"/>
        <v>1886.9399999999998</v>
      </c>
      <c r="K92" s="94">
        <f t="shared" si="29"/>
        <v>1990.2399999999998</v>
      </c>
      <c r="L92" s="94">
        <f t="shared" si="29"/>
        <v>2049.2400000000002</v>
      </c>
      <c r="M92" s="94">
        <f t="shared" si="29"/>
        <v>1990.6299999999999</v>
      </c>
      <c r="N92" s="94">
        <f t="shared" si="29"/>
        <v>1953.1299999999999</v>
      </c>
      <c r="O92" s="94">
        <f t="shared" ref="O92:P92" si="30">O91-O99</f>
        <v>1964.33</v>
      </c>
      <c r="P92" s="94">
        <f t="shared" si="30"/>
        <v>1992.74</v>
      </c>
      <c r="Q92" s="94">
        <f t="shared" si="29"/>
        <v>1997.64</v>
      </c>
      <c r="R92" s="94">
        <f t="shared" si="29"/>
        <v>1997.64</v>
      </c>
      <c r="S92" s="94">
        <f t="shared" si="29"/>
        <v>1992.04</v>
      </c>
      <c r="T92" s="94">
        <f t="shared" si="29"/>
        <v>2014.04</v>
      </c>
      <c r="U92" s="94">
        <f t="shared" si="29"/>
        <v>2036.7399999999998</v>
      </c>
      <c r="V92" s="94">
        <f t="shared" si="29"/>
        <v>2028.04</v>
      </c>
      <c r="W92" s="94">
        <f t="shared" si="29"/>
        <v>1987.54</v>
      </c>
      <c r="X92" s="94">
        <f t="shared" si="29"/>
        <v>1993.2399999999998</v>
      </c>
      <c r="Y92" s="94">
        <f t="shared" si="29"/>
        <v>1992.1399999999999</v>
      </c>
      <c r="Z92" s="94">
        <f t="shared" si="29"/>
        <v>2056.9399999999996</v>
      </c>
      <c r="AA92" s="94">
        <v>2058.14</v>
      </c>
      <c r="AB92" s="94">
        <f t="shared" si="29"/>
        <v>2093.54</v>
      </c>
      <c r="AC92" s="94">
        <f t="shared" si="29"/>
        <v>2076.14</v>
      </c>
      <c r="AD92" s="94">
        <f t="shared" si="29"/>
        <v>2017.7399999999998</v>
      </c>
      <c r="AE92" s="94">
        <f t="shared" si="29"/>
        <v>1983.24</v>
      </c>
      <c r="AF92" s="94">
        <f t="shared" si="29"/>
        <v>1969.2399999999998</v>
      </c>
      <c r="AG92" s="87"/>
      <c r="AH92" s="47">
        <f t="shared" si="17"/>
        <v>2093.54</v>
      </c>
      <c r="AI92" s="48">
        <f t="shared" si="18"/>
        <v>1782.84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7"/>
        <v>0</v>
      </c>
      <c r="AI93" s="48">
        <f t="shared" si="18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7"/>
        <v>0</v>
      </c>
      <c r="AI94" s="48">
        <f t="shared" si="18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7"/>
        <v>0</v>
      </c>
      <c r="AI95" s="48">
        <f t="shared" si="18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7"/>
        <v>0</v>
      </c>
      <c r="AI96" s="48">
        <f t="shared" si="18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7"/>
        <v>0</v>
      </c>
      <c r="AI97" s="48">
        <f t="shared" si="18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7"/>
        <v>0</v>
      </c>
      <c r="AI98" s="48">
        <f t="shared" si="18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v>390</v>
      </c>
      <c r="AB99" s="60"/>
      <c r="AC99" s="60"/>
      <c r="AD99" s="60"/>
      <c r="AE99" s="60"/>
      <c r="AF99" s="60"/>
      <c r="AG99" s="87"/>
      <c r="AH99" s="47">
        <f t="shared" si="17"/>
        <v>390</v>
      </c>
      <c r="AI99" s="48">
        <f t="shared" si="18"/>
        <v>390</v>
      </c>
      <c r="AK99" s="50"/>
    </row>
    <row r="100" spans="1:37" ht="15.75" thickBot="1" x14ac:dyDescent="0.3">
      <c r="A100" s="73" t="s">
        <v>108</v>
      </c>
      <c r="B100" s="60">
        <f t="shared" ref="B100" si="31">B84-B99</f>
        <v>15.9</v>
      </c>
      <c r="C100" s="60">
        <f t="shared" ref="C100:AF100" si="32">C84-C99</f>
        <v>1.5</v>
      </c>
      <c r="D100" s="60">
        <f t="shared" si="32"/>
        <v>0</v>
      </c>
      <c r="E100" s="60">
        <f t="shared" si="32"/>
        <v>3.3</v>
      </c>
      <c r="F100" s="60">
        <f t="shared" si="32"/>
        <v>0</v>
      </c>
      <c r="G100" s="60">
        <f t="shared" si="32"/>
        <v>0</v>
      </c>
      <c r="H100" s="60">
        <f t="shared" si="32"/>
        <v>0</v>
      </c>
      <c r="I100" s="60">
        <f t="shared" si="32"/>
        <v>0</v>
      </c>
      <c r="J100" s="60">
        <f t="shared" si="32"/>
        <v>0</v>
      </c>
      <c r="K100" s="60">
        <f t="shared" si="32"/>
        <v>0</v>
      </c>
      <c r="L100" s="60">
        <f t="shared" si="32"/>
        <v>0</v>
      </c>
      <c r="M100" s="60">
        <f t="shared" si="32"/>
        <v>6.7</v>
      </c>
      <c r="N100" s="60">
        <f t="shared" si="32"/>
        <v>0</v>
      </c>
      <c r="O100" s="60">
        <f t="shared" ref="O100:P100" si="33">O84-O99</f>
        <v>0</v>
      </c>
      <c r="P100" s="60">
        <f t="shared" si="33"/>
        <v>0</v>
      </c>
      <c r="Q100" s="60">
        <f t="shared" si="32"/>
        <v>0</v>
      </c>
      <c r="R100" s="60">
        <f t="shared" si="32"/>
        <v>0</v>
      </c>
      <c r="S100" s="60">
        <f t="shared" si="32"/>
        <v>5</v>
      </c>
      <c r="T100" s="60">
        <f t="shared" si="32"/>
        <v>0</v>
      </c>
      <c r="U100" s="60">
        <f t="shared" si="32"/>
        <v>0</v>
      </c>
      <c r="V100" s="60">
        <f t="shared" si="32"/>
        <v>0</v>
      </c>
      <c r="W100" s="60">
        <f t="shared" si="32"/>
        <v>0</v>
      </c>
      <c r="X100" s="60">
        <f t="shared" si="32"/>
        <v>1.1000000000000001</v>
      </c>
      <c r="Y100" s="60">
        <f t="shared" si="32"/>
        <v>0</v>
      </c>
      <c r="Z100" s="60">
        <f t="shared" si="32"/>
        <v>15</v>
      </c>
      <c r="AA100" s="60"/>
      <c r="AB100" s="60">
        <f t="shared" si="32"/>
        <v>19</v>
      </c>
      <c r="AC100" s="60">
        <f t="shared" si="32"/>
        <v>22.6</v>
      </c>
      <c r="AD100" s="60">
        <f t="shared" si="32"/>
        <v>0</v>
      </c>
      <c r="AE100" s="60">
        <f t="shared" si="32"/>
        <v>0</v>
      </c>
      <c r="AF100" s="60">
        <f t="shared" si="32"/>
        <v>0</v>
      </c>
      <c r="AG100" s="87"/>
      <c r="AH100" s="47">
        <f t="shared" si="17"/>
        <v>22.6</v>
      </c>
      <c r="AI100" s="48">
        <f t="shared" si="18"/>
        <v>0</v>
      </c>
    </row>
    <row r="101" spans="1:37" x14ac:dyDescent="0.25">
      <c r="A101" s="99" t="s">
        <v>109</v>
      </c>
      <c r="B101" s="100">
        <v>50.03</v>
      </c>
      <c r="C101" s="100">
        <v>50.01</v>
      </c>
      <c r="D101" s="100">
        <v>49.951000000000001</v>
      </c>
      <c r="E101" s="100" t="s">
        <v>298</v>
      </c>
      <c r="F101" s="100">
        <v>49.98</v>
      </c>
      <c r="G101" s="100">
        <v>49.933999999999997</v>
      </c>
      <c r="H101" s="100">
        <v>49.996000000000002</v>
      </c>
      <c r="I101" s="100">
        <v>49.9</v>
      </c>
      <c r="J101" s="100">
        <v>50.067999999999998</v>
      </c>
      <c r="K101" s="100">
        <v>50</v>
      </c>
      <c r="L101" s="100">
        <v>49.886000000000003</v>
      </c>
      <c r="M101" s="100">
        <v>49.99</v>
      </c>
      <c r="N101" s="100">
        <v>49.970999999999997</v>
      </c>
      <c r="O101" s="100">
        <v>49.970999999999997</v>
      </c>
      <c r="P101" s="100">
        <v>50.023000000000003</v>
      </c>
      <c r="Q101" s="100">
        <v>49.985999999999997</v>
      </c>
      <c r="R101" s="100">
        <v>49.978999999999999</v>
      </c>
      <c r="S101" s="100">
        <v>49.97</v>
      </c>
      <c r="T101" s="100">
        <v>49.826999999999998</v>
      </c>
      <c r="U101" s="100">
        <v>49.826999999999998</v>
      </c>
      <c r="V101" s="100">
        <v>49.826999999999998</v>
      </c>
      <c r="W101" s="100">
        <v>50.085999999999999</v>
      </c>
      <c r="X101" s="100">
        <v>50.017000000000003</v>
      </c>
      <c r="Y101" s="100">
        <v>50.04</v>
      </c>
      <c r="Z101" s="100">
        <v>49.95</v>
      </c>
      <c r="AA101" s="100">
        <v>49.95</v>
      </c>
      <c r="AB101" s="100">
        <v>49.95</v>
      </c>
      <c r="AC101" s="100">
        <v>49.966999999999999</v>
      </c>
      <c r="AD101" s="100">
        <v>50.042999999999999</v>
      </c>
      <c r="AE101" s="100">
        <v>49.993000000000002</v>
      </c>
      <c r="AF101" s="100">
        <v>49.993000000000002</v>
      </c>
      <c r="AG101" s="101"/>
      <c r="AH101" s="47">
        <f t="shared" si="17"/>
        <v>50.085999999999999</v>
      </c>
      <c r="AI101" s="48">
        <f t="shared" si="18"/>
        <v>49.826999999999998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7"/>
        <v>0</v>
      </c>
      <c r="AI102" s="48">
        <f t="shared" si="18"/>
        <v>0</v>
      </c>
    </row>
    <row r="103" spans="1:37" x14ac:dyDescent="0.25">
      <c r="A103" s="102" t="s">
        <v>111</v>
      </c>
      <c r="B103" s="64">
        <v>129.5</v>
      </c>
      <c r="C103" s="64">
        <v>131.1</v>
      </c>
      <c r="D103" s="64">
        <v>131.1</v>
      </c>
      <c r="E103" s="64">
        <v>131.1</v>
      </c>
      <c r="F103" s="64">
        <v>129</v>
      </c>
      <c r="G103" s="64">
        <v>128</v>
      </c>
      <c r="H103" s="64">
        <v>129</v>
      </c>
      <c r="I103" s="64">
        <v>129</v>
      </c>
      <c r="J103" s="64">
        <v>127.5</v>
      </c>
      <c r="K103" s="64">
        <v>127.5</v>
      </c>
      <c r="L103" s="64">
        <v>125.7</v>
      </c>
      <c r="M103" s="64">
        <v>125.8</v>
      </c>
      <c r="N103" s="64">
        <v>124.6</v>
      </c>
      <c r="O103" s="64">
        <v>124.6</v>
      </c>
      <c r="P103" s="64">
        <v>125.4</v>
      </c>
      <c r="Q103" s="64">
        <v>126.1</v>
      </c>
      <c r="R103" s="64">
        <v>124.4</v>
      </c>
      <c r="S103" s="64">
        <v>126</v>
      </c>
      <c r="T103" s="64">
        <v>126</v>
      </c>
      <c r="U103" s="64">
        <v>126</v>
      </c>
      <c r="V103" s="64">
        <v>126.8</v>
      </c>
      <c r="W103" s="64">
        <v>127</v>
      </c>
      <c r="X103" s="64">
        <v>128</v>
      </c>
      <c r="Y103" s="64">
        <v>126</v>
      </c>
      <c r="Z103" s="64">
        <v>126</v>
      </c>
      <c r="AA103" s="64">
        <v>126</v>
      </c>
      <c r="AB103" s="64">
        <v>126</v>
      </c>
      <c r="AC103" s="64">
        <v>127.8</v>
      </c>
      <c r="AD103" s="64">
        <v>128.1</v>
      </c>
      <c r="AE103" s="64">
        <v>128.30000000000001</v>
      </c>
      <c r="AF103" s="64">
        <v>129.1</v>
      </c>
      <c r="AG103" s="103"/>
      <c r="AH103" s="47">
        <f t="shared" si="17"/>
        <v>131.1</v>
      </c>
      <c r="AI103" s="48">
        <f t="shared" si="18"/>
        <v>124.4</v>
      </c>
    </row>
    <row r="104" spans="1:37" x14ac:dyDescent="0.25">
      <c r="A104" s="102" t="s">
        <v>112</v>
      </c>
      <c r="B104" s="64">
        <v>130.1</v>
      </c>
      <c r="C104" s="64">
        <v>129.5</v>
      </c>
      <c r="D104" s="64">
        <v>129.5</v>
      </c>
      <c r="E104" s="64">
        <v>129.5</v>
      </c>
      <c r="F104" s="64">
        <v>130.80000000000001</v>
      </c>
      <c r="G104" s="64">
        <v>130</v>
      </c>
      <c r="H104" s="64">
        <v>130.6</v>
      </c>
      <c r="I104" s="64">
        <v>130.6</v>
      </c>
      <c r="J104" s="64">
        <v>130.69999999999999</v>
      </c>
      <c r="K104" s="64">
        <v>130.69999999999999</v>
      </c>
      <c r="L104" s="64">
        <v>125</v>
      </c>
      <c r="M104" s="64">
        <v>128.1</v>
      </c>
      <c r="N104" s="64">
        <v>126.3</v>
      </c>
      <c r="O104" s="64">
        <v>126.3</v>
      </c>
      <c r="P104" s="64">
        <v>128.6</v>
      </c>
      <c r="Q104" s="64">
        <v>127.3</v>
      </c>
      <c r="R104" s="64">
        <v>128.4</v>
      </c>
      <c r="S104" s="64">
        <v>128.5</v>
      </c>
      <c r="T104" s="64">
        <v>128.5</v>
      </c>
      <c r="U104" s="64">
        <v>128.5</v>
      </c>
      <c r="V104" s="64">
        <v>129.6</v>
      </c>
      <c r="W104" s="64">
        <v>130</v>
      </c>
      <c r="X104" s="64">
        <v>130</v>
      </c>
      <c r="Y104" s="64">
        <v>127</v>
      </c>
      <c r="Z104" s="64">
        <v>127</v>
      </c>
      <c r="AA104" s="64">
        <v>127</v>
      </c>
      <c r="AB104" s="64">
        <v>127</v>
      </c>
      <c r="AC104" s="64">
        <v>127.9</v>
      </c>
      <c r="AD104" s="64">
        <v>127</v>
      </c>
      <c r="AE104" s="64">
        <v>128</v>
      </c>
      <c r="AF104" s="64">
        <v>126.8</v>
      </c>
      <c r="AG104" s="103"/>
      <c r="AH104" s="47">
        <f t="shared" si="17"/>
        <v>130.80000000000001</v>
      </c>
      <c r="AI104" s="48">
        <f t="shared" si="18"/>
        <v>125</v>
      </c>
    </row>
    <row r="105" spans="1:37" x14ac:dyDescent="0.25">
      <c r="A105" s="104" t="s">
        <v>113</v>
      </c>
      <c r="B105" s="64">
        <v>134.4</v>
      </c>
      <c r="C105" s="64">
        <v>132.6</v>
      </c>
      <c r="D105" s="64">
        <v>132.6</v>
      </c>
      <c r="E105" s="64">
        <v>132.6</v>
      </c>
      <c r="F105" s="64">
        <v>131.9</v>
      </c>
      <c r="G105" s="64">
        <v>131.80000000000001</v>
      </c>
      <c r="H105" s="64">
        <v>131</v>
      </c>
      <c r="I105" s="64">
        <v>131</v>
      </c>
      <c r="J105" s="64">
        <v>132.5</v>
      </c>
      <c r="K105" s="64">
        <v>132.5</v>
      </c>
      <c r="L105" s="64">
        <v>127.8</v>
      </c>
      <c r="M105" s="64">
        <v>131.5</v>
      </c>
      <c r="N105" s="64">
        <v>129.4</v>
      </c>
      <c r="O105" s="64">
        <v>129.4</v>
      </c>
      <c r="P105" s="64">
        <v>130.80000000000001</v>
      </c>
      <c r="Q105" s="64">
        <v>129.30000000000001</v>
      </c>
      <c r="R105" s="64">
        <v>130.6</v>
      </c>
      <c r="S105" s="64">
        <v>130.80000000000001</v>
      </c>
      <c r="T105" s="64">
        <v>130.80000000000001</v>
      </c>
      <c r="U105" s="64">
        <v>130.80000000000001</v>
      </c>
      <c r="V105" s="64">
        <v>132</v>
      </c>
      <c r="W105" s="64">
        <v>132.5</v>
      </c>
      <c r="X105" s="64">
        <v>132.5</v>
      </c>
      <c r="Y105" s="64">
        <v>130</v>
      </c>
      <c r="Z105" s="64">
        <v>130</v>
      </c>
      <c r="AA105" s="64">
        <v>130</v>
      </c>
      <c r="AB105" s="64">
        <v>130</v>
      </c>
      <c r="AC105" s="64">
        <v>127.5</v>
      </c>
      <c r="AD105" s="64">
        <v>130.4</v>
      </c>
      <c r="AE105" s="64">
        <v>131.6</v>
      </c>
      <c r="AF105" s="64">
        <v>131.30000000000001</v>
      </c>
      <c r="AG105" s="103"/>
      <c r="AH105" s="47">
        <f t="shared" si="17"/>
        <v>134.4</v>
      </c>
      <c r="AI105" s="48">
        <f t="shared" si="18"/>
        <v>127.5</v>
      </c>
    </row>
    <row r="106" spans="1:37" x14ac:dyDescent="0.25">
      <c r="A106" s="104" t="s">
        <v>114</v>
      </c>
      <c r="B106" s="105">
        <v>131.6</v>
      </c>
      <c r="C106" s="105">
        <v>129.4</v>
      </c>
      <c r="D106" s="105">
        <v>129.4</v>
      </c>
      <c r="E106" s="105">
        <v>129.4</v>
      </c>
      <c r="F106" s="105">
        <v>130.5</v>
      </c>
      <c r="G106" s="105">
        <v>130</v>
      </c>
      <c r="H106" s="105">
        <v>136</v>
      </c>
      <c r="I106" s="105">
        <v>136</v>
      </c>
      <c r="J106" s="105">
        <v>132.9</v>
      </c>
      <c r="K106" s="105">
        <v>132.9</v>
      </c>
      <c r="L106" s="105">
        <v>129.9</v>
      </c>
      <c r="M106" s="105">
        <v>132.1</v>
      </c>
      <c r="N106" s="105">
        <v>131.4</v>
      </c>
      <c r="O106" s="105">
        <v>131.4</v>
      </c>
      <c r="P106" s="105">
        <v>130.19999999999999</v>
      </c>
      <c r="Q106" s="105">
        <v>129.9</v>
      </c>
      <c r="R106" s="105">
        <v>130.5</v>
      </c>
      <c r="S106" s="105">
        <v>132.4</v>
      </c>
      <c r="T106" s="105">
        <v>132.4</v>
      </c>
      <c r="U106" s="105">
        <v>132.4</v>
      </c>
      <c r="V106" s="105">
        <v>132.30000000000001</v>
      </c>
      <c r="W106" s="105">
        <v>133</v>
      </c>
      <c r="X106" s="105">
        <v>133</v>
      </c>
      <c r="Y106" s="105">
        <v>133.69999999999999</v>
      </c>
      <c r="Z106" s="105">
        <v>133.69999999999999</v>
      </c>
      <c r="AA106" s="105">
        <v>133.69999999999999</v>
      </c>
      <c r="AB106" s="105">
        <v>133.69999999999999</v>
      </c>
      <c r="AC106" s="105">
        <v>133.6</v>
      </c>
      <c r="AD106" s="105">
        <v>134.4</v>
      </c>
      <c r="AE106" s="105">
        <v>131.19999999999999</v>
      </c>
      <c r="AF106" s="105">
        <v>130.69999999999999</v>
      </c>
      <c r="AG106" s="106"/>
      <c r="AH106" s="47">
        <f t="shared" si="17"/>
        <v>136</v>
      </c>
      <c r="AI106" s="48">
        <f t="shared" si="18"/>
        <v>129.4</v>
      </c>
    </row>
    <row r="107" spans="1:37" x14ac:dyDescent="0.25">
      <c r="A107" s="102" t="s">
        <v>115</v>
      </c>
      <c r="B107" s="64">
        <v>134.9</v>
      </c>
      <c r="C107" s="64">
        <v>133.19999999999999</v>
      </c>
      <c r="D107" s="64">
        <v>133.19999999999999</v>
      </c>
      <c r="E107" s="64">
        <v>133.19999999999999</v>
      </c>
      <c r="F107" s="64">
        <v>130.6</v>
      </c>
      <c r="G107" s="64">
        <v>131.5</v>
      </c>
      <c r="H107" s="64">
        <v>131.5</v>
      </c>
      <c r="I107" s="64">
        <v>131.5</v>
      </c>
      <c r="J107" s="64">
        <v>129.69999999999999</v>
      </c>
      <c r="K107" s="64">
        <v>129.69999999999999</v>
      </c>
      <c r="L107" s="64">
        <v>126.5</v>
      </c>
      <c r="M107" s="64">
        <v>128.19999999999999</v>
      </c>
      <c r="N107" s="64">
        <v>134.1</v>
      </c>
      <c r="O107" s="64">
        <v>134.1</v>
      </c>
      <c r="P107" s="64">
        <v>132.80000000000001</v>
      </c>
      <c r="Q107" s="64">
        <v>132.5</v>
      </c>
      <c r="R107" s="64">
        <v>130.5</v>
      </c>
      <c r="S107" s="64">
        <v>127.6</v>
      </c>
      <c r="T107" s="64">
        <v>127.6</v>
      </c>
      <c r="U107" s="64">
        <v>127.6</v>
      </c>
      <c r="V107" s="64">
        <v>133.69999999999999</v>
      </c>
      <c r="W107" s="64">
        <v>128.6</v>
      </c>
      <c r="X107" s="64">
        <v>128.6</v>
      </c>
      <c r="Y107" s="64">
        <v>130</v>
      </c>
      <c r="Z107" s="64">
        <v>130</v>
      </c>
      <c r="AA107" s="64">
        <v>130</v>
      </c>
      <c r="AB107" s="64">
        <v>130</v>
      </c>
      <c r="AC107" s="64">
        <v>134.1</v>
      </c>
      <c r="AD107" s="64">
        <v>135.69999999999999</v>
      </c>
      <c r="AE107" s="64">
        <v>135.69999999999999</v>
      </c>
      <c r="AF107" s="64">
        <v>131.9</v>
      </c>
      <c r="AG107" s="103"/>
      <c r="AH107" s="47">
        <f t="shared" si="17"/>
        <v>135.69999999999999</v>
      </c>
      <c r="AI107" s="48">
        <f t="shared" si="18"/>
        <v>126.5</v>
      </c>
    </row>
    <row r="108" spans="1:37" ht="15.75" thickBot="1" x14ac:dyDescent="0.3">
      <c r="A108" s="102" t="s">
        <v>116</v>
      </c>
      <c r="B108" s="91">
        <v>65.599999999999994</v>
      </c>
      <c r="C108" s="91">
        <v>66.2</v>
      </c>
      <c r="D108" s="91">
        <v>66.2</v>
      </c>
      <c r="E108" s="91">
        <v>66.2</v>
      </c>
      <c r="F108" s="91">
        <v>65</v>
      </c>
      <c r="G108" s="91">
        <v>65</v>
      </c>
      <c r="H108" s="91">
        <v>65.2</v>
      </c>
      <c r="I108" s="91">
        <v>65.2</v>
      </c>
      <c r="J108" s="91">
        <v>64.400000000000006</v>
      </c>
      <c r="K108" s="91">
        <v>64.400000000000006</v>
      </c>
      <c r="L108" s="91">
        <v>63.6</v>
      </c>
      <c r="M108" s="91">
        <v>63.8</v>
      </c>
      <c r="N108" s="91">
        <v>63</v>
      </c>
      <c r="O108" s="91">
        <v>63</v>
      </c>
      <c r="P108" s="91">
        <v>63.2</v>
      </c>
      <c r="Q108" s="91">
        <v>63.5</v>
      </c>
      <c r="R108" s="91">
        <v>62.9</v>
      </c>
      <c r="S108" s="91">
        <v>63.3</v>
      </c>
      <c r="T108" s="91">
        <v>63.3</v>
      </c>
      <c r="U108" s="91">
        <v>63.3</v>
      </c>
      <c r="V108" s="91">
        <v>64</v>
      </c>
      <c r="W108" s="91">
        <v>64</v>
      </c>
      <c r="X108" s="91">
        <v>64.7</v>
      </c>
      <c r="Y108" s="91">
        <v>63.4</v>
      </c>
      <c r="Z108" s="91">
        <v>63.4</v>
      </c>
      <c r="AA108" s="91">
        <v>63.4</v>
      </c>
      <c r="AB108" s="91">
        <v>63.4</v>
      </c>
      <c r="AC108" s="91">
        <v>64.599999999999994</v>
      </c>
      <c r="AD108" s="91">
        <v>64.599999999999994</v>
      </c>
      <c r="AE108" s="91">
        <v>64.7</v>
      </c>
      <c r="AF108" s="91">
        <v>65.2</v>
      </c>
      <c r="AG108" s="107"/>
      <c r="AH108" s="47">
        <f t="shared" si="17"/>
        <v>66.2</v>
      </c>
      <c r="AI108" s="48">
        <f t="shared" si="18"/>
        <v>62.9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17"/>
        <v>0</v>
      </c>
      <c r="AI109" s="48">
        <f t="shared" si="18"/>
        <v>0</v>
      </c>
    </row>
    <row r="110" spans="1:37" ht="15.75" thickBot="1" x14ac:dyDescent="0.3">
      <c r="A110" s="109" t="s">
        <v>118</v>
      </c>
      <c r="B110" s="110">
        <f t="shared" ref="B110" si="34">SUM(B20,B26,B29:B30,B58,B60:B61,B63,B65,B111:B115,B138,B144,B150,B159,B161,B173,B180,B183:B184,B191,B193,B195,B199:B201,B203:B205,B210,B216:B217,B219:B221,B229,B234)</f>
        <v>117.4</v>
      </c>
      <c r="C110" s="110">
        <f t="shared" ref="C110:N110" si="35">SUM(C20,C26,C29:C30,C58,C60:C61,C63,C65,C111:C115,C138,C144,C150,C159,C161,C173,C180,C183:C184,C191,C193,C195,C199:C201,C203:C205,C210,C216:C217,C219:C221,C229,C234)</f>
        <v>94.039999999999992</v>
      </c>
      <c r="D110" s="110">
        <f t="shared" si="35"/>
        <v>56.74</v>
      </c>
      <c r="E110" s="110">
        <f t="shared" si="35"/>
        <v>51.840000000000018</v>
      </c>
      <c r="F110" s="110">
        <f t="shared" si="35"/>
        <v>71.740000000000009</v>
      </c>
      <c r="G110" s="110">
        <f t="shared" si="35"/>
        <v>88.239999999999981</v>
      </c>
      <c r="H110" s="110">
        <f t="shared" si="35"/>
        <v>119.33999999999997</v>
      </c>
      <c r="I110" s="110">
        <f t="shared" si="35"/>
        <v>162.63999999999999</v>
      </c>
      <c r="J110" s="110">
        <f t="shared" si="35"/>
        <v>200.94</v>
      </c>
      <c r="K110" s="110">
        <f t="shared" si="35"/>
        <v>200.94</v>
      </c>
      <c r="L110" s="110">
        <f t="shared" si="35"/>
        <v>211.24</v>
      </c>
      <c r="M110" s="110">
        <f t="shared" si="35"/>
        <v>205.92999999999998</v>
      </c>
      <c r="N110" s="110">
        <f t="shared" si="35"/>
        <v>199.03</v>
      </c>
      <c r="O110" s="110">
        <f t="shared" ref="O110:P110" si="36">SUM(O20,O26,O29:O30,O58,O60:O61,O63,O65,O111:O115,O138,O144,O150,O159,O161,O173,O180,O183:O184,O191,O193,O195,O199:O201,O203:O205,O210,O216:O217,O219:O221,O229,O234)</f>
        <v>203.23</v>
      </c>
      <c r="P110" s="110">
        <f t="shared" si="36"/>
        <v>213.84000000000003</v>
      </c>
      <c r="Q110" s="110">
        <f t="shared" ref="Q110:AF110" si="37">SUM(Q20,Q26,Q29:Q30,Q58,Q60:Q61,Q63,Q65,Q111:Q115,Q138,Q144,Q150,Q159,Q161,Q173,Q180,Q183:Q184,Q191,Q193,Q195,Q199:Q201,Q203:Q205,Q210,Q216:Q217,Q219:Q221,Q229,Q234)</f>
        <v>425.70000000000005</v>
      </c>
      <c r="R110" s="110">
        <f t="shared" si="37"/>
        <v>194.89999999999998</v>
      </c>
      <c r="S110" s="110">
        <f t="shared" si="37"/>
        <v>204.16</v>
      </c>
      <c r="T110" s="110">
        <f t="shared" si="37"/>
        <v>198.20000000000002</v>
      </c>
      <c r="U110" s="110">
        <f t="shared" si="37"/>
        <v>198.60000000000002</v>
      </c>
      <c r="V110" s="110">
        <f t="shared" si="37"/>
        <v>188</v>
      </c>
      <c r="W110" s="110">
        <f t="shared" si="37"/>
        <v>196.4</v>
      </c>
      <c r="X110" s="110">
        <f t="shared" si="37"/>
        <v>203.3</v>
      </c>
      <c r="Y110" s="110">
        <f t="shared" si="37"/>
        <v>222.1</v>
      </c>
      <c r="Z110" s="110">
        <f t="shared" si="37"/>
        <v>246.5</v>
      </c>
      <c r="AA110" s="110">
        <v>247.7</v>
      </c>
      <c r="AB110" s="110">
        <f t="shared" si="37"/>
        <v>246.5</v>
      </c>
      <c r="AC110" s="110">
        <f t="shared" si="37"/>
        <v>222</v>
      </c>
      <c r="AD110" s="110"/>
      <c r="AE110" s="110">
        <f t="shared" si="37"/>
        <v>114.5</v>
      </c>
      <c r="AF110" s="110">
        <f t="shared" si="37"/>
        <v>82.4</v>
      </c>
      <c r="AG110" s="111"/>
      <c r="AH110" s="47">
        <f t="shared" si="17"/>
        <v>425.70000000000005</v>
      </c>
      <c r="AI110" s="48">
        <f t="shared" si="18"/>
        <v>51.840000000000018</v>
      </c>
    </row>
    <row r="111" spans="1:37" x14ac:dyDescent="0.25">
      <c r="A111" s="99" t="s">
        <v>119</v>
      </c>
      <c r="B111" s="112">
        <v>32.9</v>
      </c>
      <c r="C111" s="112">
        <v>17.2</v>
      </c>
      <c r="D111" s="112">
        <v>28.3</v>
      </c>
      <c r="E111" s="112">
        <v>29.2</v>
      </c>
      <c r="F111" s="112">
        <v>31.6</v>
      </c>
      <c r="G111" s="112">
        <v>34.9</v>
      </c>
      <c r="H111" s="112">
        <v>35.799999999999997</v>
      </c>
      <c r="I111" s="112">
        <v>46.5</v>
      </c>
      <c r="J111" s="112">
        <v>44.3</v>
      </c>
      <c r="K111" s="112">
        <v>44.3</v>
      </c>
      <c r="L111" s="112">
        <v>54.8</v>
      </c>
      <c r="M111" s="112">
        <v>56</v>
      </c>
      <c r="N111" s="112">
        <v>58.2</v>
      </c>
      <c r="O111" s="112">
        <v>58.2</v>
      </c>
      <c r="P111" s="112">
        <v>53.2</v>
      </c>
      <c r="Q111" s="112">
        <v>46.8</v>
      </c>
      <c r="R111" s="112">
        <v>44.8</v>
      </c>
      <c r="S111" s="112">
        <v>48</v>
      </c>
      <c r="T111" s="112">
        <v>45.7</v>
      </c>
      <c r="U111" s="112">
        <v>47.5</v>
      </c>
      <c r="V111" s="112">
        <v>48.5</v>
      </c>
      <c r="W111" s="112">
        <v>49.9</v>
      </c>
      <c r="X111" s="112">
        <v>47.5</v>
      </c>
      <c r="Y111" s="112">
        <v>69.400000000000006</v>
      </c>
      <c r="Z111" s="112">
        <v>71</v>
      </c>
      <c r="AA111" s="112">
        <v>71</v>
      </c>
      <c r="AB111" s="112">
        <v>71</v>
      </c>
      <c r="AC111" s="112">
        <v>44</v>
      </c>
      <c r="AD111" s="112">
        <v>40.6</v>
      </c>
      <c r="AE111" s="112">
        <v>34.5</v>
      </c>
      <c r="AF111" s="112">
        <v>34.200000000000003</v>
      </c>
      <c r="AG111" s="113">
        <v>75</v>
      </c>
      <c r="AH111" s="47">
        <f t="shared" si="17"/>
        <v>71</v>
      </c>
      <c r="AI111" s="48">
        <f t="shared" si="18"/>
        <v>17.2</v>
      </c>
    </row>
    <row r="112" spans="1:37" x14ac:dyDescent="0.25">
      <c r="A112" s="102" t="s">
        <v>120</v>
      </c>
      <c r="B112" s="114">
        <v>41.2</v>
      </c>
      <c r="C112" s="114">
        <v>27.1</v>
      </c>
      <c r="D112" s="114">
        <v>39.299999999999997</v>
      </c>
      <c r="E112" s="114">
        <v>41</v>
      </c>
      <c r="F112" s="114">
        <v>45.4</v>
      </c>
      <c r="G112" s="114">
        <v>48.6</v>
      </c>
      <c r="H112" s="114">
        <v>49.3</v>
      </c>
      <c r="I112" s="114">
        <v>64</v>
      </c>
      <c r="J112" s="114">
        <v>62.6</v>
      </c>
      <c r="K112" s="114">
        <v>62.6</v>
      </c>
      <c r="L112" s="114">
        <v>76.3</v>
      </c>
      <c r="M112" s="114">
        <v>78.8</v>
      </c>
      <c r="N112" s="114">
        <v>83.7</v>
      </c>
      <c r="O112" s="114">
        <v>83.7</v>
      </c>
      <c r="P112" s="114">
        <v>75.900000000000006</v>
      </c>
      <c r="Q112" s="114">
        <v>66.900000000000006</v>
      </c>
      <c r="R112" s="114">
        <v>62.1</v>
      </c>
      <c r="S112" s="114">
        <v>70</v>
      </c>
      <c r="T112" s="114">
        <v>65.3</v>
      </c>
      <c r="U112" s="114">
        <v>67.2</v>
      </c>
      <c r="V112" s="114">
        <v>69.5</v>
      </c>
      <c r="W112" s="114">
        <v>69.8</v>
      </c>
      <c r="X112" s="114">
        <v>65.3</v>
      </c>
      <c r="Y112" s="114">
        <v>49</v>
      </c>
      <c r="Z112" s="114">
        <v>48</v>
      </c>
      <c r="AA112" s="114">
        <v>48</v>
      </c>
      <c r="AB112" s="114">
        <v>48</v>
      </c>
      <c r="AC112" s="114">
        <v>66.099999999999994</v>
      </c>
      <c r="AD112" s="114">
        <v>59.3</v>
      </c>
      <c r="AE112" s="114">
        <v>48</v>
      </c>
      <c r="AF112" s="114">
        <v>46.9</v>
      </c>
      <c r="AG112" s="113">
        <v>240</v>
      </c>
      <c r="AH112" s="47">
        <f t="shared" si="17"/>
        <v>83.7</v>
      </c>
      <c r="AI112" s="48">
        <f t="shared" si="18"/>
        <v>27.1</v>
      </c>
    </row>
    <row r="113" spans="1:37" x14ac:dyDescent="0.25">
      <c r="A113" s="102" t="s">
        <v>121</v>
      </c>
      <c r="B113" s="114">
        <f>-46-51.4</f>
        <v>-97.4</v>
      </c>
      <c r="C113" s="114">
        <f>-45.5-55</f>
        <v>-100.5</v>
      </c>
      <c r="D113" s="114">
        <v>-110</v>
      </c>
      <c r="E113" s="114">
        <v>-120</v>
      </c>
      <c r="F113" s="114">
        <v>-125</v>
      </c>
      <c r="G113" s="114">
        <v>-120</v>
      </c>
      <c r="H113" s="114">
        <v>-102</v>
      </c>
      <c r="I113" s="114">
        <v>-81.7</v>
      </c>
      <c r="J113" s="114">
        <v>-90.8</v>
      </c>
      <c r="K113" s="114">
        <v>-90.8</v>
      </c>
      <c r="L113" s="114">
        <v>-79</v>
      </c>
      <c r="M113" s="114">
        <v>-86</v>
      </c>
      <c r="N113" s="114">
        <v>-80</v>
      </c>
      <c r="O113" s="114">
        <v>-80</v>
      </c>
      <c r="P113" s="114">
        <v>-108.9</v>
      </c>
      <c r="Q113" s="114">
        <v>120</v>
      </c>
      <c r="R113" s="114">
        <v>-105</v>
      </c>
      <c r="S113" s="114">
        <v>-117</v>
      </c>
      <c r="T113" s="114">
        <v>-106</v>
      </c>
      <c r="U113" s="114">
        <v>-108</v>
      </c>
      <c r="V113" s="114">
        <v>-110</v>
      </c>
      <c r="W113" s="114">
        <v>-104</v>
      </c>
      <c r="X113" s="114">
        <v>-97.6</v>
      </c>
      <c r="Y113" s="114">
        <v>-87</v>
      </c>
      <c r="Z113" s="114">
        <v>-109</v>
      </c>
      <c r="AA113" s="114">
        <v>-109</v>
      </c>
      <c r="AB113" s="114">
        <v>-109</v>
      </c>
      <c r="AC113" s="114">
        <v>-114</v>
      </c>
      <c r="AD113" s="114">
        <v>-120</v>
      </c>
      <c r="AE113" s="114">
        <v>-125</v>
      </c>
      <c r="AF113" s="114">
        <v>-115</v>
      </c>
      <c r="AG113" s="113">
        <v>240</v>
      </c>
      <c r="AH113" s="47">
        <f t="shared" si="17"/>
        <v>120</v>
      </c>
      <c r="AI113" s="48">
        <f t="shared" si="18"/>
        <v>-125</v>
      </c>
    </row>
    <row r="114" spans="1:37" x14ac:dyDescent="0.25">
      <c r="A114" s="102" t="s">
        <v>122</v>
      </c>
      <c r="B114" s="114">
        <v>1.5</v>
      </c>
      <c r="C114" s="114">
        <v>13.1</v>
      </c>
      <c r="D114" s="114">
        <v>-7.6</v>
      </c>
      <c r="E114" s="114">
        <v>-9.9</v>
      </c>
      <c r="F114" s="114">
        <v>-7.9</v>
      </c>
      <c r="G114" s="114">
        <v>-9.5</v>
      </c>
      <c r="H114" s="114">
        <v>-3</v>
      </c>
      <c r="I114" s="114">
        <v>1.8</v>
      </c>
      <c r="J114" s="114">
        <v>21</v>
      </c>
      <c r="K114" s="114">
        <v>21</v>
      </c>
      <c r="L114" s="114">
        <v>14.1</v>
      </c>
      <c r="M114" s="114">
        <v>12</v>
      </c>
      <c r="N114" s="114">
        <v>4.0999999999999996</v>
      </c>
      <c r="O114" s="114">
        <v>4.0999999999999996</v>
      </c>
      <c r="P114" s="114">
        <v>1.3</v>
      </c>
      <c r="Q114" s="114">
        <v>0.5</v>
      </c>
      <c r="R114" s="114">
        <v>1.8</v>
      </c>
      <c r="S114" s="114">
        <v>-1.74</v>
      </c>
      <c r="T114" s="114">
        <v>1.2</v>
      </c>
      <c r="U114" s="114">
        <v>1</v>
      </c>
      <c r="V114" s="114">
        <v>-0.5</v>
      </c>
      <c r="W114" s="114">
        <v>-0.4</v>
      </c>
      <c r="X114" s="114">
        <v>2.4</v>
      </c>
      <c r="Y114" s="114">
        <v>5</v>
      </c>
      <c r="Z114" s="114">
        <v>28</v>
      </c>
      <c r="AA114" s="114">
        <v>28</v>
      </c>
      <c r="AB114" s="114">
        <v>28</v>
      </c>
      <c r="AC114" s="114">
        <v>6.3</v>
      </c>
      <c r="AD114" s="114">
        <v>-3</v>
      </c>
      <c r="AE114" s="114">
        <v>-6</v>
      </c>
      <c r="AF114" s="114">
        <v>-8</v>
      </c>
      <c r="AG114" s="113">
        <v>60</v>
      </c>
      <c r="AH114" s="47">
        <f t="shared" si="17"/>
        <v>28</v>
      </c>
      <c r="AI114" s="48">
        <f t="shared" si="18"/>
        <v>-9.9</v>
      </c>
    </row>
    <row r="115" spans="1:37" x14ac:dyDescent="0.25">
      <c r="A115" s="115" t="s">
        <v>123</v>
      </c>
      <c r="B115" s="116">
        <v>43</v>
      </c>
      <c r="C115" s="116">
        <v>40</v>
      </c>
      <c r="D115" s="116">
        <v>24</v>
      </c>
      <c r="E115" s="116">
        <v>23.7</v>
      </c>
      <c r="F115" s="116">
        <v>23.5</v>
      </c>
      <c r="G115" s="116">
        <v>25.5</v>
      </c>
      <c r="H115" s="116">
        <v>30.5</v>
      </c>
      <c r="I115" s="116">
        <v>23.2</v>
      </c>
      <c r="J115" s="116">
        <v>55</v>
      </c>
      <c r="K115" s="116">
        <v>55</v>
      </c>
      <c r="L115" s="116">
        <v>36.200000000000003</v>
      </c>
      <c r="M115" s="116">
        <v>36.1</v>
      </c>
      <c r="N115" s="116">
        <v>24</v>
      </c>
      <c r="O115" s="116">
        <v>24</v>
      </c>
      <c r="P115" s="116">
        <v>67.5</v>
      </c>
      <c r="Q115" s="116">
        <v>67.599999999999994</v>
      </c>
      <c r="R115" s="116">
        <v>67.3</v>
      </c>
      <c r="S115" s="116">
        <v>67.5</v>
      </c>
      <c r="T115" s="116">
        <v>54.6</v>
      </c>
      <c r="U115" s="116">
        <v>53.5</v>
      </c>
      <c r="V115" s="116">
        <v>52.3</v>
      </c>
      <c r="W115" s="116">
        <v>52.5</v>
      </c>
      <c r="X115" s="116">
        <v>52.5</v>
      </c>
      <c r="Y115" s="116">
        <v>52.5</v>
      </c>
      <c r="Z115" s="116">
        <v>70</v>
      </c>
      <c r="AA115" s="116">
        <v>70</v>
      </c>
      <c r="AB115" s="116">
        <v>70</v>
      </c>
      <c r="AC115" s="116">
        <v>72</v>
      </c>
      <c r="AD115" s="116">
        <v>71</v>
      </c>
      <c r="AE115" s="116">
        <v>45</v>
      </c>
      <c r="AF115" s="116">
        <v>9.6</v>
      </c>
      <c r="AG115" s="117">
        <v>120</v>
      </c>
      <c r="AH115" s="47">
        <f t="shared" si="17"/>
        <v>72</v>
      </c>
      <c r="AI115" s="48">
        <f t="shared" si="18"/>
        <v>9.6</v>
      </c>
    </row>
    <row r="116" spans="1:37" x14ac:dyDescent="0.25">
      <c r="A116" s="115" t="s">
        <v>124</v>
      </c>
      <c r="B116" s="116">
        <v>27.1</v>
      </c>
      <c r="C116" s="116">
        <v>47</v>
      </c>
      <c r="D116" s="116">
        <v>45.7</v>
      </c>
      <c r="E116" s="116">
        <v>29.8</v>
      </c>
      <c r="F116" s="116">
        <v>25.8</v>
      </c>
      <c r="G116" s="116">
        <v>18.899999999999999</v>
      </c>
      <c r="H116" s="116">
        <v>29.4</v>
      </c>
      <c r="I116" s="116">
        <v>37.5</v>
      </c>
      <c r="J116" s="116">
        <v>27.5</v>
      </c>
      <c r="K116" s="116">
        <v>27.5</v>
      </c>
      <c r="L116" s="116">
        <v>15</v>
      </c>
      <c r="M116" s="116">
        <v>9.3000000000000007</v>
      </c>
      <c r="N116" s="116">
        <v>34.6</v>
      </c>
      <c r="O116" s="116">
        <v>34.6</v>
      </c>
      <c r="P116" s="116">
        <v>19.5</v>
      </c>
      <c r="Q116" s="116">
        <v>9.9</v>
      </c>
      <c r="R116" s="116">
        <v>20</v>
      </c>
      <c r="S116" s="116">
        <v>16.3</v>
      </c>
      <c r="T116" s="116">
        <v>28.2</v>
      </c>
      <c r="U116" s="116">
        <v>15.6</v>
      </c>
      <c r="V116" s="116">
        <v>13.6</v>
      </c>
      <c r="W116" s="116">
        <v>4</v>
      </c>
      <c r="X116" s="116">
        <v>12.7</v>
      </c>
      <c r="Y116" s="116">
        <v>10.7</v>
      </c>
      <c r="Z116" s="116">
        <v>18</v>
      </c>
      <c r="AA116" s="116">
        <v>18</v>
      </c>
      <c r="AB116" s="116">
        <v>18</v>
      </c>
      <c r="AC116" s="116">
        <v>24</v>
      </c>
      <c r="AD116" s="116">
        <v>25</v>
      </c>
      <c r="AE116" s="116">
        <v>24</v>
      </c>
      <c r="AF116" s="116">
        <v>42</v>
      </c>
      <c r="AG116" s="117"/>
      <c r="AH116" s="47">
        <f t="shared" si="17"/>
        <v>47</v>
      </c>
      <c r="AI116" s="48">
        <f t="shared" si="18"/>
        <v>4</v>
      </c>
    </row>
    <row r="117" spans="1:37" x14ac:dyDescent="0.25">
      <c r="A117" s="115" t="s">
        <v>125</v>
      </c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8"/>
      <c r="AH117" s="47">
        <f t="shared" si="17"/>
        <v>0</v>
      </c>
      <c r="AI117" s="48">
        <f t="shared" si="18"/>
        <v>0</v>
      </c>
    </row>
    <row r="118" spans="1:37" x14ac:dyDescent="0.25">
      <c r="A118" s="119" t="s">
        <v>126</v>
      </c>
      <c r="B118" s="105">
        <v>37</v>
      </c>
      <c r="C118" s="105">
        <v>47.6</v>
      </c>
      <c r="D118" s="105">
        <v>50</v>
      </c>
      <c r="E118" s="105">
        <v>52.5</v>
      </c>
      <c r="F118" s="105">
        <v>53.1</v>
      </c>
      <c r="G118" s="105">
        <v>52.6</v>
      </c>
      <c r="H118" s="105">
        <v>49</v>
      </c>
      <c r="I118" s="105">
        <v>38.299999999999997</v>
      </c>
      <c r="J118" s="105">
        <v>36.1</v>
      </c>
      <c r="K118" s="105">
        <v>36.1</v>
      </c>
      <c r="L118" s="105">
        <v>44.2</v>
      </c>
      <c r="M118" s="105">
        <v>45.4</v>
      </c>
      <c r="N118" s="105">
        <v>38.799999999999997</v>
      </c>
      <c r="O118" s="105">
        <v>38.799999999999997</v>
      </c>
      <c r="P118" s="105">
        <v>34</v>
      </c>
      <c r="Q118" s="105">
        <v>32.6</v>
      </c>
      <c r="R118" s="105">
        <v>33.799999999999997</v>
      </c>
      <c r="S118" s="105">
        <v>30.4</v>
      </c>
      <c r="T118" s="105">
        <v>26.6</v>
      </c>
      <c r="U118" s="105">
        <v>29</v>
      </c>
      <c r="V118" s="105">
        <v>36.6</v>
      </c>
      <c r="W118" s="105">
        <v>25.8</v>
      </c>
      <c r="X118" s="105">
        <v>33.5</v>
      </c>
      <c r="Y118" s="105">
        <v>34</v>
      </c>
      <c r="Z118" s="105">
        <v>22</v>
      </c>
      <c r="AA118" s="105"/>
      <c r="AB118" s="105"/>
      <c r="AC118" s="105">
        <v>21</v>
      </c>
      <c r="AD118" s="105">
        <v>11</v>
      </c>
      <c r="AE118" s="105">
        <v>23</v>
      </c>
      <c r="AF118" s="105">
        <v>28.4</v>
      </c>
      <c r="AG118" s="118"/>
      <c r="AH118" s="47">
        <f t="shared" si="17"/>
        <v>53.1</v>
      </c>
      <c r="AI118" s="48">
        <f t="shared" si="18"/>
        <v>11</v>
      </c>
    </row>
    <row r="119" spans="1:37" x14ac:dyDescent="0.25">
      <c r="A119" s="120" t="s">
        <v>127</v>
      </c>
      <c r="B119" s="105">
        <v>92.3</v>
      </c>
      <c r="C119" s="105">
        <v>94</v>
      </c>
      <c r="D119" s="105">
        <v>92</v>
      </c>
      <c r="E119" s="105">
        <v>95.2</v>
      </c>
      <c r="F119" s="105">
        <v>100</v>
      </c>
      <c r="G119" s="105">
        <v>98</v>
      </c>
      <c r="H119" s="105">
        <v>86.8</v>
      </c>
      <c r="I119" s="105">
        <v>95</v>
      </c>
      <c r="J119" s="105">
        <v>87.4</v>
      </c>
      <c r="K119" s="105">
        <v>87.4</v>
      </c>
      <c r="L119" s="105">
        <v>85.3</v>
      </c>
      <c r="M119" s="105">
        <v>99</v>
      </c>
      <c r="N119" s="105">
        <v>79.3</v>
      </c>
      <c r="O119" s="105">
        <v>79.3</v>
      </c>
      <c r="P119" s="105">
        <v>96.6</v>
      </c>
      <c r="Q119" s="105">
        <v>100.5</v>
      </c>
      <c r="R119" s="105">
        <v>97.1</v>
      </c>
      <c r="S119" s="105">
        <v>101.9</v>
      </c>
      <c r="T119" s="105">
        <v>105</v>
      </c>
      <c r="U119" s="105">
        <v>102</v>
      </c>
      <c r="V119" s="105">
        <v>95.2</v>
      </c>
      <c r="W119" s="105">
        <v>93.3</v>
      </c>
      <c r="X119" s="105">
        <v>83.5</v>
      </c>
      <c r="Y119" s="105">
        <v>78</v>
      </c>
      <c r="Z119" s="105">
        <v>89</v>
      </c>
      <c r="AA119" s="105">
        <v>901</v>
      </c>
      <c r="AB119" s="105">
        <v>901</v>
      </c>
      <c r="AC119" s="105">
        <v>94</v>
      </c>
      <c r="AD119" s="105">
        <v>97</v>
      </c>
      <c r="AE119" s="105">
        <v>100</v>
      </c>
      <c r="AF119" s="105">
        <v>92</v>
      </c>
      <c r="AG119" s="118"/>
      <c r="AH119" s="47">
        <f t="shared" si="17"/>
        <v>901</v>
      </c>
      <c r="AI119" s="48">
        <f t="shared" si="18"/>
        <v>78</v>
      </c>
    </row>
    <row r="120" spans="1:37" ht="15.75" thickBot="1" x14ac:dyDescent="0.3">
      <c r="A120" s="119" t="s">
        <v>128</v>
      </c>
      <c r="B120" s="105">
        <v>35</v>
      </c>
      <c r="C120" s="105">
        <v>26.6</v>
      </c>
      <c r="D120" s="105">
        <v>20.6</v>
      </c>
      <c r="E120" s="105">
        <v>17.5</v>
      </c>
      <c r="F120" s="105">
        <v>17.2</v>
      </c>
      <c r="G120" s="105">
        <v>9.8000000000000007</v>
      </c>
      <c r="H120" s="105">
        <v>1.1000000000000001</v>
      </c>
      <c r="I120" s="105">
        <v>6</v>
      </c>
      <c r="J120" s="105">
        <v>13.2</v>
      </c>
      <c r="K120" s="105">
        <v>13.2</v>
      </c>
      <c r="L120" s="105">
        <v>15.8</v>
      </c>
      <c r="M120" s="105">
        <v>16.3</v>
      </c>
      <c r="N120" s="105">
        <v>25.7</v>
      </c>
      <c r="O120" s="105">
        <v>25.7</v>
      </c>
      <c r="P120" s="105">
        <v>36.799999999999997</v>
      </c>
      <c r="Q120" s="105">
        <v>34</v>
      </c>
      <c r="R120" s="105">
        <v>29.8</v>
      </c>
      <c r="S120" s="105">
        <v>31.8</v>
      </c>
      <c r="T120" s="105">
        <v>31.9</v>
      </c>
      <c r="U120" s="105">
        <v>28.5</v>
      </c>
      <c r="V120" s="105">
        <v>27.9</v>
      </c>
      <c r="W120" s="105">
        <v>25.9</v>
      </c>
      <c r="X120" s="105">
        <v>14.4</v>
      </c>
      <c r="Y120" s="105">
        <v>13.5</v>
      </c>
      <c r="Z120" s="105">
        <v>48</v>
      </c>
      <c r="AA120" s="105"/>
      <c r="AB120" s="105"/>
      <c r="AC120" s="105">
        <v>52</v>
      </c>
      <c r="AD120" s="105">
        <v>60</v>
      </c>
      <c r="AE120" s="105">
        <v>50</v>
      </c>
      <c r="AF120" s="105">
        <v>47</v>
      </c>
      <c r="AG120" s="118"/>
      <c r="AH120" s="47">
        <f t="shared" si="17"/>
        <v>60</v>
      </c>
      <c r="AI120" s="48">
        <f t="shared" si="18"/>
        <v>1.1000000000000001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38">SUM(B122:B226)</f>
        <v>0</v>
      </c>
      <c r="C227" s="136">
        <f t="shared" si="38"/>
        <v>0</v>
      </c>
      <c r="D227" s="136">
        <f t="shared" si="38"/>
        <v>0</v>
      </c>
      <c r="E227" s="136">
        <f t="shared" si="38"/>
        <v>0</v>
      </c>
      <c r="F227" s="136">
        <f t="shared" si="38"/>
        <v>0</v>
      </c>
      <c r="G227" s="136">
        <f t="shared" si="38"/>
        <v>0</v>
      </c>
      <c r="H227" s="136">
        <f t="shared" si="38"/>
        <v>0</v>
      </c>
      <c r="I227" s="136">
        <f t="shared" si="38"/>
        <v>0</v>
      </c>
      <c r="J227" s="136">
        <f t="shared" si="38"/>
        <v>0</v>
      </c>
      <c r="K227" s="136">
        <f t="shared" si="38"/>
        <v>0</v>
      </c>
      <c r="L227" s="136">
        <f t="shared" si="38"/>
        <v>0</v>
      </c>
      <c r="M227" s="136">
        <f t="shared" si="38"/>
        <v>0</v>
      </c>
      <c r="N227" s="136">
        <f t="shared" si="38"/>
        <v>0</v>
      </c>
      <c r="O227" s="136">
        <f t="shared" si="38"/>
        <v>0</v>
      </c>
      <c r="P227" s="136">
        <f t="shared" si="38"/>
        <v>0</v>
      </c>
      <c r="Q227" s="136">
        <f t="shared" si="38"/>
        <v>0</v>
      </c>
      <c r="R227" s="136">
        <f t="shared" si="38"/>
        <v>0</v>
      </c>
      <c r="S227" s="136">
        <f t="shared" si="38"/>
        <v>0</v>
      </c>
      <c r="T227" s="136">
        <f t="shared" si="38"/>
        <v>0</v>
      </c>
      <c r="U227" s="136">
        <f t="shared" si="38"/>
        <v>0</v>
      </c>
      <c r="V227" s="136">
        <f t="shared" si="38"/>
        <v>0</v>
      </c>
      <c r="W227" s="136">
        <f t="shared" si="38"/>
        <v>0</v>
      </c>
      <c r="X227" s="136">
        <f t="shared" si="38"/>
        <v>0</v>
      </c>
      <c r="Y227" s="136">
        <f t="shared" si="38"/>
        <v>0</v>
      </c>
      <c r="Z227" s="136">
        <f t="shared" si="38"/>
        <v>0</v>
      </c>
      <c r="AA227" s="136">
        <f t="shared" si="38"/>
        <v>0</v>
      </c>
      <c r="AB227" s="136">
        <f t="shared" si="38"/>
        <v>0</v>
      </c>
      <c r="AC227" s="136">
        <f t="shared" si="38"/>
        <v>0</v>
      </c>
      <c r="AD227" s="136">
        <f t="shared" si="38"/>
        <v>0</v>
      </c>
      <c r="AE227" s="136">
        <f t="shared" si="38"/>
        <v>0</v>
      </c>
      <c r="AF227" s="137">
        <f t="shared" si="38"/>
        <v>0</v>
      </c>
      <c r="AG227" s="138">
        <f t="shared" si="38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39">AF229</f>
        <v>0</v>
      </c>
      <c r="C229" s="140">
        <v>0.3</v>
      </c>
      <c r="D229" s="140">
        <f t="shared" ref="D229:P234" si="40">C229</f>
        <v>0.3</v>
      </c>
      <c r="E229" s="140">
        <f t="shared" si="40"/>
        <v>0.3</v>
      </c>
      <c r="F229" s="140">
        <f t="shared" si="40"/>
        <v>0.3</v>
      </c>
      <c r="G229" s="140">
        <f t="shared" si="40"/>
        <v>0.3</v>
      </c>
      <c r="H229" s="140">
        <f t="shared" si="40"/>
        <v>0.3</v>
      </c>
      <c r="I229" s="140">
        <f t="shared" si="40"/>
        <v>0.3</v>
      </c>
      <c r="J229" s="140">
        <f t="shared" si="40"/>
        <v>0.3</v>
      </c>
      <c r="K229" s="140">
        <f t="shared" si="40"/>
        <v>0.3</v>
      </c>
      <c r="L229" s="140">
        <f t="shared" si="40"/>
        <v>0.3</v>
      </c>
      <c r="M229" s="140">
        <f t="shared" si="40"/>
        <v>0.3</v>
      </c>
      <c r="N229" s="140">
        <f t="shared" si="40"/>
        <v>0.3</v>
      </c>
      <c r="O229" s="140">
        <f t="shared" si="40"/>
        <v>0.3</v>
      </c>
      <c r="P229" s="140">
        <f t="shared" si="40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39"/>
        <v>0</v>
      </c>
      <c r="C230" s="128">
        <v>0.4</v>
      </c>
      <c r="D230" s="128">
        <f t="shared" si="40"/>
        <v>0.4</v>
      </c>
      <c r="E230" s="128">
        <f t="shared" si="40"/>
        <v>0.4</v>
      </c>
      <c r="F230" s="128">
        <f t="shared" si="40"/>
        <v>0.4</v>
      </c>
      <c r="G230" s="128">
        <f t="shared" si="40"/>
        <v>0.4</v>
      </c>
      <c r="H230" s="128">
        <f t="shared" si="40"/>
        <v>0.4</v>
      </c>
      <c r="I230" s="128">
        <f t="shared" si="40"/>
        <v>0.4</v>
      </c>
      <c r="J230" s="128">
        <f t="shared" si="40"/>
        <v>0.4</v>
      </c>
      <c r="K230" s="128">
        <f t="shared" si="40"/>
        <v>0.4</v>
      </c>
      <c r="L230" s="128">
        <f t="shared" si="40"/>
        <v>0.4</v>
      </c>
      <c r="M230" s="128">
        <f t="shared" si="40"/>
        <v>0.4</v>
      </c>
      <c r="N230" s="128">
        <f t="shared" si="40"/>
        <v>0.4</v>
      </c>
      <c r="O230" s="128">
        <f t="shared" si="40"/>
        <v>0.4</v>
      </c>
      <c r="P230" s="128">
        <f t="shared" si="40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39"/>
        <v>0</v>
      </c>
      <c r="C231" s="128">
        <v>1.5</v>
      </c>
      <c r="D231" s="128">
        <f t="shared" si="40"/>
        <v>1.5</v>
      </c>
      <c r="E231" s="128">
        <f t="shared" si="40"/>
        <v>1.5</v>
      </c>
      <c r="F231" s="128">
        <f t="shared" si="40"/>
        <v>1.5</v>
      </c>
      <c r="G231" s="128">
        <f t="shared" si="40"/>
        <v>1.5</v>
      </c>
      <c r="H231" s="128">
        <f t="shared" si="40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40"/>
        <v>123.21900000000009</v>
      </c>
      <c r="K231" s="128">
        <f t="shared" ca="1" si="40"/>
        <v>123.21900000000009</v>
      </c>
      <c r="L231" s="128">
        <f t="shared" ca="1" si="40"/>
        <v>123.21900000000009</v>
      </c>
      <c r="M231" s="128">
        <f t="shared" ca="1" si="40"/>
        <v>119.19900000000008</v>
      </c>
      <c r="N231" s="128">
        <f t="shared" ca="1" si="40"/>
        <v>119.19900000000008</v>
      </c>
      <c r="O231" s="128">
        <f t="shared" ca="1" si="40"/>
        <v>119.19900000000008</v>
      </c>
      <c r="P231" s="128">
        <f t="shared" ca="1" si="40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39"/>
        <v>0</v>
      </c>
      <c r="C232" s="128">
        <v>0.3</v>
      </c>
      <c r="D232" s="128">
        <f t="shared" si="40"/>
        <v>0.3</v>
      </c>
      <c r="E232" s="128">
        <f t="shared" si="40"/>
        <v>0.3</v>
      </c>
      <c r="F232" s="128">
        <f t="shared" si="40"/>
        <v>0.3</v>
      </c>
      <c r="G232" s="128">
        <f t="shared" si="40"/>
        <v>0.3</v>
      </c>
      <c r="H232" s="128">
        <f t="shared" si="40"/>
        <v>0.3</v>
      </c>
      <c r="I232" s="128">
        <f t="shared" si="40"/>
        <v>0.3</v>
      </c>
      <c r="J232" s="128">
        <f t="shared" si="40"/>
        <v>0.3</v>
      </c>
      <c r="K232" s="128">
        <f t="shared" si="40"/>
        <v>0.3</v>
      </c>
      <c r="L232" s="128">
        <f t="shared" si="40"/>
        <v>0.3</v>
      </c>
      <c r="M232" s="128">
        <f t="shared" si="40"/>
        <v>0.3</v>
      </c>
      <c r="N232" s="128">
        <f t="shared" si="40"/>
        <v>0.3</v>
      </c>
      <c r="O232" s="128">
        <f t="shared" si="40"/>
        <v>0.3</v>
      </c>
      <c r="P232" s="128">
        <f t="shared" si="40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39"/>
        <v>0</v>
      </c>
      <c r="C233" s="128">
        <v>0.4</v>
      </c>
      <c r="D233" s="128">
        <f t="shared" si="40"/>
        <v>0.4</v>
      </c>
      <c r="E233" s="128">
        <f t="shared" si="40"/>
        <v>0.4</v>
      </c>
      <c r="F233" s="128">
        <f t="shared" si="40"/>
        <v>0.4</v>
      </c>
      <c r="G233" s="128">
        <f t="shared" si="40"/>
        <v>0.4</v>
      </c>
      <c r="H233" s="128">
        <f t="shared" si="40"/>
        <v>0.4</v>
      </c>
      <c r="I233" s="128">
        <f t="shared" si="40"/>
        <v>0.4</v>
      </c>
      <c r="J233" s="128">
        <f t="shared" si="40"/>
        <v>0.4</v>
      </c>
      <c r="K233" s="128">
        <f t="shared" si="40"/>
        <v>0.4</v>
      </c>
      <c r="L233" s="128">
        <f t="shared" si="40"/>
        <v>0.4</v>
      </c>
      <c r="M233" s="128">
        <f t="shared" si="40"/>
        <v>0.4</v>
      </c>
      <c r="N233" s="128">
        <f t="shared" si="40"/>
        <v>0.4</v>
      </c>
      <c r="O233" s="128">
        <f t="shared" si="40"/>
        <v>0.4</v>
      </c>
      <c r="P233" s="128">
        <f t="shared" si="40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39"/>
        <v>0</v>
      </c>
      <c r="C234" s="132">
        <v>0.64</v>
      </c>
      <c r="D234" s="132">
        <f t="shared" si="40"/>
        <v>0.64</v>
      </c>
      <c r="E234" s="132">
        <f t="shared" si="40"/>
        <v>0.64</v>
      </c>
      <c r="F234" s="132">
        <f t="shared" si="40"/>
        <v>0.64</v>
      </c>
      <c r="G234" s="132">
        <f t="shared" si="40"/>
        <v>0.64</v>
      </c>
      <c r="H234" s="132">
        <f t="shared" si="40"/>
        <v>0.64</v>
      </c>
      <c r="I234" s="132">
        <f t="shared" si="40"/>
        <v>0.64</v>
      </c>
      <c r="J234" s="132">
        <f t="shared" si="40"/>
        <v>0.64</v>
      </c>
      <c r="K234" s="132">
        <f t="shared" si="40"/>
        <v>0.64</v>
      </c>
      <c r="L234" s="132">
        <f t="shared" si="40"/>
        <v>0.64</v>
      </c>
      <c r="M234" s="132">
        <f t="shared" si="40"/>
        <v>0.64</v>
      </c>
      <c r="N234" s="132">
        <f t="shared" si="40"/>
        <v>0.64</v>
      </c>
      <c r="O234" s="132">
        <f t="shared" si="40"/>
        <v>0.64</v>
      </c>
      <c r="P234" s="132">
        <f t="shared" si="40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41">SUM(B229:B234)</f>
        <v>0</v>
      </c>
      <c r="C235" s="136">
        <f t="shared" si="41"/>
        <v>3.54</v>
      </c>
      <c r="D235" s="136">
        <f t="shared" si="41"/>
        <v>3.54</v>
      </c>
      <c r="E235" s="136">
        <f t="shared" si="41"/>
        <v>3.54</v>
      </c>
      <c r="F235" s="136">
        <f t="shared" si="41"/>
        <v>3.54</v>
      </c>
      <c r="G235" s="136">
        <f t="shared" si="41"/>
        <v>3.54</v>
      </c>
      <c r="H235" s="136">
        <f t="shared" si="41"/>
        <v>3.54</v>
      </c>
      <c r="I235" s="136">
        <f t="shared" ca="1" si="41"/>
        <v>121.23900000000009</v>
      </c>
      <c r="J235" s="136">
        <f t="shared" ca="1" si="41"/>
        <v>121.23900000000009</v>
      </c>
      <c r="K235" s="136">
        <f t="shared" ca="1" si="41"/>
        <v>121.23900000000009</v>
      </c>
      <c r="L235" s="136">
        <f t="shared" ca="1" si="41"/>
        <v>125.2590000000001</v>
      </c>
      <c r="M235" s="136">
        <f t="shared" ca="1" si="41"/>
        <v>121.23900000000009</v>
      </c>
      <c r="N235" s="136">
        <f t="shared" ca="1" si="41"/>
        <v>121.23900000000009</v>
      </c>
      <c r="O235" s="136">
        <f t="shared" ca="1" si="41"/>
        <v>121.23900000000009</v>
      </c>
      <c r="P235" s="136">
        <f t="shared" ca="1" si="41"/>
        <v>121.23900000000009</v>
      </c>
      <c r="Q235" s="136">
        <f t="shared" si="41"/>
        <v>0</v>
      </c>
      <c r="R235" s="136">
        <f t="shared" si="41"/>
        <v>0</v>
      </c>
      <c r="S235" s="136">
        <f t="shared" si="41"/>
        <v>0</v>
      </c>
      <c r="T235" s="136">
        <f t="shared" si="41"/>
        <v>0</v>
      </c>
      <c r="U235" s="136">
        <f t="shared" si="41"/>
        <v>0</v>
      </c>
      <c r="V235" s="136">
        <f t="shared" si="41"/>
        <v>0</v>
      </c>
      <c r="W235" s="136">
        <f t="shared" si="41"/>
        <v>0</v>
      </c>
      <c r="X235" s="136">
        <f t="shared" si="41"/>
        <v>0</v>
      </c>
      <c r="Y235" s="136">
        <f t="shared" si="41"/>
        <v>0</v>
      </c>
      <c r="Z235" s="136">
        <f t="shared" si="41"/>
        <v>0</v>
      </c>
      <c r="AA235" s="136">
        <f t="shared" si="41"/>
        <v>0</v>
      </c>
      <c r="AB235" s="136">
        <f t="shared" si="41"/>
        <v>0</v>
      </c>
      <c r="AC235" s="136">
        <f t="shared" si="41"/>
        <v>0</v>
      </c>
      <c r="AD235" s="136">
        <f t="shared" si="41"/>
        <v>0</v>
      </c>
      <c r="AE235" s="136">
        <f t="shared" si="41"/>
        <v>0</v>
      </c>
      <c r="AF235" s="136">
        <f t="shared" si="41"/>
        <v>0</v>
      </c>
      <c r="AG235" s="145">
        <f t="shared" si="41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2049.2400000000002</v>
      </c>
      <c r="C244" s="161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29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2080/04/29)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2080/04/29)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42">B91</f>
        <v>1802.4399999999998</v>
      </c>
      <c r="U249" s="170">
        <f t="shared" si="42"/>
        <v>1783.74</v>
      </c>
      <c r="V249" s="170">
        <f t="shared" si="42"/>
        <v>1782.84</v>
      </c>
      <c r="W249" s="170">
        <f t="shared" si="42"/>
        <v>1799.04</v>
      </c>
      <c r="X249" s="170">
        <f t="shared" si="42"/>
        <v>1799.84</v>
      </c>
      <c r="Y249" s="170">
        <f t="shared" si="42"/>
        <v>1831.04</v>
      </c>
      <c r="Z249" s="170">
        <f t="shared" si="42"/>
        <v>1874.8400000000001</v>
      </c>
      <c r="AA249" s="170">
        <f t="shared" si="42"/>
        <v>1883.14</v>
      </c>
      <c r="AB249" s="170">
        <f t="shared" si="42"/>
        <v>1886.9399999999998</v>
      </c>
      <c r="AC249" s="170">
        <f t="shared" si="42"/>
        <v>1990.2399999999998</v>
      </c>
      <c r="AD249" s="170">
        <f t="shared" si="42"/>
        <v>2049.2400000000002</v>
      </c>
      <c r="AE249" s="170">
        <f t="shared" si="42"/>
        <v>1990.6299999999999</v>
      </c>
      <c r="AF249" s="170">
        <f t="shared" si="42"/>
        <v>1953.1299999999999</v>
      </c>
      <c r="AG249" s="170">
        <f t="shared" si="42"/>
        <v>1964.33</v>
      </c>
      <c r="AH249" s="170">
        <f t="shared" si="42"/>
        <v>1992.74</v>
      </c>
      <c r="AI249" s="170">
        <f t="shared" si="42"/>
        <v>1997.64</v>
      </c>
      <c r="AJ249" s="170">
        <f t="shared" si="42"/>
        <v>1997.64</v>
      </c>
      <c r="AK249" s="170">
        <f t="shared" si="42"/>
        <v>1992.04</v>
      </c>
      <c r="AL249" s="170">
        <f t="shared" si="42"/>
        <v>2014.04</v>
      </c>
      <c r="AM249" s="170">
        <f t="shared" si="42"/>
        <v>2036.7399999999998</v>
      </c>
      <c r="AN249" s="170">
        <f t="shared" si="42"/>
        <v>2028.04</v>
      </c>
      <c r="AO249" s="170">
        <f t="shared" si="42"/>
        <v>1987.54</v>
      </c>
      <c r="AP249" s="170">
        <f t="shared" si="42"/>
        <v>1993.2399999999998</v>
      </c>
      <c r="AQ249" s="170">
        <f t="shared" si="42"/>
        <v>1992.1399999999999</v>
      </c>
      <c r="AR249" s="170">
        <f t="shared" si="42"/>
        <v>2056.9399999999996</v>
      </c>
      <c r="AS249" s="170">
        <f t="shared" si="42"/>
        <v>2058.14</v>
      </c>
      <c r="AT249" s="170">
        <f t="shared" si="42"/>
        <v>2093.54</v>
      </c>
      <c r="AU249" s="170">
        <f t="shared" si="42"/>
        <v>2076.14</v>
      </c>
      <c r="AV249" s="170">
        <f t="shared" si="42"/>
        <v>2017.7399999999998</v>
      </c>
      <c r="AW249" s="170">
        <f t="shared" si="42"/>
        <v>1983.24</v>
      </c>
      <c r="AX249" s="170">
        <f t="shared" si="42"/>
        <v>1969.2399999999998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43">C234</f>
        <v>0.64</v>
      </c>
      <c r="C270" s="173">
        <f t="shared" si="43"/>
        <v>0.64</v>
      </c>
      <c r="D270" s="173">
        <f t="shared" si="43"/>
        <v>0.64</v>
      </c>
      <c r="E270" s="173">
        <f t="shared" si="43"/>
        <v>0.64</v>
      </c>
      <c r="F270" s="173">
        <f t="shared" si="43"/>
        <v>0.64</v>
      </c>
      <c r="G270" s="173">
        <f t="shared" si="43"/>
        <v>0.64</v>
      </c>
      <c r="H270" s="173">
        <f t="shared" si="43"/>
        <v>0.64</v>
      </c>
      <c r="I270" s="173">
        <f t="shared" si="43"/>
        <v>0.64</v>
      </c>
      <c r="J270" s="173">
        <f t="shared" si="43"/>
        <v>0.64</v>
      </c>
      <c r="K270" s="173">
        <f t="shared" si="43"/>
        <v>0.64</v>
      </c>
      <c r="L270" s="173">
        <f t="shared" si="43"/>
        <v>0.64</v>
      </c>
      <c r="M270" s="173">
        <f t="shared" si="43"/>
        <v>0.64</v>
      </c>
      <c r="N270" s="173">
        <f t="shared" si="43"/>
        <v>0.64</v>
      </c>
      <c r="O270" s="173">
        <f t="shared" si="43"/>
        <v>0.64</v>
      </c>
      <c r="P270" s="173">
        <f t="shared" si="43"/>
        <v>0</v>
      </c>
      <c r="Q270" s="173">
        <f t="shared" si="43"/>
        <v>0</v>
      </c>
      <c r="R270" s="173">
        <f t="shared" si="43"/>
        <v>0</v>
      </c>
      <c r="S270" s="173">
        <f t="shared" si="43"/>
        <v>0</v>
      </c>
      <c r="T270" s="173">
        <f t="shared" si="43"/>
        <v>0</v>
      </c>
      <c r="U270" s="173">
        <f t="shared" si="43"/>
        <v>0</v>
      </c>
      <c r="V270" s="173">
        <f t="shared" si="43"/>
        <v>0</v>
      </c>
      <c r="W270" s="173">
        <f t="shared" si="43"/>
        <v>0</v>
      </c>
      <c r="X270" s="173">
        <f t="shared" si="43"/>
        <v>0</v>
      </c>
      <c r="Y270" s="173">
        <f t="shared" si="43"/>
        <v>0</v>
      </c>
      <c r="Z270" s="173">
        <f t="shared" si="43"/>
        <v>0</v>
      </c>
      <c r="AA270" s="173">
        <f t="shared" si="43"/>
        <v>0</v>
      </c>
      <c r="AB270" s="173">
        <f t="shared" si="43"/>
        <v>0</v>
      </c>
      <c r="AC270" s="173">
        <f t="shared" si="43"/>
        <v>0</v>
      </c>
      <c r="AD270" s="173">
        <f t="shared" si="43"/>
        <v>0</v>
      </c>
      <c r="AE270" s="173">
        <f t="shared" si="43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44">IF(B238&lt;100,"",B238-520)</f>
        <v/>
      </c>
      <c r="C271" s="174" t="str">
        <f t="shared" si="44"/>
        <v/>
      </c>
      <c r="D271" s="174" t="str">
        <f t="shared" si="44"/>
        <v/>
      </c>
      <c r="E271" s="174" t="str">
        <f t="shared" si="44"/>
        <v/>
      </c>
      <c r="F271" s="174" t="str">
        <f t="shared" si="44"/>
        <v/>
      </c>
      <c r="G271" s="174" t="str">
        <f t="shared" si="44"/>
        <v/>
      </c>
      <c r="H271" s="174" t="str">
        <f t="shared" si="44"/>
        <v/>
      </c>
      <c r="I271" s="174" t="str">
        <f t="shared" si="44"/>
        <v/>
      </c>
      <c r="J271" s="174" t="str">
        <f t="shared" si="44"/>
        <v/>
      </c>
      <c r="K271" s="174" t="str">
        <f t="shared" si="44"/>
        <v/>
      </c>
      <c r="L271" s="174" t="str">
        <f t="shared" si="44"/>
        <v/>
      </c>
      <c r="M271" s="174" t="str">
        <f t="shared" si="44"/>
        <v/>
      </c>
      <c r="N271" s="174" t="str">
        <f t="shared" si="44"/>
        <v/>
      </c>
      <c r="O271" s="174" t="str">
        <f t="shared" si="44"/>
        <v/>
      </c>
      <c r="P271" s="174" t="str">
        <f t="shared" si="44"/>
        <v/>
      </c>
      <c r="Q271" s="174" t="str">
        <f t="shared" si="44"/>
        <v/>
      </c>
      <c r="R271" s="174" t="str">
        <f t="shared" si="44"/>
        <v/>
      </c>
      <c r="S271" s="174" t="str">
        <f t="shared" si="44"/>
        <v/>
      </c>
      <c r="T271" s="174" t="str">
        <f t="shared" si="44"/>
        <v/>
      </c>
      <c r="U271" s="174" t="str">
        <f t="shared" si="44"/>
        <v/>
      </c>
      <c r="V271" s="174" t="str">
        <f t="shared" si="44"/>
        <v/>
      </c>
      <c r="W271" s="174" t="str">
        <f t="shared" si="44"/>
        <v/>
      </c>
      <c r="X271" s="174" t="str">
        <f t="shared" si="44"/>
        <v/>
      </c>
      <c r="Y271" s="174" t="str">
        <f t="shared" si="44"/>
        <v/>
      </c>
      <c r="Z271" s="174" t="str">
        <f t="shared" si="44"/>
        <v/>
      </c>
      <c r="AA271" s="174" t="str">
        <f t="shared" si="44"/>
        <v/>
      </c>
      <c r="AB271" s="174" t="str">
        <f t="shared" si="44"/>
        <v/>
      </c>
      <c r="AC271" s="174" t="str">
        <f t="shared" si="44"/>
        <v/>
      </c>
      <c r="AD271" s="174" t="str">
        <f t="shared" si="44"/>
        <v/>
      </c>
      <c r="AE271" s="174" t="str">
        <f t="shared" si="44"/>
        <v/>
      </c>
      <c r="AF271" s="174" t="str">
        <f t="shared" si="44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45">IF(B239&lt;100,"",B239-620)</f>
        <v/>
      </c>
      <c r="C272" s="174" t="str">
        <f t="shared" si="45"/>
        <v/>
      </c>
      <c r="D272" s="174" t="str">
        <f t="shared" si="45"/>
        <v/>
      </c>
      <c r="E272" s="174" t="str">
        <f t="shared" si="45"/>
        <v/>
      </c>
      <c r="F272" s="174" t="str">
        <f t="shared" si="45"/>
        <v/>
      </c>
      <c r="G272" s="174" t="str">
        <f t="shared" si="45"/>
        <v/>
      </c>
      <c r="H272" s="174" t="str">
        <f t="shared" si="45"/>
        <v/>
      </c>
      <c r="I272" s="174" t="str">
        <f t="shared" si="45"/>
        <v/>
      </c>
      <c r="J272" s="174" t="str">
        <f t="shared" si="45"/>
        <v/>
      </c>
      <c r="K272" s="174" t="str">
        <f t="shared" si="45"/>
        <v/>
      </c>
      <c r="L272" s="174" t="str">
        <f t="shared" si="45"/>
        <v/>
      </c>
      <c r="M272" s="174" t="str">
        <f t="shared" si="45"/>
        <v/>
      </c>
      <c r="N272" s="174" t="str">
        <f t="shared" si="45"/>
        <v/>
      </c>
      <c r="O272" s="174" t="str">
        <f t="shared" si="45"/>
        <v/>
      </c>
      <c r="P272" s="174" t="str">
        <f t="shared" si="45"/>
        <v/>
      </c>
      <c r="Q272" s="174" t="str">
        <f t="shared" si="45"/>
        <v/>
      </c>
      <c r="R272" s="174" t="str">
        <f t="shared" si="45"/>
        <v/>
      </c>
      <c r="S272" s="174" t="str">
        <f t="shared" si="45"/>
        <v/>
      </c>
      <c r="T272" s="174" t="str">
        <f t="shared" si="45"/>
        <v/>
      </c>
      <c r="U272" s="174" t="str">
        <f t="shared" si="45"/>
        <v/>
      </c>
      <c r="V272" s="174" t="str">
        <f t="shared" si="45"/>
        <v/>
      </c>
      <c r="W272" s="174" t="str">
        <f t="shared" si="45"/>
        <v/>
      </c>
      <c r="X272" s="174" t="str">
        <f t="shared" si="45"/>
        <v/>
      </c>
      <c r="Y272" s="174" t="str">
        <f t="shared" si="45"/>
        <v/>
      </c>
      <c r="Z272" s="174" t="str">
        <f t="shared" si="45"/>
        <v/>
      </c>
      <c r="AA272" s="174" t="str">
        <f t="shared" si="45"/>
        <v/>
      </c>
      <c r="AB272" s="174" t="str">
        <f t="shared" si="45"/>
        <v/>
      </c>
      <c r="AC272" s="174" t="str">
        <f t="shared" si="45"/>
        <v/>
      </c>
      <c r="AD272" s="174" t="str">
        <f t="shared" si="45"/>
        <v/>
      </c>
      <c r="AE272" s="174" t="str">
        <f t="shared" si="45"/>
        <v/>
      </c>
      <c r="AF272" s="174" t="str">
        <f t="shared" si="45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46">IF(B240&lt;100,"",B240-330)</f>
        <v/>
      </c>
      <c r="C273" s="174" t="str">
        <f t="shared" si="46"/>
        <v/>
      </c>
      <c r="D273" s="174" t="str">
        <f t="shared" si="46"/>
        <v/>
      </c>
      <c r="E273" s="174" t="str">
        <f t="shared" si="46"/>
        <v/>
      </c>
      <c r="F273" s="174" t="str">
        <f t="shared" si="46"/>
        <v/>
      </c>
      <c r="G273" s="174" t="str">
        <f t="shared" si="46"/>
        <v/>
      </c>
      <c r="H273" s="174" t="str">
        <f t="shared" si="46"/>
        <v/>
      </c>
      <c r="I273" s="174" t="str">
        <f t="shared" si="46"/>
        <v/>
      </c>
      <c r="J273" s="174" t="str">
        <f t="shared" si="46"/>
        <v/>
      </c>
      <c r="K273" s="174" t="str">
        <f t="shared" si="46"/>
        <v/>
      </c>
      <c r="L273" s="174" t="str">
        <f t="shared" si="46"/>
        <v/>
      </c>
      <c r="M273" s="174" t="str">
        <f t="shared" si="46"/>
        <v/>
      </c>
      <c r="N273" s="174" t="str">
        <f t="shared" si="46"/>
        <v/>
      </c>
      <c r="O273" s="174" t="str">
        <f t="shared" si="46"/>
        <v/>
      </c>
      <c r="P273" s="174" t="str">
        <f t="shared" si="46"/>
        <v/>
      </c>
      <c r="Q273" s="174" t="str">
        <f t="shared" si="46"/>
        <v/>
      </c>
      <c r="R273" s="174" t="str">
        <f t="shared" si="46"/>
        <v/>
      </c>
      <c r="S273" s="174" t="str">
        <f t="shared" si="46"/>
        <v/>
      </c>
      <c r="T273" s="174" t="str">
        <f t="shared" si="46"/>
        <v/>
      </c>
      <c r="U273" s="174" t="str">
        <f t="shared" si="46"/>
        <v/>
      </c>
      <c r="V273" s="174" t="str">
        <f t="shared" si="46"/>
        <v/>
      </c>
      <c r="W273" s="174" t="str">
        <f t="shared" si="46"/>
        <v/>
      </c>
      <c r="X273" s="174" t="str">
        <f t="shared" si="46"/>
        <v/>
      </c>
      <c r="Y273" s="174" t="str">
        <f t="shared" si="46"/>
        <v/>
      </c>
      <c r="Z273" s="174" t="str">
        <f t="shared" si="46"/>
        <v/>
      </c>
      <c r="AA273" s="174" t="str">
        <f t="shared" si="46"/>
        <v/>
      </c>
      <c r="AB273" s="174" t="str">
        <f t="shared" si="46"/>
        <v/>
      </c>
      <c r="AC273" s="174" t="str">
        <f t="shared" si="46"/>
        <v/>
      </c>
      <c r="AD273" s="174" t="str">
        <f t="shared" si="46"/>
        <v/>
      </c>
      <c r="AE273" s="174" t="str">
        <f t="shared" si="46"/>
        <v/>
      </c>
      <c r="AF273" s="174" t="str">
        <f t="shared" si="46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47">IF(B241&lt;100,"",B241-1500)</f>
        <v/>
      </c>
      <c r="C274" s="174" t="str">
        <f t="shared" si="47"/>
        <v/>
      </c>
      <c r="D274" s="174" t="str">
        <f t="shared" si="47"/>
        <v/>
      </c>
      <c r="E274" s="174" t="str">
        <f t="shared" si="47"/>
        <v/>
      </c>
      <c r="F274" s="174" t="str">
        <f t="shared" si="47"/>
        <v/>
      </c>
      <c r="G274" s="174" t="str">
        <f t="shared" si="47"/>
        <v/>
      </c>
      <c r="H274" s="174" t="str">
        <f t="shared" si="47"/>
        <v/>
      </c>
      <c r="I274" s="174" t="str">
        <f t="shared" si="47"/>
        <v/>
      </c>
      <c r="J274" s="174" t="str">
        <f t="shared" si="47"/>
        <v/>
      </c>
      <c r="K274" s="174" t="str">
        <f t="shared" si="47"/>
        <v/>
      </c>
      <c r="L274" s="174" t="str">
        <f t="shared" si="47"/>
        <v/>
      </c>
      <c r="M274" s="174" t="str">
        <f t="shared" si="47"/>
        <v/>
      </c>
      <c r="N274" s="174" t="str">
        <f t="shared" si="47"/>
        <v/>
      </c>
      <c r="O274" s="174" t="str">
        <f t="shared" si="47"/>
        <v/>
      </c>
      <c r="P274" s="174" t="str">
        <f t="shared" si="47"/>
        <v/>
      </c>
      <c r="Q274" s="174" t="str">
        <f t="shared" si="47"/>
        <v/>
      </c>
      <c r="R274" s="174" t="str">
        <f t="shared" si="47"/>
        <v/>
      </c>
      <c r="S274" s="174" t="str">
        <f t="shared" si="47"/>
        <v/>
      </c>
      <c r="T274" s="174" t="str">
        <f t="shared" si="47"/>
        <v/>
      </c>
      <c r="U274" s="174" t="str">
        <f t="shared" si="47"/>
        <v/>
      </c>
      <c r="V274" s="174" t="str">
        <f t="shared" si="47"/>
        <v/>
      </c>
      <c r="W274" s="174" t="str">
        <f t="shared" si="47"/>
        <v/>
      </c>
      <c r="X274" s="174" t="str">
        <f t="shared" si="47"/>
        <v/>
      </c>
      <c r="Y274" s="174" t="str">
        <f t="shared" si="47"/>
        <v/>
      </c>
      <c r="Z274" s="174" t="str">
        <f t="shared" si="47"/>
        <v/>
      </c>
      <c r="AA274" s="174" t="str">
        <f t="shared" si="47"/>
        <v/>
      </c>
      <c r="AB274" s="174" t="str">
        <f t="shared" si="47"/>
        <v/>
      </c>
      <c r="AC274" s="174" t="str">
        <f t="shared" si="47"/>
        <v/>
      </c>
      <c r="AD274" s="174" t="str">
        <f t="shared" si="47"/>
        <v/>
      </c>
      <c r="AE274" s="174" t="str">
        <f t="shared" si="47"/>
        <v/>
      </c>
      <c r="AF274" s="174" t="str">
        <f t="shared" si="47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3828" priority="115">
      <formula>$AH11=0</formula>
    </cfRule>
  </conditionalFormatting>
  <conditionalFormatting sqref="B8 M8 S8 AB8">
    <cfRule type="expression" dxfId="3827" priority="166">
      <formula>AND(C$9&gt;=14/24,C$9&lt;20/24)</formula>
    </cfRule>
    <cfRule type="expression" dxfId="3826" priority="167">
      <formula>AND(C$9&gt;=8/24,C$9&lt;14/24)</formula>
    </cfRule>
    <cfRule type="expression" dxfId="3825" priority="168">
      <formula>C$9&lt;8/24</formula>
    </cfRule>
  </conditionalFormatting>
  <conditionalFormatting sqref="B54:C54">
    <cfRule type="expression" dxfId="3824" priority="50">
      <formula>AND(B$9&gt;=8/24,B$9&lt;14/24)</formula>
    </cfRule>
    <cfRule type="expression" dxfId="3823" priority="51">
      <formula>B$9&lt;8/24</formula>
    </cfRule>
  </conditionalFormatting>
  <conditionalFormatting sqref="B55:C66">
    <cfRule type="expression" dxfId="3822" priority="6">
      <formula>B$9&gt;=20/24</formula>
    </cfRule>
    <cfRule type="expression" dxfId="3821" priority="7">
      <formula>AND(B$9&gt;=14/24,B$9&lt;20/24)</formula>
    </cfRule>
    <cfRule type="expression" dxfId="3820" priority="8">
      <formula>AND(B$9&gt;=8/24,B$9&lt;14/24)</formula>
    </cfRule>
    <cfRule type="expression" dxfId="3819" priority="9">
      <formula>B$9&lt;8/24</formula>
    </cfRule>
  </conditionalFormatting>
  <conditionalFormatting sqref="B69:C71">
    <cfRule type="expression" dxfId="3818" priority="46">
      <formula>B$9&lt;8/24</formula>
    </cfRule>
  </conditionalFormatting>
  <conditionalFormatting sqref="B11:L45">
    <cfRule type="expression" dxfId="3817" priority="19">
      <formula>B$9&gt;=20/24</formula>
    </cfRule>
    <cfRule type="expression" dxfId="3816" priority="20">
      <formula>AND(B$9&gt;=14/24,B$9&lt;20/24)</formula>
    </cfRule>
    <cfRule type="expression" dxfId="3815" priority="21">
      <formula>AND(B$9&gt;=8/24,B$9&lt;14/24)</formula>
    </cfRule>
    <cfRule type="expression" dxfId="3814" priority="22">
      <formula>B$9&lt;8/24</formula>
    </cfRule>
  </conditionalFormatting>
  <conditionalFormatting sqref="B11:L46">
    <cfRule type="expression" dxfId="3813" priority="18">
      <formula>B11&gt;$AG11</formula>
    </cfRule>
  </conditionalFormatting>
  <conditionalFormatting sqref="B47:L47">
    <cfRule type="expression" dxfId="3812" priority="28">
      <formula>B47&gt;$AG47</formula>
    </cfRule>
  </conditionalFormatting>
  <conditionalFormatting sqref="B9:AF10 M11:AF45">
    <cfRule type="expression" dxfId="3811" priority="75">
      <formula>AND(B$9&gt;=14/24,B$9&lt;20/24)</formula>
    </cfRule>
    <cfRule type="expression" dxfId="3810" priority="76">
      <formula>AND(B$9&gt;=8/24,B$9&lt;14/24)</formula>
    </cfRule>
    <cfRule type="expression" dxfId="3809" priority="77">
      <formula>B$9&lt;8/24</formula>
    </cfRule>
  </conditionalFormatting>
  <conditionalFormatting sqref="B46:AF46">
    <cfRule type="expression" dxfId="3808" priority="14">
      <formula>B$9&gt;=20/24</formula>
    </cfRule>
    <cfRule type="expression" dxfId="3807" priority="15">
      <formula>AND(B$9&gt;=14/24,B$9&lt;20/24)</formula>
    </cfRule>
    <cfRule type="expression" dxfId="3806" priority="16">
      <formula>AND(B$9&gt;=8/24,B$9&lt;14/24)</formula>
    </cfRule>
    <cfRule type="expression" dxfId="3805" priority="17">
      <formula>B$9&lt;8/24</formula>
    </cfRule>
  </conditionalFormatting>
  <conditionalFormatting sqref="B47:AF49">
    <cfRule type="expression" dxfId="3804" priority="24">
      <formula>B$9&gt;=20/24</formula>
    </cfRule>
    <cfRule type="expression" dxfId="3803" priority="25">
      <formula>AND(B$9&gt;=14/24,B$9&lt;20/24)</formula>
    </cfRule>
    <cfRule type="expression" dxfId="3802" priority="26">
      <formula>AND(B$9&gt;=8/24,B$9&lt;14/24)</formula>
    </cfRule>
    <cfRule type="expression" dxfId="3801" priority="27">
      <formula>B$9&lt;8/24</formula>
    </cfRule>
  </conditionalFormatting>
  <conditionalFormatting sqref="B51:AF53">
    <cfRule type="expression" dxfId="3800" priority="38">
      <formula>B$9&gt;=20/24</formula>
    </cfRule>
    <cfRule type="expression" dxfId="3799" priority="39">
      <formula>AND(B$9&gt;=14/24,B$9&lt;20/24)</formula>
    </cfRule>
    <cfRule type="expression" dxfId="3798" priority="40">
      <formula>AND(B$9&gt;=8/24,B$9&lt;14/24)</formula>
    </cfRule>
    <cfRule type="expression" dxfId="3797" priority="41">
      <formula>B$9&lt;8/24</formula>
    </cfRule>
  </conditionalFormatting>
  <conditionalFormatting sqref="B55:AF66">
    <cfRule type="expression" dxfId="3796" priority="5">
      <formula>B55&gt;$AG55</formula>
    </cfRule>
  </conditionalFormatting>
  <conditionalFormatting sqref="B69:AF71">
    <cfRule type="expression" dxfId="3795" priority="42">
      <formula>B69&gt;$AG69</formula>
    </cfRule>
    <cfRule type="expression" dxfId="3794" priority="43">
      <formula>B$9&gt;=20/24</formula>
    </cfRule>
    <cfRule type="expression" dxfId="3793" priority="44">
      <formula>AND(B$9&gt;=14/24,B$9&lt;20/24)</formula>
    </cfRule>
    <cfRule type="expression" dxfId="3792" priority="45">
      <formula>AND(B$9&gt;=8/24,B$9&lt;14/24)</formula>
    </cfRule>
  </conditionalFormatting>
  <conditionalFormatting sqref="B73:AF91">
    <cfRule type="expression" dxfId="3791" priority="1">
      <formula>B$9&gt;=20/24</formula>
    </cfRule>
    <cfRule type="expression" dxfId="3790" priority="2">
      <formula>AND(B$9&gt;=14/24,B$9&lt;20/24)</formula>
    </cfRule>
    <cfRule type="expression" dxfId="3789" priority="3">
      <formula>AND(B$9&gt;=8/24,B$9&lt;14/24)</formula>
    </cfRule>
    <cfRule type="expression" dxfId="3788" priority="4">
      <formula>B$9&lt;8/24</formula>
    </cfRule>
  </conditionalFormatting>
  <conditionalFormatting sqref="B111:AF120">
    <cfRule type="expression" dxfId="3787" priority="10">
      <formula>B$9&gt;=20/24</formula>
    </cfRule>
    <cfRule type="expression" dxfId="3786" priority="11">
      <formula>AND(B$9&gt;=14/24,B$9&lt;20/24)</formula>
    </cfRule>
    <cfRule type="expression" dxfId="3785" priority="12">
      <formula>AND(B$9&gt;=8/24,B$9&lt;14/24)</formula>
    </cfRule>
    <cfRule type="expression" dxfId="3784" priority="13">
      <formula>B$9&lt;8/24</formula>
    </cfRule>
  </conditionalFormatting>
  <conditionalFormatting sqref="B227:AF227 D229:AF230 B229:B235 D231:H231 J231:AF231 D232:AF235 U248:AF248">
    <cfRule type="expression" dxfId="3783" priority="159">
      <formula>B$9&gt;=20/24</formula>
    </cfRule>
    <cfRule type="expression" dxfId="3782" priority="160">
      <formula>AND(B$9&gt;=14/24,B$9&lt;20/24)</formula>
    </cfRule>
    <cfRule type="expression" dxfId="3781" priority="161">
      <formula>AND(B$9&gt;=8/24,B$9&lt;14/24)</formula>
    </cfRule>
    <cfRule type="expression" dxfId="3780" priority="162">
      <formula>B$9&lt;8/24</formula>
    </cfRule>
  </conditionalFormatting>
  <conditionalFormatting sqref="B54:AG54">
    <cfRule type="expression" dxfId="3779" priority="47">
      <formula>B54&gt;$AG54</formula>
    </cfRule>
    <cfRule type="expression" dxfId="3778" priority="48">
      <formula>B$9&gt;=20/24</formula>
    </cfRule>
    <cfRule type="expression" dxfId="3777" priority="49">
      <formula>AND(B$9&gt;=14/24,B$9&lt;20/24)</formula>
    </cfRule>
  </conditionalFormatting>
  <conditionalFormatting sqref="B67:AG68 B72:AG72">
    <cfRule type="expression" dxfId="3776" priority="33">
      <formula>B67&gt;$AG67</formula>
    </cfRule>
  </conditionalFormatting>
  <conditionalFormatting sqref="B72:AG72 B93:AF109">
    <cfRule type="expression" dxfId="3775" priority="34">
      <formula>B$9&gt;=20/24</formula>
    </cfRule>
    <cfRule type="expression" dxfId="3774" priority="35">
      <formula>AND(B$9&gt;=14/24,B$9&lt;20/24)</formula>
    </cfRule>
    <cfRule type="expression" dxfId="3773" priority="36">
      <formula>AND(B$9&gt;=8/24,B$9&lt;14/24)</formula>
    </cfRule>
    <cfRule type="expression" dxfId="3772" priority="37">
      <formula>B$9&lt;8/24</formula>
    </cfRule>
  </conditionalFormatting>
  <conditionalFormatting sqref="D55:H59">
    <cfRule type="expression" dxfId="3771" priority="111">
      <formula>D$9&gt;=20/24</formula>
    </cfRule>
    <cfRule type="expression" dxfId="3770" priority="112">
      <formula>AND(D$9&gt;=14/24,D$9&lt;20/24)</formula>
    </cfRule>
    <cfRule type="expression" dxfId="3769" priority="113">
      <formula>AND(D$9&gt;=8/24,D$9&lt;14/24)</formula>
    </cfRule>
    <cfRule type="expression" dxfId="3768" priority="114">
      <formula>D$9&lt;8/24</formula>
    </cfRule>
  </conditionalFormatting>
  <conditionalFormatting sqref="D60:R66">
    <cfRule type="expression" dxfId="3767" priority="29">
      <formula>D$9&gt;=20/24</formula>
    </cfRule>
    <cfRule type="expression" dxfId="3766" priority="30">
      <formula>AND(D$9&gt;=14/24,D$9&lt;20/24)</formula>
    </cfRule>
    <cfRule type="expression" dxfId="3765" priority="31">
      <formula>AND(D$9&gt;=8/24,D$9&lt;14/24)</formula>
    </cfRule>
    <cfRule type="expression" dxfId="3764" priority="32">
      <formula>D$9&lt;8/24</formula>
    </cfRule>
  </conditionalFormatting>
  <conditionalFormatting sqref="D48:AF49 B48:C53 D51:AF53">
    <cfRule type="expression" dxfId="3763" priority="23">
      <formula>B48&gt;$AG48</formula>
    </cfRule>
  </conditionalFormatting>
  <conditionalFormatting sqref="D69:AF71">
    <cfRule type="expression" dxfId="3762" priority="110">
      <formula>D$9&lt;8/24</formula>
    </cfRule>
  </conditionalFormatting>
  <conditionalFormatting sqref="D50:AG50">
    <cfRule type="expression" dxfId="3761" priority="78">
      <formula>D50&gt;$AG50</formula>
    </cfRule>
  </conditionalFormatting>
  <conditionalFormatting sqref="D54:AG54">
    <cfRule type="expression" dxfId="3760" priority="130">
      <formula>AND(D$9&gt;=8/24,D$9&lt;14/24)</formula>
    </cfRule>
    <cfRule type="expression" dxfId="3759" priority="131">
      <formula>D$9&lt;8/24</formula>
    </cfRule>
  </conditionalFormatting>
  <conditionalFormatting sqref="E55:L57 M57:R57">
    <cfRule type="expression" dxfId="3758" priority="143">
      <formula>E$9&lt;8/24</formula>
    </cfRule>
  </conditionalFormatting>
  <conditionalFormatting sqref="E55:R57">
    <cfRule type="expression" dxfId="3757" priority="140">
      <formula>E$9&gt;=20/24</formula>
    </cfRule>
    <cfRule type="expression" dxfId="3756" priority="141">
      <formula>AND(E$9&gt;=14/24,E$9&lt;20/24)</formula>
    </cfRule>
    <cfRule type="expression" dxfId="3755" priority="142">
      <formula>AND(E$9&gt;=8/24,E$9&lt;14/24)</formula>
    </cfRule>
  </conditionalFormatting>
  <conditionalFormatting sqref="M55:R56">
    <cfRule type="expression" dxfId="3754" priority="147">
      <formula>M$9&lt;8/24</formula>
    </cfRule>
  </conditionalFormatting>
  <conditionalFormatting sqref="M11:AF45 B9:AF10">
    <cfRule type="expression" dxfId="3753" priority="74">
      <formula>B$9&gt;=20/24</formula>
    </cfRule>
  </conditionalFormatting>
  <conditionalFormatting sqref="M11:AF47">
    <cfRule type="expression" dxfId="3752" priority="73">
      <formula>M11&gt;$AG11</formula>
    </cfRule>
  </conditionalFormatting>
  <conditionalFormatting sqref="O3:P3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751" priority="165">
      <formula>C$9&gt;=20/24</formula>
    </cfRule>
  </conditionalFormatting>
  <conditionalFormatting sqref="S8">
    <cfRule type="expression" dxfId="3750" priority="152">
      <formula>U$9&gt;=20/24</formula>
    </cfRule>
    <cfRule type="expression" dxfId="3749" priority="153">
      <formula>AND(U$9&gt;=14/24,U$9&lt;20/24)</formula>
    </cfRule>
    <cfRule type="expression" dxfId="3748" priority="154">
      <formula>AND(U$9&gt;=8/24,U$9&lt;14/24)</formula>
    </cfRule>
    <cfRule type="expression" dxfId="3747" priority="155">
      <formula>U$9&lt;8/24</formula>
    </cfRule>
  </conditionalFormatting>
  <conditionalFormatting sqref="S55:AF66">
    <cfRule type="expression" dxfId="3746" priority="61">
      <formula>S$9&gt;=20/24</formula>
    </cfRule>
    <cfRule type="expression" dxfId="3745" priority="62">
      <formula>AND(S$9&gt;=14/24,S$9&lt;20/24)</formula>
    </cfRule>
    <cfRule type="expression" dxfId="3744" priority="63">
      <formula>AND(S$9&gt;=8/24,S$9&lt;14/24)</formula>
    </cfRule>
    <cfRule type="expression" dxfId="3743" priority="64">
      <formula>S$9&lt;8/24</formula>
    </cfRule>
  </conditionalFormatting>
  <conditionalFormatting sqref="T248">
    <cfRule type="expression" dxfId="3742" priority="177">
      <formula>AX$9&gt;=20/24</formula>
    </cfRule>
    <cfRule type="expression" dxfId="3741" priority="178">
      <formula>AND(AX$9&gt;=14/24,AX$9&lt;20/24)</formula>
    </cfRule>
    <cfRule type="expression" dxfId="3740" priority="179">
      <formula>AND(AX$9&gt;=8/24,AX$9&lt;14/24)</formula>
    </cfRule>
    <cfRule type="expression" dxfId="3739" priority="180">
      <formula>AX$9&lt;8/24</formula>
    </cfRule>
  </conditionalFormatting>
  <conditionalFormatting sqref="V3 AB3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738" priority="148">
      <formula>AD$9&gt;=20/24</formula>
    </cfRule>
    <cfRule type="expression" dxfId="3737" priority="149">
      <formula>AND(AD$9&gt;=14/24,AD$9&lt;20/24)</formula>
    </cfRule>
    <cfRule type="expression" dxfId="3736" priority="150">
      <formula>AND(AD$9&gt;=8/24,AD$9&lt;14/24)</formula>
    </cfRule>
    <cfRule type="expression" dxfId="3735" priority="151">
      <formula>AD$9&lt;8/24</formula>
    </cfRule>
  </conditionalFormatting>
  <conditionalFormatting sqref="AE61:AF66">
    <cfRule type="expression" dxfId="3734" priority="57">
      <formula>AE$9&gt;=20/24</formula>
    </cfRule>
    <cfRule type="expression" dxfId="3733" priority="58">
      <formula>AND(AE$9&gt;=14/24,AE$9&lt;20/24)</formula>
    </cfRule>
    <cfRule type="expression" dxfId="3732" priority="59">
      <formula>AND(AE$9&gt;=8/24,AE$9&lt;14/24)</formula>
    </cfRule>
    <cfRule type="expression" dxfId="3731" priority="60">
      <formula>AE$9&lt;8/24</formula>
    </cfRule>
  </conditionalFormatting>
  <conditionalFormatting sqref="AG89">
    <cfRule type="expression" dxfId="3730" priority="136">
      <formula>AG$9&gt;=20/24</formula>
    </cfRule>
    <cfRule type="expression" dxfId="3729" priority="137">
      <formula>AND(AG$9&gt;=14/24,AG$9&lt;20/24)</formula>
    </cfRule>
    <cfRule type="expression" dxfId="3728" priority="138">
      <formula>AND(AG$9&gt;=8/24,AG$9&lt;14/24)</formula>
    </cfRule>
    <cfRule type="expression" dxfId="3727" priority="139">
      <formula>AG$9&lt;8/24</formula>
    </cfRule>
  </conditionalFormatting>
  <conditionalFormatting sqref="AG248">
    <cfRule type="expression" dxfId="3726" priority="169">
      <formula>B$9&gt;=20/24</formula>
    </cfRule>
    <cfRule type="expression" dxfId="3725" priority="170">
      <formula>AND(B$9&gt;=14/24,B$9&lt;20/24)</formula>
    </cfRule>
    <cfRule type="expression" dxfId="3724" priority="171">
      <formula>AND(B$9&gt;=8/24,B$9&lt;14/24)</formula>
    </cfRule>
    <cfRule type="expression" dxfId="3723" priority="172">
      <formula>B$9&lt;8/24</formula>
    </cfRule>
  </conditionalFormatting>
  <conditionalFormatting sqref="AH248:AX248">
    <cfRule type="expression" dxfId="3722" priority="173">
      <formula>AG$9&gt;=20/24</formula>
    </cfRule>
    <cfRule type="expression" dxfId="3721" priority="174">
      <formula>AND(AG$9&gt;=14/24,AG$9&lt;20/24)</formula>
    </cfRule>
    <cfRule type="expression" dxfId="3720" priority="175">
      <formula>AND(AG$9&gt;=8/24,AG$9&lt;14/24)</formula>
    </cfRule>
    <cfRule type="expression" dxfId="3719" priority="176">
      <formula>AG$9&lt;8/24</formula>
    </cfRule>
  </conditionalFormatting>
  <conditionalFormatting sqref="AL4:AL6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17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56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718" priority="182">
      <formula>AJ$9&gt;=20/24</formula>
    </cfRule>
    <cfRule type="expression" dxfId="3717" priority="183">
      <formula>AND(AJ$9&gt;=14/24,AJ$9&lt;20/24)</formula>
    </cfRule>
    <cfRule type="expression" dxfId="3716" priority="184">
      <formula>AND(AJ$9&gt;=8/24,AJ$9&lt;14/24)</formula>
    </cfRule>
    <cfRule type="expression" dxfId="3715" priority="185">
      <formula>AJ$9&lt;8/24</formula>
    </cfRule>
  </conditionalFormatting>
  <conditionalFormatting sqref="AL80:AN80 AL86:AN86">
    <cfRule type="expression" dxfId="3714" priority="123">
      <formula>AL$9&gt;=20/24</formula>
    </cfRule>
    <cfRule type="expression" dxfId="3713" priority="124">
      <formula>AND(AL$9&gt;=14/24,AL$9&lt;20/24)</formula>
    </cfRule>
    <cfRule type="expression" dxfId="3712" priority="125">
      <formula>AND(AL$9&gt;=8/24,AL$9&lt;14/24)</formula>
    </cfRule>
    <cfRule type="expression" dxfId="3711" priority="126">
      <formula>AL$9&lt;8/24</formula>
    </cfRule>
  </conditionalFormatting>
  <conditionalFormatting sqref="AN81:AN84">
    <cfRule type="expression" dxfId="3710" priority="119">
      <formula>AN$9&gt;=20/24</formula>
    </cfRule>
    <cfRule type="expression" dxfId="3709" priority="120">
      <formula>AND(AN$9&gt;=14/24,AN$9&lt;20/24)</formula>
    </cfRule>
    <cfRule type="expression" dxfId="3708" priority="121">
      <formula>AND(AN$9&gt;=8/24,AN$9&lt;14/24)</formula>
    </cfRule>
    <cfRule type="expression" dxfId="3707" priority="122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C801-7962-4BD4-BF63-10DDBA4E4283}">
  <dimension ref="A1:CJ281"/>
  <sheetViews>
    <sheetView zoomScaleNormal="100" workbookViewId="0">
      <pane xSplit="1" ySplit="10" topLeftCell="G100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O103" sqref="O10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8.140625" style="1" customWidth="1"/>
    <col min="19" max="19" width="8.710937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28" width="6.85546875" style="1" customWidth="1"/>
    <col min="29" max="29" width="7.7109375" style="1" customWidth="1"/>
    <col min="30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2080/04/30</v>
      </c>
      <c r="C4" s="203"/>
      <c r="D4" s="203"/>
      <c r="E4" s="204" t="str">
        <f ca="1">"2079/"&amp;"12/"&amp;INT(MID(CELL("filename",G6),FIND("]",CELL("filename",G6))+1,200))</f>
        <v>2079/12/30</v>
      </c>
      <c r="F4" s="204"/>
      <c r="G4" s="204"/>
      <c r="H4" s="204" t="str">
        <f ca="1">TEXT(E4,"dddd")</f>
        <v>Saturday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10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1.6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9.6</v>
      </c>
      <c r="Q5" s="30">
        <f t="shared" si="0"/>
        <v>4.8</v>
      </c>
      <c r="R5" s="30">
        <f t="shared" si="0"/>
        <v>6.8</v>
      </c>
      <c r="S5" s="30">
        <f t="shared" si="0"/>
        <v>7.5</v>
      </c>
      <c r="T5" s="30">
        <f t="shared" si="0"/>
        <v>11.9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26.8</v>
      </c>
      <c r="AC5" s="30">
        <f t="shared" si="0"/>
        <v>38</v>
      </c>
      <c r="AD5" s="30">
        <f t="shared" si="0"/>
        <v>15.7</v>
      </c>
      <c r="AE5" s="30">
        <f t="shared" si="0"/>
        <v>4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2010MW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1880.0400000000002</v>
      </c>
      <c r="C7" s="35">
        <f t="shared" si="1"/>
        <v>1889.74</v>
      </c>
      <c r="D7" s="35">
        <f t="shared" si="1"/>
        <v>1933.7400000000002</v>
      </c>
      <c r="E7" s="35">
        <f t="shared" si="1"/>
        <v>1888.34</v>
      </c>
      <c r="F7" s="35">
        <f t="shared" si="1"/>
        <v>1905.84</v>
      </c>
      <c r="G7" s="35">
        <f t="shared" si="1"/>
        <v>1914.9399999999998</v>
      </c>
      <c r="H7" s="35">
        <f t="shared" si="1"/>
        <v>1928.34</v>
      </c>
      <c r="I7" s="35">
        <f t="shared" si="1"/>
        <v>1942.04</v>
      </c>
      <c r="J7" s="35">
        <f t="shared" si="1"/>
        <v>1975.2399999999998</v>
      </c>
      <c r="K7" s="35">
        <f t="shared" si="1"/>
        <v>2010.04</v>
      </c>
      <c r="L7" s="35">
        <f t="shared" si="1"/>
        <v>1966.94</v>
      </c>
      <c r="M7" s="35">
        <f t="shared" si="1"/>
        <v>1977.54</v>
      </c>
      <c r="N7" s="35">
        <f>N91</f>
        <v>1896.54</v>
      </c>
      <c r="O7" s="35">
        <f t="shared" si="1"/>
        <v>1878.54</v>
      </c>
      <c r="P7" s="35">
        <f t="shared" si="1"/>
        <v>1878.54</v>
      </c>
      <c r="Q7" s="35">
        <f t="shared" si="1"/>
        <v>1987.34</v>
      </c>
      <c r="R7" s="35">
        <f t="shared" si="1"/>
        <v>1982.54</v>
      </c>
      <c r="S7" s="35">
        <f t="shared" si="1"/>
        <v>1950.54</v>
      </c>
      <c r="T7" s="35">
        <f t="shared" si="1"/>
        <v>1925.7399999999998</v>
      </c>
      <c r="U7" s="35">
        <f t="shared" si="1"/>
        <v>1926.2400000000002</v>
      </c>
      <c r="V7" s="35">
        <f t="shared" si="1"/>
        <v>1926.44</v>
      </c>
      <c r="W7" s="35">
        <f t="shared" si="1"/>
        <v>1897.44</v>
      </c>
      <c r="X7" s="35">
        <f t="shared" si="1"/>
        <v>2020.6399999999999</v>
      </c>
      <c r="Y7" s="35">
        <f t="shared" si="1"/>
        <v>2050.94</v>
      </c>
      <c r="Z7" s="35">
        <f t="shared" si="1"/>
        <v>2050.94</v>
      </c>
      <c r="AA7" s="35">
        <f t="shared" si="1"/>
        <v>3.54</v>
      </c>
      <c r="AB7" s="35">
        <f t="shared" si="1"/>
        <v>3.54</v>
      </c>
      <c r="AC7" s="35">
        <f t="shared" si="1"/>
        <v>1949.44</v>
      </c>
      <c r="AD7" s="35">
        <f t="shared" si="1"/>
        <v>2032.2400000000002</v>
      </c>
      <c r="AE7" s="35">
        <f t="shared" si="1"/>
        <v>2007.9400000000003</v>
      </c>
      <c r="AF7" s="35">
        <f t="shared" si="1"/>
        <v>1979.2400000000002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89.8</v>
      </c>
      <c r="C11" s="45">
        <v>89.8</v>
      </c>
      <c r="D11" s="45">
        <v>89.8</v>
      </c>
      <c r="E11" s="45">
        <v>90.2</v>
      </c>
      <c r="F11" s="45">
        <v>90.2</v>
      </c>
      <c r="G11" s="45">
        <v>90.2</v>
      </c>
      <c r="H11" s="45">
        <v>90.2</v>
      </c>
      <c r="I11" s="45">
        <v>90.2</v>
      </c>
      <c r="J11" s="45">
        <v>90.2</v>
      </c>
      <c r="K11" s="45">
        <v>90.2</v>
      </c>
      <c r="L11" s="45">
        <v>90.2</v>
      </c>
      <c r="M11" s="45">
        <v>90.2</v>
      </c>
      <c r="N11" s="45">
        <v>90.2</v>
      </c>
      <c r="O11" s="45">
        <v>90.2</v>
      </c>
      <c r="P11" s="45">
        <v>90.2</v>
      </c>
      <c r="Q11" s="45">
        <v>90.2</v>
      </c>
      <c r="R11" s="45">
        <v>90.2</v>
      </c>
      <c r="S11" s="45">
        <v>90.2</v>
      </c>
      <c r="T11" s="45">
        <v>90.2</v>
      </c>
      <c r="U11" s="45">
        <v>90.2</v>
      </c>
      <c r="V11" s="45">
        <v>90.2</v>
      </c>
      <c r="W11" s="45">
        <v>90.2</v>
      </c>
      <c r="X11" s="45">
        <v>90.2</v>
      </c>
      <c r="Y11" s="45">
        <v>90.2</v>
      </c>
      <c r="Z11" s="45">
        <v>90.2</v>
      </c>
      <c r="AA11" s="45"/>
      <c r="AB11" s="45"/>
      <c r="AC11" s="45">
        <v>90.2</v>
      </c>
      <c r="AD11" s="45">
        <v>90.2</v>
      </c>
      <c r="AE11" s="45">
        <v>90.2</v>
      </c>
      <c r="AF11" s="45">
        <v>90.2</v>
      </c>
      <c r="AG11" s="46">
        <v>86</v>
      </c>
      <c r="AH11" s="47">
        <f t="shared" ref="AH11:AH76" si="2">MAX(B11:AF11)</f>
        <v>90.2</v>
      </c>
      <c r="AI11" s="48">
        <f t="shared" ref="AI11:AI76" si="3">MIN(B11:AF11)</f>
        <v>89.8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9</v>
      </c>
      <c r="H12" s="45">
        <v>13</v>
      </c>
      <c r="I12" s="45">
        <v>13</v>
      </c>
      <c r="J12" s="45">
        <v>13</v>
      </c>
      <c r="K12" s="45">
        <v>13</v>
      </c>
      <c r="L12" s="45">
        <v>13</v>
      </c>
      <c r="M12" s="45">
        <v>13</v>
      </c>
      <c r="N12" s="45">
        <v>13</v>
      </c>
      <c r="O12" s="45">
        <v>8</v>
      </c>
      <c r="P12" s="45">
        <v>12</v>
      </c>
      <c r="Q12" s="45">
        <v>12</v>
      </c>
      <c r="R12" s="45">
        <v>12</v>
      </c>
      <c r="S12" s="45">
        <v>12</v>
      </c>
      <c r="T12" s="45">
        <v>12</v>
      </c>
      <c r="U12" s="45">
        <v>17</v>
      </c>
      <c r="V12" s="45">
        <v>17</v>
      </c>
      <c r="W12" s="45">
        <v>12</v>
      </c>
      <c r="X12" s="45">
        <v>12</v>
      </c>
      <c r="Y12" s="45">
        <v>12</v>
      </c>
      <c r="Z12" s="45">
        <v>12</v>
      </c>
      <c r="AA12" s="45"/>
      <c r="AB12" s="45"/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>
        <f t="shared" si="2"/>
        <v>17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54.7</v>
      </c>
      <c r="C13" s="45">
        <v>54.7</v>
      </c>
      <c r="D13" s="45">
        <v>54.7</v>
      </c>
      <c r="E13" s="45">
        <v>54.7</v>
      </c>
      <c r="F13" s="45">
        <v>54.7</v>
      </c>
      <c r="G13" s="45">
        <v>54.7</v>
      </c>
      <c r="H13" s="45">
        <v>54.7</v>
      </c>
      <c r="I13" s="45">
        <v>54.7</v>
      </c>
      <c r="J13" s="45">
        <v>54.7</v>
      </c>
      <c r="K13" s="45">
        <v>54.7</v>
      </c>
      <c r="L13" s="45">
        <v>54.7</v>
      </c>
      <c r="M13" s="45">
        <v>54.7</v>
      </c>
      <c r="N13" s="45">
        <v>54.7</v>
      </c>
      <c r="O13" s="45">
        <v>54.7</v>
      </c>
      <c r="P13" s="45">
        <v>54.7</v>
      </c>
      <c r="Q13" s="45">
        <v>54.7</v>
      </c>
      <c r="R13" s="45">
        <v>54.7</v>
      </c>
      <c r="S13" s="45">
        <v>54.7</v>
      </c>
      <c r="T13" s="45">
        <v>54.7</v>
      </c>
      <c r="U13" s="45">
        <v>54.7</v>
      </c>
      <c r="V13" s="45">
        <v>54.7</v>
      </c>
      <c r="W13" s="45">
        <v>54.7</v>
      </c>
      <c r="X13" s="45">
        <v>54.7</v>
      </c>
      <c r="Y13" s="45">
        <v>54.7</v>
      </c>
      <c r="Z13" s="45">
        <v>54.7</v>
      </c>
      <c r="AA13" s="45"/>
      <c r="AB13" s="45"/>
      <c r="AC13" s="45">
        <v>54.8</v>
      </c>
      <c r="AD13" s="45">
        <v>54.8</v>
      </c>
      <c r="AE13" s="45">
        <v>54.8</v>
      </c>
      <c r="AF13" s="45">
        <v>54.8</v>
      </c>
      <c r="AG13" s="46">
        <v>52.4</v>
      </c>
      <c r="AH13" s="47">
        <f t="shared" si="2"/>
        <v>54.8</v>
      </c>
      <c r="AI13" s="48">
        <f t="shared" si="3"/>
        <v>54.7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50.5</v>
      </c>
      <c r="C14" s="58">
        <v>50.5</v>
      </c>
      <c r="D14" s="58">
        <v>50.5</v>
      </c>
      <c r="E14" s="58">
        <v>50.5</v>
      </c>
      <c r="F14" s="58">
        <v>50.5</v>
      </c>
      <c r="G14" s="58">
        <v>50.5</v>
      </c>
      <c r="H14" s="58">
        <v>50.5</v>
      </c>
      <c r="I14" s="58">
        <v>50.5</v>
      </c>
      <c r="J14" s="58">
        <v>50.5</v>
      </c>
      <c r="K14" s="58">
        <v>50.5</v>
      </c>
      <c r="L14" s="58">
        <v>50.5</v>
      </c>
      <c r="M14" s="58">
        <v>50.5</v>
      </c>
      <c r="N14" s="58">
        <v>50.5</v>
      </c>
      <c r="O14" s="58">
        <v>50.5</v>
      </c>
      <c r="P14" s="58">
        <v>50.5</v>
      </c>
      <c r="Q14" s="58">
        <v>50.5</v>
      </c>
      <c r="R14" s="58">
        <v>50.5</v>
      </c>
      <c r="S14" s="58">
        <v>50.5</v>
      </c>
      <c r="T14" s="58">
        <v>25</v>
      </c>
      <c r="U14" s="58">
        <v>25</v>
      </c>
      <c r="V14" s="58">
        <v>25</v>
      </c>
      <c r="W14" s="58">
        <v>25</v>
      </c>
      <c r="X14" s="58">
        <v>40</v>
      </c>
      <c r="Y14" s="58">
        <v>50</v>
      </c>
      <c r="Z14" s="58">
        <v>50</v>
      </c>
      <c r="AA14" s="45"/>
      <c r="AB14" s="45"/>
      <c r="AC14" s="45">
        <v>0</v>
      </c>
      <c r="AD14" s="45">
        <v>0</v>
      </c>
      <c r="AE14" s="45">
        <v>0</v>
      </c>
      <c r="AF14" s="45">
        <v>0</v>
      </c>
      <c r="AG14" s="49">
        <v>50</v>
      </c>
      <c r="AH14" s="47">
        <f t="shared" si="2"/>
        <v>50.5</v>
      </c>
      <c r="AI14" s="48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46.7</v>
      </c>
      <c r="C15" s="45">
        <v>46.7</v>
      </c>
      <c r="D15" s="45">
        <v>46.7</v>
      </c>
      <c r="E15" s="45">
        <v>46.6</v>
      </c>
      <c r="F15" s="45">
        <v>46.6</v>
      </c>
      <c r="G15" s="45">
        <v>46.6</v>
      </c>
      <c r="H15" s="45">
        <v>46.6</v>
      </c>
      <c r="I15" s="45">
        <v>46.6</v>
      </c>
      <c r="J15" s="45">
        <v>46.6</v>
      </c>
      <c r="K15" s="45">
        <v>46.6</v>
      </c>
      <c r="L15" s="45">
        <v>46.6</v>
      </c>
      <c r="M15" s="45">
        <v>46.6</v>
      </c>
      <c r="N15" s="45">
        <v>46.6</v>
      </c>
      <c r="O15" s="45">
        <v>46.6</v>
      </c>
      <c r="P15" s="45">
        <v>46.6</v>
      </c>
      <c r="Q15" s="45">
        <v>46.6</v>
      </c>
      <c r="R15" s="45">
        <v>46.6</v>
      </c>
      <c r="S15" s="45">
        <v>46.6</v>
      </c>
      <c r="T15" s="45">
        <v>46.6</v>
      </c>
      <c r="U15" s="45">
        <v>46.6</v>
      </c>
      <c r="V15" s="45">
        <v>46.6</v>
      </c>
      <c r="W15" s="45">
        <v>46.6</v>
      </c>
      <c r="X15" s="45">
        <v>46.6</v>
      </c>
      <c r="Y15" s="45">
        <v>46.6</v>
      </c>
      <c r="Z15" s="45">
        <v>46.6</v>
      </c>
      <c r="AA15" s="45"/>
      <c r="AB15" s="45"/>
      <c r="AC15" s="45">
        <v>46.2</v>
      </c>
      <c r="AD15" s="45">
        <v>46.2</v>
      </c>
      <c r="AE15" s="45">
        <v>46.2</v>
      </c>
      <c r="AF15" s="45">
        <v>46.2</v>
      </c>
      <c r="AG15" s="49">
        <v>45</v>
      </c>
      <c r="AH15" s="47">
        <f t="shared" si="2"/>
        <v>46.7</v>
      </c>
      <c r="AI15" s="48">
        <f t="shared" si="3"/>
        <v>46.2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/>
      <c r="AB16" s="45"/>
      <c r="AC16" s="45">
        <v>30</v>
      </c>
      <c r="AD16" s="45">
        <v>30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30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28</v>
      </c>
      <c r="C17" s="45">
        <v>28</v>
      </c>
      <c r="D17" s="45">
        <v>28</v>
      </c>
      <c r="E17" s="45">
        <v>28</v>
      </c>
      <c r="F17" s="45">
        <v>28</v>
      </c>
      <c r="G17" s="45">
        <v>28</v>
      </c>
      <c r="H17" s="45">
        <v>28</v>
      </c>
      <c r="I17" s="45">
        <v>28</v>
      </c>
      <c r="J17" s="45">
        <v>28</v>
      </c>
      <c r="K17" s="45">
        <v>28</v>
      </c>
      <c r="L17" s="45">
        <v>28</v>
      </c>
      <c r="M17" s="45">
        <v>28</v>
      </c>
      <c r="N17" s="45">
        <v>28</v>
      </c>
      <c r="O17" s="45">
        <v>28</v>
      </c>
      <c r="P17" s="45">
        <v>28</v>
      </c>
      <c r="Q17" s="45">
        <v>32</v>
      </c>
      <c r="R17" s="45">
        <v>32</v>
      </c>
      <c r="S17" s="45">
        <v>32</v>
      </c>
      <c r="T17" s="45">
        <v>32</v>
      </c>
      <c r="U17" s="45">
        <v>27.5</v>
      </c>
      <c r="V17" s="45">
        <v>27.5</v>
      </c>
      <c r="W17" s="45">
        <v>27.5</v>
      </c>
      <c r="X17" s="45">
        <v>27.5</v>
      </c>
      <c r="Y17" s="45">
        <v>27.5</v>
      </c>
      <c r="Z17" s="45">
        <v>27.5</v>
      </c>
      <c r="AA17" s="45"/>
      <c r="AB17" s="45"/>
      <c r="AC17" s="45">
        <v>27.5</v>
      </c>
      <c r="AD17" s="45">
        <v>36</v>
      </c>
      <c r="AE17" s="45">
        <v>30</v>
      </c>
      <c r="AF17" s="45">
        <v>30</v>
      </c>
      <c r="AG17" s="49">
        <v>42</v>
      </c>
      <c r="AH17" s="47">
        <f t="shared" si="2"/>
        <v>36</v>
      </c>
      <c r="AI17" s="48">
        <f t="shared" si="3"/>
        <v>27.5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/>
      <c r="AB18" s="45"/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/>
      <c r="AB19" s="45"/>
      <c r="AC19" s="45">
        <v>0</v>
      </c>
      <c r="AD19" s="45">
        <v>0</v>
      </c>
      <c r="AE19" s="45">
        <v>0</v>
      </c>
      <c r="AF19" s="45">
        <v>0</v>
      </c>
      <c r="AG19" s="49">
        <v>36</v>
      </c>
      <c r="AH19" s="47">
        <f t="shared" si="2"/>
        <v>0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0</v>
      </c>
      <c r="C20" s="45">
        <v>0</v>
      </c>
      <c r="D20" s="45">
        <v>0</v>
      </c>
      <c r="E20" s="45">
        <v>0</v>
      </c>
      <c r="F20" s="45">
        <v>6.3</v>
      </c>
      <c r="G20" s="45">
        <v>6.3</v>
      </c>
      <c r="H20" s="45">
        <v>6</v>
      </c>
      <c r="I20" s="45">
        <v>15.3</v>
      </c>
      <c r="J20" s="45">
        <v>25.4</v>
      </c>
      <c r="K20" s="45">
        <v>20</v>
      </c>
      <c r="L20" s="45">
        <v>10</v>
      </c>
      <c r="M20" s="45">
        <v>10</v>
      </c>
      <c r="N20" s="45">
        <v>5</v>
      </c>
      <c r="O20" s="45">
        <v>5</v>
      </c>
      <c r="P20" s="45">
        <v>5</v>
      </c>
      <c r="Q20" s="45">
        <v>25</v>
      </c>
      <c r="R20" s="45">
        <v>25</v>
      </c>
      <c r="S20" s="45">
        <v>27.7</v>
      </c>
      <c r="T20" s="45">
        <v>29.8</v>
      </c>
      <c r="U20" s="45">
        <v>29.8</v>
      </c>
      <c r="V20" s="45">
        <v>29.8</v>
      </c>
      <c r="W20" s="45">
        <v>29.8</v>
      </c>
      <c r="X20" s="45">
        <v>5</v>
      </c>
      <c r="Y20" s="45">
        <v>5</v>
      </c>
      <c r="Z20" s="45">
        <v>5</v>
      </c>
      <c r="AA20" s="45"/>
      <c r="AB20" s="45"/>
      <c r="AC20" s="45">
        <v>0</v>
      </c>
      <c r="AD20" s="45">
        <v>0</v>
      </c>
      <c r="AE20" s="45">
        <v>0</v>
      </c>
      <c r="AF20" s="45">
        <v>0</v>
      </c>
      <c r="AG20" s="51">
        <v>30</v>
      </c>
      <c r="AH20" s="47">
        <f t="shared" si="2"/>
        <v>29.8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24.8</v>
      </c>
      <c r="C21" s="45">
        <v>24.8</v>
      </c>
      <c r="D21" s="45">
        <v>24.8</v>
      </c>
      <c r="E21" s="45">
        <v>24.8</v>
      </c>
      <c r="F21" s="45">
        <v>24.8</v>
      </c>
      <c r="G21" s="45">
        <v>24.8</v>
      </c>
      <c r="H21" s="45">
        <v>24.8</v>
      </c>
      <c r="I21" s="45">
        <v>24.8</v>
      </c>
      <c r="J21" s="45">
        <v>24.8</v>
      </c>
      <c r="K21" s="45">
        <v>24.8</v>
      </c>
      <c r="L21" s="45">
        <v>24.8</v>
      </c>
      <c r="M21" s="45">
        <v>24.8</v>
      </c>
      <c r="N21" s="45">
        <v>24.8</v>
      </c>
      <c r="O21" s="45">
        <v>24.8</v>
      </c>
      <c r="P21" s="45">
        <v>24.8</v>
      </c>
      <c r="Q21" s="45">
        <v>24.8</v>
      </c>
      <c r="R21" s="45">
        <v>24.8</v>
      </c>
      <c r="S21" s="45">
        <v>24.8</v>
      </c>
      <c r="T21" s="45">
        <v>24.8</v>
      </c>
      <c r="U21" s="45">
        <v>20.8</v>
      </c>
      <c r="V21" s="45">
        <v>20.8</v>
      </c>
      <c r="W21" s="45">
        <v>20.8</v>
      </c>
      <c r="X21" s="45">
        <v>20.8</v>
      </c>
      <c r="Y21" s="45">
        <v>20.8</v>
      </c>
      <c r="Z21" s="45">
        <v>20.8</v>
      </c>
      <c r="AA21" s="45"/>
      <c r="AB21" s="45"/>
      <c r="AC21" s="45">
        <v>20.8</v>
      </c>
      <c r="AD21" s="45">
        <v>20.8</v>
      </c>
      <c r="AE21" s="45">
        <v>20.8</v>
      </c>
      <c r="AF21" s="45">
        <v>20.8</v>
      </c>
      <c r="AG21" s="49">
        <v>24.2</v>
      </c>
      <c r="AH21" s="47">
        <f t="shared" si="2"/>
        <v>24.8</v>
      </c>
      <c r="AI21" s="48">
        <f t="shared" si="3"/>
        <v>20.8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28.2</v>
      </c>
      <c r="C22" s="45">
        <v>28.2</v>
      </c>
      <c r="D22" s="45">
        <v>28.2</v>
      </c>
      <c r="E22" s="45">
        <v>28.2</v>
      </c>
      <c r="F22" s="45">
        <v>28.2</v>
      </c>
      <c r="G22" s="45">
        <v>28.2</v>
      </c>
      <c r="H22" s="45">
        <v>28.2</v>
      </c>
      <c r="I22" s="45">
        <v>28.2</v>
      </c>
      <c r="J22" s="45">
        <v>28.2</v>
      </c>
      <c r="K22" s="45">
        <v>28.2</v>
      </c>
      <c r="L22" s="45">
        <v>28.2</v>
      </c>
      <c r="M22" s="45">
        <v>28.2</v>
      </c>
      <c r="N22" s="45">
        <v>28.2</v>
      </c>
      <c r="O22" s="45">
        <v>28.2</v>
      </c>
      <c r="P22" s="45">
        <v>28.2</v>
      </c>
      <c r="Q22" s="45">
        <v>28.2</v>
      </c>
      <c r="R22" s="45">
        <v>28.2</v>
      </c>
      <c r="S22" s="45">
        <v>28.2</v>
      </c>
      <c r="T22" s="45">
        <v>28.2</v>
      </c>
      <c r="U22" s="45">
        <v>20.6</v>
      </c>
      <c r="V22" s="45">
        <v>20.6</v>
      </c>
      <c r="W22" s="45">
        <v>20.6</v>
      </c>
      <c r="X22" s="45">
        <v>20.6</v>
      </c>
      <c r="Y22" s="45">
        <v>20.6</v>
      </c>
      <c r="Z22" s="45">
        <v>20.6</v>
      </c>
      <c r="AA22" s="45"/>
      <c r="AB22" s="45"/>
      <c r="AC22" s="45">
        <v>20.6</v>
      </c>
      <c r="AD22" s="45">
        <v>20.6</v>
      </c>
      <c r="AE22" s="45">
        <v>20.6</v>
      </c>
      <c r="AF22" s="45">
        <v>20.6</v>
      </c>
      <c r="AG22" s="49">
        <v>28</v>
      </c>
      <c r="AH22" s="47">
        <f t="shared" si="2"/>
        <v>28.2</v>
      </c>
      <c r="AI22" s="48">
        <f t="shared" si="3"/>
        <v>20.6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0</v>
      </c>
      <c r="C23" s="45">
        <v>0</v>
      </c>
      <c r="D23" s="45">
        <v>0</v>
      </c>
      <c r="E23" s="45">
        <v>0</v>
      </c>
      <c r="F23" s="45">
        <v>4.5</v>
      </c>
      <c r="G23" s="45">
        <v>4.5</v>
      </c>
      <c r="H23" s="45">
        <v>4.5</v>
      </c>
      <c r="I23" s="45">
        <v>13.5</v>
      </c>
      <c r="J23" s="45">
        <v>18</v>
      </c>
      <c r="K23" s="45">
        <v>27</v>
      </c>
      <c r="L23" s="45">
        <v>9</v>
      </c>
      <c r="M23" s="45">
        <v>9</v>
      </c>
      <c r="N23" s="45">
        <v>9</v>
      </c>
      <c r="O23" s="45">
        <v>3</v>
      </c>
      <c r="P23" s="45">
        <v>3</v>
      </c>
      <c r="Q23" s="45">
        <v>27</v>
      </c>
      <c r="R23" s="45">
        <v>27</v>
      </c>
      <c r="S23" s="45">
        <v>27</v>
      </c>
      <c r="T23" s="45">
        <v>27</v>
      </c>
      <c r="U23" s="45">
        <v>27</v>
      </c>
      <c r="V23" s="45">
        <v>27</v>
      </c>
      <c r="W23" s="45">
        <v>9</v>
      </c>
      <c r="X23" s="45">
        <v>9</v>
      </c>
      <c r="Y23" s="45">
        <v>27</v>
      </c>
      <c r="Z23" s="45">
        <v>27</v>
      </c>
      <c r="AA23" s="45"/>
      <c r="AB23" s="45"/>
      <c r="AC23" s="45">
        <v>0</v>
      </c>
      <c r="AD23" s="45">
        <v>0</v>
      </c>
      <c r="AE23" s="45">
        <v>0</v>
      </c>
      <c r="AF23" s="45">
        <v>0</v>
      </c>
      <c r="AG23" s="51">
        <v>30</v>
      </c>
      <c r="AH23" s="47">
        <f t="shared" si="2"/>
        <v>27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24.4</v>
      </c>
      <c r="C24" s="45">
        <v>24.4</v>
      </c>
      <c r="D24" s="45">
        <v>24.4</v>
      </c>
      <c r="E24" s="45">
        <v>24.5</v>
      </c>
      <c r="F24" s="45">
        <v>24.5</v>
      </c>
      <c r="G24" s="45">
        <v>24.5</v>
      </c>
      <c r="H24" s="45">
        <v>24.5</v>
      </c>
      <c r="I24" s="45">
        <v>24.5</v>
      </c>
      <c r="J24" s="45">
        <v>24.5</v>
      </c>
      <c r="K24" s="45">
        <v>24.5</v>
      </c>
      <c r="L24" s="45">
        <v>24.5</v>
      </c>
      <c r="M24" s="45">
        <v>24.5</v>
      </c>
      <c r="N24" s="45">
        <v>24.5</v>
      </c>
      <c r="O24" s="45">
        <v>24.5</v>
      </c>
      <c r="P24" s="45">
        <v>24.5</v>
      </c>
      <c r="Q24" s="45">
        <v>24.5</v>
      </c>
      <c r="R24" s="45">
        <v>24.5</v>
      </c>
      <c r="S24" s="45">
        <v>24.5</v>
      </c>
      <c r="T24" s="45">
        <v>24.5</v>
      </c>
      <c r="U24" s="45">
        <v>24.4</v>
      </c>
      <c r="V24" s="45">
        <v>24.4</v>
      </c>
      <c r="W24" s="45">
        <v>24.4</v>
      </c>
      <c r="X24" s="45">
        <v>24.4</v>
      </c>
      <c r="Y24" s="45">
        <v>24.4</v>
      </c>
      <c r="Z24" s="45">
        <v>24.4</v>
      </c>
      <c r="AA24" s="45"/>
      <c r="AB24" s="45"/>
      <c r="AC24" s="45">
        <v>24.4</v>
      </c>
      <c r="AD24" s="45">
        <v>24.4</v>
      </c>
      <c r="AE24" s="45">
        <v>24.4</v>
      </c>
      <c r="AF24" s="45">
        <v>24.4</v>
      </c>
      <c r="AG24" s="49">
        <v>25</v>
      </c>
      <c r="AH24" s="47">
        <f t="shared" si="2"/>
        <v>24.5</v>
      </c>
      <c r="AI24" s="48">
        <f t="shared" si="3"/>
        <v>24.4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/>
      <c r="AB25" s="45"/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/>
      <c r="AB26" s="45"/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0</v>
      </c>
      <c r="C27" s="45">
        <v>0</v>
      </c>
      <c r="D27" s="45">
        <v>0</v>
      </c>
      <c r="E27" s="45">
        <v>0</v>
      </c>
      <c r="F27" s="45">
        <v>4.5</v>
      </c>
      <c r="G27" s="45">
        <v>4.5</v>
      </c>
      <c r="H27" s="45">
        <v>8.5</v>
      </c>
      <c r="I27" s="45">
        <v>12.5</v>
      </c>
      <c r="J27" s="45">
        <v>12.5</v>
      </c>
      <c r="K27" s="45">
        <v>25</v>
      </c>
      <c r="L27" s="45">
        <v>8</v>
      </c>
      <c r="M27" s="45">
        <v>8</v>
      </c>
      <c r="N27" s="45">
        <v>8</v>
      </c>
      <c r="O27" s="45">
        <v>3</v>
      </c>
      <c r="P27" s="45">
        <v>3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9</v>
      </c>
      <c r="X27" s="45">
        <v>9</v>
      </c>
      <c r="Y27" s="45">
        <v>25</v>
      </c>
      <c r="Z27" s="45">
        <v>25</v>
      </c>
      <c r="AA27" s="45"/>
      <c r="AB27" s="45"/>
      <c r="AC27" s="45">
        <v>0</v>
      </c>
      <c r="AD27" s="45">
        <v>0</v>
      </c>
      <c r="AE27" s="45">
        <v>0</v>
      </c>
      <c r="AF27" s="45">
        <v>0</v>
      </c>
      <c r="AG27" s="49">
        <v>25</v>
      </c>
      <c r="AH27" s="47">
        <f t="shared" si="2"/>
        <v>25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24.8</v>
      </c>
      <c r="C28" s="45">
        <v>24.8</v>
      </c>
      <c r="D28" s="45">
        <v>24.8</v>
      </c>
      <c r="E28" s="45">
        <v>24.8</v>
      </c>
      <c r="F28" s="45">
        <v>24.8</v>
      </c>
      <c r="G28" s="45">
        <v>24.8</v>
      </c>
      <c r="H28" s="45">
        <v>24.8</v>
      </c>
      <c r="I28" s="45">
        <v>24.8</v>
      </c>
      <c r="J28" s="45">
        <v>24.8</v>
      </c>
      <c r="K28" s="45">
        <v>24.8</v>
      </c>
      <c r="L28" s="45">
        <v>24.8</v>
      </c>
      <c r="M28" s="45">
        <v>24.8</v>
      </c>
      <c r="N28" s="45">
        <v>24.8</v>
      </c>
      <c r="O28" s="45">
        <v>24.8</v>
      </c>
      <c r="P28" s="45">
        <v>24.8</v>
      </c>
      <c r="Q28" s="45">
        <v>24.8</v>
      </c>
      <c r="R28" s="45">
        <v>24.8</v>
      </c>
      <c r="S28" s="45">
        <v>24.8</v>
      </c>
      <c r="T28" s="45">
        <v>24.8</v>
      </c>
      <c r="U28" s="45">
        <v>24.8</v>
      </c>
      <c r="V28" s="45">
        <v>24.8</v>
      </c>
      <c r="W28" s="45">
        <v>24.8</v>
      </c>
      <c r="X28" s="45">
        <v>24.8</v>
      </c>
      <c r="Y28" s="45">
        <v>24.8</v>
      </c>
      <c r="Z28" s="45">
        <v>24.8</v>
      </c>
      <c r="AA28" s="45"/>
      <c r="AB28" s="45"/>
      <c r="AC28" s="45">
        <v>24.8</v>
      </c>
      <c r="AD28" s="45">
        <v>24.8</v>
      </c>
      <c r="AE28" s="45">
        <v>24.8</v>
      </c>
      <c r="AF28" s="45">
        <v>24.8</v>
      </c>
      <c r="AG28" s="49">
        <v>23.5</v>
      </c>
      <c r="AH28" s="47">
        <f t="shared" si="2"/>
        <v>24.8</v>
      </c>
      <c r="AI28" s="48">
        <f t="shared" si="3"/>
        <v>24.8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20</v>
      </c>
      <c r="C29" s="45">
        <v>20</v>
      </c>
      <c r="D29" s="45">
        <v>20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/>
      <c r="AB29" s="45"/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</v>
      </c>
      <c r="C30" s="45">
        <v>7</v>
      </c>
      <c r="D30" s="45">
        <v>7</v>
      </c>
      <c r="E30" s="45">
        <v>7</v>
      </c>
      <c r="F30" s="45">
        <v>7</v>
      </c>
      <c r="G30" s="45">
        <v>7</v>
      </c>
      <c r="H30" s="45">
        <v>7</v>
      </c>
      <c r="I30" s="45">
        <v>7</v>
      </c>
      <c r="J30" s="45">
        <v>7</v>
      </c>
      <c r="K30" s="45">
        <v>7</v>
      </c>
      <c r="L30" s="45">
        <v>7</v>
      </c>
      <c r="M30" s="45">
        <v>7</v>
      </c>
      <c r="N30" s="45">
        <v>7</v>
      </c>
      <c r="O30" s="45">
        <v>7</v>
      </c>
      <c r="P30" s="45">
        <v>7</v>
      </c>
      <c r="Q30" s="45">
        <v>7</v>
      </c>
      <c r="R30" s="45">
        <v>7</v>
      </c>
      <c r="S30" s="45">
        <v>7</v>
      </c>
      <c r="T30" s="45">
        <v>7</v>
      </c>
      <c r="U30" s="45">
        <v>7</v>
      </c>
      <c r="V30" s="45">
        <v>7</v>
      </c>
      <c r="W30" s="45">
        <v>7</v>
      </c>
      <c r="X30" s="45">
        <v>7</v>
      </c>
      <c r="Y30" s="45">
        <v>7</v>
      </c>
      <c r="Z30" s="45">
        <v>7</v>
      </c>
      <c r="AA30" s="45"/>
      <c r="AB30" s="45"/>
      <c r="AC30" s="45">
        <v>7</v>
      </c>
      <c r="AD30" s="45">
        <v>7</v>
      </c>
      <c r="AE30" s="45">
        <v>7</v>
      </c>
      <c r="AF30" s="45">
        <v>7</v>
      </c>
      <c r="AG30" s="49">
        <v>22.1</v>
      </c>
      <c r="AH30" s="47">
        <f t="shared" si="2"/>
        <v>7</v>
      </c>
      <c r="AI30" s="48">
        <f t="shared" si="3"/>
        <v>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/>
      <c r="AB31" s="45"/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19</v>
      </c>
      <c r="C32" s="45">
        <v>19</v>
      </c>
      <c r="D32" s="45">
        <v>19</v>
      </c>
      <c r="E32" s="45">
        <v>19</v>
      </c>
      <c r="F32" s="45">
        <v>19</v>
      </c>
      <c r="G32" s="45">
        <v>19</v>
      </c>
      <c r="H32" s="45">
        <v>19</v>
      </c>
      <c r="I32" s="45">
        <v>19</v>
      </c>
      <c r="J32" s="45">
        <v>19</v>
      </c>
      <c r="K32" s="45">
        <v>19</v>
      </c>
      <c r="L32" s="45">
        <v>19</v>
      </c>
      <c r="M32" s="45">
        <v>19</v>
      </c>
      <c r="N32" s="45">
        <v>19</v>
      </c>
      <c r="O32" s="45">
        <v>19</v>
      </c>
      <c r="P32" s="45">
        <v>19</v>
      </c>
      <c r="Q32" s="45">
        <v>19</v>
      </c>
      <c r="R32" s="45">
        <v>19</v>
      </c>
      <c r="S32" s="45">
        <v>19</v>
      </c>
      <c r="T32" s="45">
        <v>19</v>
      </c>
      <c r="U32" s="45">
        <v>19</v>
      </c>
      <c r="V32" s="45">
        <v>19</v>
      </c>
      <c r="W32" s="45">
        <v>19</v>
      </c>
      <c r="X32" s="45">
        <v>19</v>
      </c>
      <c r="Y32" s="45">
        <v>19</v>
      </c>
      <c r="Z32" s="45">
        <v>19</v>
      </c>
      <c r="AA32" s="45"/>
      <c r="AB32" s="45"/>
      <c r="AC32" s="45">
        <v>19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19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5</v>
      </c>
      <c r="Y33" s="45">
        <v>5</v>
      </c>
      <c r="Z33" s="45">
        <v>5</v>
      </c>
      <c r="AA33" s="45"/>
      <c r="AB33" s="45"/>
      <c r="AC33" s="45">
        <v>10</v>
      </c>
      <c r="AD33" s="45">
        <v>10</v>
      </c>
      <c r="AE33" s="45">
        <v>10</v>
      </c>
      <c r="AF33" s="45">
        <v>10</v>
      </c>
      <c r="AG33" s="49">
        <v>20</v>
      </c>
      <c r="AH33" s="47">
        <f t="shared" si="2"/>
        <v>10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3.5</v>
      </c>
      <c r="I34" s="45">
        <v>3.5</v>
      </c>
      <c r="J34" s="45">
        <v>3.5</v>
      </c>
      <c r="K34" s="45">
        <v>3.5</v>
      </c>
      <c r="L34" s="45">
        <v>3.5</v>
      </c>
      <c r="M34" s="45">
        <v>3.5</v>
      </c>
      <c r="N34" s="45">
        <v>3.5</v>
      </c>
      <c r="O34" s="45">
        <v>3.5</v>
      </c>
      <c r="P34" s="45">
        <v>3.5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5</v>
      </c>
      <c r="Y34" s="45">
        <v>5</v>
      </c>
      <c r="Z34" s="45">
        <v>5</v>
      </c>
      <c r="AA34" s="45"/>
      <c r="AB34" s="45"/>
      <c r="AC34" s="45">
        <v>0</v>
      </c>
      <c r="AD34" s="45">
        <v>9</v>
      </c>
      <c r="AE34" s="45">
        <v>9</v>
      </c>
      <c r="AF34" s="45">
        <v>9</v>
      </c>
      <c r="AG34" s="49">
        <v>18</v>
      </c>
      <c r="AH34" s="47">
        <f t="shared" si="2"/>
        <v>9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15.3</v>
      </c>
      <c r="C35" s="45">
        <v>15.3</v>
      </c>
      <c r="D35" s="45">
        <v>15.3</v>
      </c>
      <c r="E35" s="45">
        <v>15.3</v>
      </c>
      <c r="F35" s="45">
        <v>15.3</v>
      </c>
      <c r="G35" s="45">
        <v>15.3</v>
      </c>
      <c r="H35" s="45">
        <v>15.3</v>
      </c>
      <c r="I35" s="45">
        <v>15.3</v>
      </c>
      <c r="J35" s="45">
        <v>15.3</v>
      </c>
      <c r="K35" s="45">
        <v>15.3</v>
      </c>
      <c r="L35" s="45">
        <v>15.3</v>
      </c>
      <c r="M35" s="45">
        <v>15.3</v>
      </c>
      <c r="N35" s="45">
        <v>15.3</v>
      </c>
      <c r="O35" s="45">
        <v>15.3</v>
      </c>
      <c r="P35" s="45">
        <v>15.3</v>
      </c>
      <c r="Q35" s="45">
        <v>15.3</v>
      </c>
      <c r="R35" s="45">
        <v>15.3</v>
      </c>
      <c r="S35" s="45">
        <v>15.3</v>
      </c>
      <c r="T35" s="45">
        <v>15.3</v>
      </c>
      <c r="U35" s="45">
        <v>15.3</v>
      </c>
      <c r="V35" s="45">
        <v>15.3</v>
      </c>
      <c r="W35" s="45">
        <v>15.3</v>
      </c>
      <c r="X35" s="45">
        <v>15.3</v>
      </c>
      <c r="Y35" s="45">
        <v>15.3</v>
      </c>
      <c r="Z35" s="45">
        <v>15.3</v>
      </c>
      <c r="AA35" s="45"/>
      <c r="AB35" s="45"/>
      <c r="AC35" s="45">
        <v>15.3</v>
      </c>
      <c r="AD35" s="45">
        <v>15.3</v>
      </c>
      <c r="AE35" s="45">
        <v>15.3</v>
      </c>
      <c r="AF35" s="45">
        <v>15.3</v>
      </c>
      <c r="AG35" s="49">
        <v>14.9</v>
      </c>
      <c r="AH35" s="47">
        <f t="shared" si="2"/>
        <v>15.3</v>
      </c>
      <c r="AI35" s="48">
        <f t="shared" si="3"/>
        <v>15.3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/>
      <c r="AB36" s="45"/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/>
      <c r="AB37" s="45"/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12.5</v>
      </c>
      <c r="C38" s="45">
        <v>12.5</v>
      </c>
      <c r="D38" s="45">
        <v>12.5</v>
      </c>
      <c r="E38" s="45">
        <v>12.5</v>
      </c>
      <c r="F38" s="45">
        <v>12.5</v>
      </c>
      <c r="G38" s="45">
        <v>12.5</v>
      </c>
      <c r="H38" s="45">
        <v>12.5</v>
      </c>
      <c r="I38" s="45">
        <v>12.5</v>
      </c>
      <c r="J38" s="45">
        <v>12.5</v>
      </c>
      <c r="K38" s="45">
        <v>12.5</v>
      </c>
      <c r="L38" s="45">
        <v>12.5</v>
      </c>
      <c r="M38" s="45">
        <v>12.5</v>
      </c>
      <c r="N38" s="45">
        <v>12.5</v>
      </c>
      <c r="O38" s="45">
        <v>12.5</v>
      </c>
      <c r="P38" s="45">
        <v>12.5</v>
      </c>
      <c r="Q38" s="45">
        <v>12.5</v>
      </c>
      <c r="R38" s="45">
        <v>12.5</v>
      </c>
      <c r="S38" s="45">
        <v>12.5</v>
      </c>
      <c r="T38" s="45">
        <v>12.5</v>
      </c>
      <c r="U38" s="45">
        <v>12.5</v>
      </c>
      <c r="V38" s="45">
        <v>12.5</v>
      </c>
      <c r="W38" s="45">
        <v>12.5</v>
      </c>
      <c r="X38" s="45">
        <v>12.5</v>
      </c>
      <c r="Y38" s="45">
        <v>12.5</v>
      </c>
      <c r="Z38" s="45">
        <v>12.5</v>
      </c>
      <c r="AA38" s="45"/>
      <c r="AB38" s="45"/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12.5</v>
      </c>
      <c r="AI38" s="48">
        <f t="shared" si="3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2</v>
      </c>
      <c r="C39" s="45">
        <v>2</v>
      </c>
      <c r="D39" s="45">
        <v>0</v>
      </c>
      <c r="E39" s="45">
        <v>0</v>
      </c>
      <c r="F39" s="45">
        <v>2</v>
      </c>
      <c r="G39" s="45">
        <v>2</v>
      </c>
      <c r="H39" s="45">
        <v>4</v>
      </c>
      <c r="I39" s="45">
        <v>6</v>
      </c>
      <c r="J39" s="45">
        <v>12</v>
      </c>
      <c r="K39" s="45">
        <v>12</v>
      </c>
      <c r="L39" s="45">
        <v>4</v>
      </c>
      <c r="M39" s="45">
        <v>4</v>
      </c>
      <c r="N39" s="45">
        <v>4</v>
      </c>
      <c r="O39" s="45">
        <v>2</v>
      </c>
      <c r="P39" s="45">
        <v>2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12</v>
      </c>
      <c r="X39" s="45">
        <v>12</v>
      </c>
      <c r="Y39" s="45">
        <v>12</v>
      </c>
      <c r="Z39" s="45">
        <v>12</v>
      </c>
      <c r="AA39" s="45"/>
      <c r="AB39" s="45"/>
      <c r="AC39" s="45">
        <v>0</v>
      </c>
      <c r="AD39" s="45">
        <v>0</v>
      </c>
      <c r="AE39" s="45">
        <v>0</v>
      </c>
      <c r="AF39" s="45">
        <v>0</v>
      </c>
      <c r="AG39" s="49">
        <v>12</v>
      </c>
      <c r="AH39" s="47">
        <f t="shared" si="2"/>
        <v>12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3.7</v>
      </c>
      <c r="C40" s="45">
        <v>3.7</v>
      </c>
      <c r="D40" s="45">
        <v>3.7</v>
      </c>
      <c r="E40" s="45">
        <v>3.7</v>
      </c>
      <c r="F40" s="45">
        <v>3.7</v>
      </c>
      <c r="G40" s="45">
        <v>3.7</v>
      </c>
      <c r="H40" s="45">
        <v>3.7</v>
      </c>
      <c r="I40" s="45">
        <v>3.7</v>
      </c>
      <c r="J40" s="45">
        <v>3.7</v>
      </c>
      <c r="K40" s="45">
        <v>3.7</v>
      </c>
      <c r="L40" s="45">
        <v>3.7</v>
      </c>
      <c r="M40" s="45">
        <v>3.7</v>
      </c>
      <c r="N40" s="45">
        <v>3.7</v>
      </c>
      <c r="O40" s="45">
        <v>3.7</v>
      </c>
      <c r="P40" s="45">
        <v>3.7</v>
      </c>
      <c r="Q40" s="45">
        <v>3.7</v>
      </c>
      <c r="R40" s="45">
        <v>3.7</v>
      </c>
      <c r="S40" s="45">
        <v>3.7</v>
      </c>
      <c r="T40" s="45">
        <v>3.7</v>
      </c>
      <c r="U40" s="45">
        <v>3.7</v>
      </c>
      <c r="V40" s="45">
        <v>3.7</v>
      </c>
      <c r="W40" s="45">
        <v>3.7</v>
      </c>
      <c r="X40" s="45">
        <v>3.7</v>
      </c>
      <c r="Y40" s="45">
        <v>3.7</v>
      </c>
      <c r="Z40" s="45">
        <v>3.7</v>
      </c>
      <c r="AA40" s="45"/>
      <c r="AB40" s="45"/>
      <c r="AC40" s="45">
        <v>3.7</v>
      </c>
      <c r="AD40" s="45">
        <v>3.7</v>
      </c>
      <c r="AE40" s="45">
        <v>3.7</v>
      </c>
      <c r="AF40" s="45">
        <v>3.7</v>
      </c>
      <c r="AG40" s="49">
        <v>12</v>
      </c>
      <c r="AH40" s="47">
        <f t="shared" si="2"/>
        <v>3.7</v>
      </c>
      <c r="AI40" s="48">
        <f t="shared" si="3"/>
        <v>3.7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/>
      <c r="AB41" s="45"/>
      <c r="AC41" s="45">
        <v>0</v>
      </c>
      <c r="AD41" s="45">
        <v>0</v>
      </c>
      <c r="AE41" s="45">
        <v>0</v>
      </c>
      <c r="AF41" s="45">
        <v>0</v>
      </c>
      <c r="AG41" s="49">
        <v>12</v>
      </c>
      <c r="AH41" s="47">
        <f t="shared" si="2"/>
        <v>0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0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/>
      <c r="AB42" s="45"/>
      <c r="AC42" s="45">
        <v>0</v>
      </c>
      <c r="AD42" s="45">
        <v>0</v>
      </c>
      <c r="AE42" s="45">
        <v>0</v>
      </c>
      <c r="AF42" s="45">
        <v>0</v>
      </c>
      <c r="AG42" s="52">
        <v>22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12</v>
      </c>
      <c r="C43" s="45">
        <v>12</v>
      </c>
      <c r="D43" s="45">
        <v>12</v>
      </c>
      <c r="E43" s="45">
        <v>12</v>
      </c>
      <c r="F43" s="45">
        <v>12</v>
      </c>
      <c r="G43" s="45">
        <v>12</v>
      </c>
      <c r="H43" s="45">
        <v>12</v>
      </c>
      <c r="I43" s="45">
        <v>12</v>
      </c>
      <c r="J43" s="45">
        <v>12</v>
      </c>
      <c r="K43" s="45">
        <v>12</v>
      </c>
      <c r="L43" s="45">
        <v>12</v>
      </c>
      <c r="M43" s="45">
        <v>12</v>
      </c>
      <c r="N43" s="45">
        <v>12</v>
      </c>
      <c r="O43" s="45">
        <v>12</v>
      </c>
      <c r="P43" s="45">
        <v>12</v>
      </c>
      <c r="Q43" s="45">
        <v>12</v>
      </c>
      <c r="R43" s="45">
        <v>12</v>
      </c>
      <c r="S43" s="45">
        <v>12</v>
      </c>
      <c r="T43" s="45">
        <v>12</v>
      </c>
      <c r="U43" s="45">
        <v>12</v>
      </c>
      <c r="V43" s="45">
        <v>12</v>
      </c>
      <c r="W43" s="45">
        <v>12</v>
      </c>
      <c r="X43" s="45">
        <v>12</v>
      </c>
      <c r="Y43" s="45">
        <v>12</v>
      </c>
      <c r="Z43" s="45">
        <v>12</v>
      </c>
      <c r="AA43" s="45"/>
      <c r="AB43" s="45"/>
      <c r="AC43" s="45">
        <v>12</v>
      </c>
      <c r="AD43" s="45">
        <v>12</v>
      </c>
      <c r="AE43" s="45">
        <v>12</v>
      </c>
      <c r="AF43" s="45">
        <v>12</v>
      </c>
      <c r="AG43" s="51">
        <v>11.88</v>
      </c>
      <c r="AH43" s="47">
        <f t="shared" si="2"/>
        <v>12</v>
      </c>
      <c r="AI43" s="48">
        <f t="shared" si="3"/>
        <v>12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</v>
      </c>
      <c r="C44" s="45">
        <v>10</v>
      </c>
      <c r="D44" s="45">
        <v>10</v>
      </c>
      <c r="E44" s="45">
        <v>10</v>
      </c>
      <c r="F44" s="45">
        <v>10</v>
      </c>
      <c r="G44" s="45">
        <v>10</v>
      </c>
      <c r="H44" s="45">
        <v>10</v>
      </c>
      <c r="I44" s="45">
        <v>10</v>
      </c>
      <c r="J44" s="45">
        <v>10</v>
      </c>
      <c r="K44" s="45">
        <v>10</v>
      </c>
      <c r="L44" s="45">
        <v>10</v>
      </c>
      <c r="M44" s="45">
        <v>10</v>
      </c>
      <c r="N44" s="45">
        <v>10</v>
      </c>
      <c r="O44" s="45">
        <v>10</v>
      </c>
      <c r="P44" s="45">
        <v>10</v>
      </c>
      <c r="Q44" s="45">
        <v>10</v>
      </c>
      <c r="R44" s="45">
        <v>10</v>
      </c>
      <c r="S44" s="45">
        <v>10</v>
      </c>
      <c r="T44" s="45">
        <v>10</v>
      </c>
      <c r="U44" s="45">
        <v>10</v>
      </c>
      <c r="V44" s="45">
        <v>10</v>
      </c>
      <c r="W44" s="45">
        <v>10</v>
      </c>
      <c r="X44" s="45">
        <v>10</v>
      </c>
      <c r="Y44" s="45">
        <v>10</v>
      </c>
      <c r="Z44" s="45">
        <v>10</v>
      </c>
      <c r="AA44" s="45"/>
      <c r="AB44" s="45"/>
      <c r="AC44" s="45">
        <v>10</v>
      </c>
      <c r="AD44" s="45">
        <v>10</v>
      </c>
      <c r="AE44" s="45">
        <v>10</v>
      </c>
      <c r="AF44" s="45">
        <v>10</v>
      </c>
      <c r="AG44" s="54">
        <v>11</v>
      </c>
      <c r="AH44" s="47">
        <f t="shared" si="2"/>
        <v>10</v>
      </c>
      <c r="AI44" s="48">
        <f t="shared" si="3"/>
        <v>10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5</v>
      </c>
      <c r="Q45" s="45">
        <v>5</v>
      </c>
      <c r="R45" s="45">
        <v>5</v>
      </c>
      <c r="S45" s="45">
        <v>5</v>
      </c>
      <c r="T45" s="45">
        <v>5</v>
      </c>
      <c r="U45" s="45">
        <v>5</v>
      </c>
      <c r="V45" s="45">
        <v>5</v>
      </c>
      <c r="W45" s="45">
        <v>5</v>
      </c>
      <c r="X45" s="45">
        <v>5</v>
      </c>
      <c r="Y45" s="45">
        <v>5</v>
      </c>
      <c r="Z45" s="45">
        <v>5</v>
      </c>
      <c r="AA45" s="45"/>
      <c r="AB45" s="45"/>
      <c r="AC45" s="45">
        <v>5</v>
      </c>
      <c r="AD45" s="45">
        <v>5</v>
      </c>
      <c r="AE45" s="45">
        <v>5</v>
      </c>
      <c r="AF45" s="45">
        <v>5</v>
      </c>
      <c r="AG45" s="54">
        <v>10</v>
      </c>
      <c r="AH45" s="47">
        <f t="shared" si="2"/>
        <v>9</v>
      </c>
      <c r="AI45" s="48">
        <f t="shared" si="3"/>
        <v>5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9</v>
      </c>
      <c r="C46" s="45">
        <v>9</v>
      </c>
      <c r="D46" s="45">
        <v>9</v>
      </c>
      <c r="E46" s="45">
        <v>9</v>
      </c>
      <c r="F46" s="45">
        <v>9</v>
      </c>
      <c r="G46" s="45">
        <v>9</v>
      </c>
      <c r="H46" s="45">
        <v>9</v>
      </c>
      <c r="I46" s="45">
        <v>9</v>
      </c>
      <c r="J46" s="45">
        <v>9</v>
      </c>
      <c r="K46" s="45">
        <v>9</v>
      </c>
      <c r="L46" s="45">
        <v>9</v>
      </c>
      <c r="M46" s="45">
        <v>9</v>
      </c>
      <c r="N46" s="45">
        <v>9</v>
      </c>
      <c r="O46" s="45">
        <v>9</v>
      </c>
      <c r="P46" s="45">
        <v>9</v>
      </c>
      <c r="Q46" s="45">
        <v>9</v>
      </c>
      <c r="R46" s="45">
        <v>9</v>
      </c>
      <c r="S46" s="45">
        <v>9</v>
      </c>
      <c r="T46" s="45">
        <v>9</v>
      </c>
      <c r="U46" s="45">
        <v>9</v>
      </c>
      <c r="V46" s="45">
        <v>9</v>
      </c>
      <c r="W46" s="45">
        <v>9</v>
      </c>
      <c r="X46" s="45">
        <v>9</v>
      </c>
      <c r="Y46" s="45">
        <v>9</v>
      </c>
      <c r="Z46" s="45">
        <v>9</v>
      </c>
      <c r="AA46" s="45"/>
      <c r="AB46" s="45"/>
      <c r="AC46" s="45">
        <v>9</v>
      </c>
      <c r="AD46" s="45">
        <v>9</v>
      </c>
      <c r="AE46" s="45">
        <v>9</v>
      </c>
      <c r="AF46" s="45">
        <v>9</v>
      </c>
      <c r="AG46" s="54">
        <v>10</v>
      </c>
      <c r="AH46" s="47">
        <f t="shared" si="2"/>
        <v>9</v>
      </c>
      <c r="AI46" s="48">
        <f t="shared" si="3"/>
        <v>9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/>
      <c r="AB47" s="45"/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410</v>
      </c>
      <c r="C48" s="56">
        <v>410</v>
      </c>
      <c r="D48" s="56">
        <v>410</v>
      </c>
      <c r="E48" s="56">
        <v>410</v>
      </c>
      <c r="F48" s="56">
        <v>410</v>
      </c>
      <c r="G48" s="56">
        <v>410</v>
      </c>
      <c r="H48" s="56">
        <v>410</v>
      </c>
      <c r="I48" s="56">
        <v>410</v>
      </c>
      <c r="J48" s="56">
        <v>410</v>
      </c>
      <c r="K48" s="56">
        <v>410</v>
      </c>
      <c r="L48" s="56">
        <v>410</v>
      </c>
      <c r="M48" s="56">
        <v>410</v>
      </c>
      <c r="N48" s="56">
        <v>410</v>
      </c>
      <c r="O48" s="56">
        <v>410</v>
      </c>
      <c r="P48" s="56">
        <v>410</v>
      </c>
      <c r="Q48" s="56">
        <v>410</v>
      </c>
      <c r="R48" s="56">
        <v>410</v>
      </c>
      <c r="S48" s="56">
        <v>410</v>
      </c>
      <c r="T48" s="56">
        <v>410</v>
      </c>
      <c r="U48" s="56">
        <v>410</v>
      </c>
      <c r="V48" s="56">
        <v>410</v>
      </c>
      <c r="W48" s="56">
        <v>410</v>
      </c>
      <c r="X48" s="56">
        <v>410</v>
      </c>
      <c r="Y48" s="56">
        <v>410</v>
      </c>
      <c r="Z48" s="56">
        <v>410</v>
      </c>
      <c r="AA48" s="56"/>
      <c r="AB48" s="45"/>
      <c r="AC48" s="56">
        <v>430</v>
      </c>
      <c r="AD48" s="56">
        <v>430</v>
      </c>
      <c r="AE48" s="56">
        <v>430</v>
      </c>
      <c r="AF48" s="56">
        <v>430</v>
      </c>
      <c r="AG48" s="54">
        <v>85</v>
      </c>
      <c r="AH48" s="47">
        <f t="shared" si="2"/>
        <v>430</v>
      </c>
      <c r="AI48" s="48">
        <f t="shared" si="3"/>
        <v>410</v>
      </c>
      <c r="AK48" s="50"/>
    </row>
    <row r="49" spans="1:41" ht="15.75" thickBot="1" x14ac:dyDescent="0.3">
      <c r="A49" s="57" t="s">
        <v>57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6"/>
      <c r="AB49" s="45"/>
      <c r="AC49" s="56"/>
      <c r="AD49" s="56">
        <v>82</v>
      </c>
      <c r="AE49" s="56">
        <v>88.6</v>
      </c>
      <c r="AF49" s="56">
        <v>101</v>
      </c>
      <c r="AG49" s="54">
        <v>240</v>
      </c>
      <c r="AH49" s="47">
        <f t="shared" si="2"/>
        <v>101</v>
      </c>
      <c r="AI49" s="48">
        <f t="shared" si="3"/>
        <v>82</v>
      </c>
      <c r="AK49" s="50"/>
    </row>
    <row r="50" spans="1:41" ht="15.75" thickBot="1" x14ac:dyDescent="0.3">
      <c r="A50" s="59" t="s">
        <v>58</v>
      </c>
      <c r="B50" s="60">
        <f t="shared" ref="B50:AF50" si="4">SUM(B11:B48)</f>
        <v>1036.9000000000001</v>
      </c>
      <c r="C50" s="60">
        <f t="shared" si="4"/>
        <v>1036.9000000000001</v>
      </c>
      <c r="D50" s="60">
        <f t="shared" si="4"/>
        <v>1034.9000000000001</v>
      </c>
      <c r="E50" s="60">
        <f t="shared" si="4"/>
        <v>1037.3</v>
      </c>
      <c r="F50" s="60">
        <f t="shared" si="4"/>
        <v>1054.5999999999999</v>
      </c>
      <c r="G50" s="60">
        <f t="shared" si="4"/>
        <v>1063.5999999999999</v>
      </c>
      <c r="H50" s="60">
        <f t="shared" si="4"/>
        <v>1081.8</v>
      </c>
      <c r="I50" s="60">
        <f t="shared" si="4"/>
        <v>1106.0999999999999</v>
      </c>
      <c r="J50" s="60">
        <f t="shared" si="4"/>
        <v>1126.6999999999998</v>
      </c>
      <c r="K50" s="60">
        <f t="shared" si="4"/>
        <v>1142.8</v>
      </c>
      <c r="L50" s="60">
        <f t="shared" si="4"/>
        <v>1089.8</v>
      </c>
      <c r="M50" s="60">
        <f t="shared" ref="M50" si="5">SUM(M11:M48)</f>
        <v>1089.8</v>
      </c>
      <c r="N50" s="60">
        <f t="shared" si="4"/>
        <v>1084.8</v>
      </c>
      <c r="O50" s="60">
        <f t="shared" si="4"/>
        <v>1066.8</v>
      </c>
      <c r="P50" s="60">
        <f t="shared" si="4"/>
        <v>1066.8</v>
      </c>
      <c r="Q50" s="60">
        <f t="shared" si="4"/>
        <v>1156.3</v>
      </c>
      <c r="R50" s="60">
        <f t="shared" si="4"/>
        <v>1156.3</v>
      </c>
      <c r="S50" s="60">
        <f t="shared" si="4"/>
        <v>1159</v>
      </c>
      <c r="T50" s="60">
        <f t="shared" si="4"/>
        <v>1135.5999999999999</v>
      </c>
      <c r="U50" s="60">
        <f t="shared" ref="U50" si="6">SUM(U11:U48)</f>
        <v>1124.4000000000001</v>
      </c>
      <c r="V50" s="60">
        <f t="shared" ref="V50:X50" si="7">SUM(V11:V48)</f>
        <v>1124.4000000000001</v>
      </c>
      <c r="W50" s="60">
        <f t="shared" si="7"/>
        <v>1085.4000000000001</v>
      </c>
      <c r="X50" s="60">
        <f t="shared" si="7"/>
        <v>1067.5999999999999</v>
      </c>
      <c r="Y50" s="60">
        <f t="shared" si="4"/>
        <v>1111.5999999999999</v>
      </c>
      <c r="Z50" s="60">
        <f t="shared" ref="Z50" si="8">SUM(Z11:Z48)</f>
        <v>1111.5999999999999</v>
      </c>
      <c r="AA50" s="60">
        <f t="shared" si="4"/>
        <v>0</v>
      </c>
      <c r="AB50" s="45"/>
      <c r="AC50" s="60">
        <f t="shared" ref="AC50" si="9">SUM(AC11:AC48)</f>
        <v>979.80000000000007</v>
      </c>
      <c r="AD50" s="60">
        <f t="shared" si="4"/>
        <v>1000.3000000000001</v>
      </c>
      <c r="AE50" s="60">
        <f t="shared" si="4"/>
        <v>1008.3000000000001</v>
      </c>
      <c r="AF50" s="60">
        <f t="shared" si="4"/>
        <v>1008.3000000000001</v>
      </c>
      <c r="AG50" s="61">
        <f>SUM(AG13:AG48)</f>
        <v>922.14</v>
      </c>
      <c r="AH50" s="47">
        <f t="shared" si="2"/>
        <v>1159</v>
      </c>
      <c r="AI50" s="48">
        <f t="shared" si="3"/>
        <v>0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175">
        <f>456-76</f>
        <v>380</v>
      </c>
      <c r="O51" s="175">
        <f>456-76</f>
        <v>380</v>
      </c>
      <c r="P51" s="175">
        <f>456-76</f>
        <v>380</v>
      </c>
      <c r="Q51" s="175">
        <f>456-76</f>
        <v>380</v>
      </c>
      <c r="R51" s="175">
        <f>456-76</f>
        <v>380</v>
      </c>
      <c r="S51" s="45">
        <v>380</v>
      </c>
      <c r="T51" s="45">
        <v>380</v>
      </c>
      <c r="U51" s="45">
        <v>380</v>
      </c>
      <c r="V51" s="45">
        <v>380</v>
      </c>
      <c r="W51" s="45">
        <v>380</v>
      </c>
      <c r="X51" s="45">
        <v>456</v>
      </c>
      <c r="Y51" s="45">
        <v>456</v>
      </c>
      <c r="Z51" s="45">
        <v>456</v>
      </c>
      <c r="AA51" s="45"/>
      <c r="AB51" s="45"/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380</v>
      </c>
      <c r="AK51" s="50"/>
    </row>
    <row r="52" spans="1:41" x14ac:dyDescent="0.25">
      <c r="A52" s="63" t="s">
        <v>60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/>
      <c r="AB52" s="45"/>
      <c r="AC52" s="64">
        <v>60</v>
      </c>
      <c r="AD52" s="64">
        <v>60</v>
      </c>
      <c r="AE52" s="64">
        <v>60</v>
      </c>
      <c r="AF52" s="64">
        <v>60</v>
      </c>
      <c r="AG52" s="54">
        <v>60</v>
      </c>
      <c r="AH52" s="47">
        <f t="shared" si="2"/>
        <v>60</v>
      </c>
      <c r="AI52" s="48">
        <f t="shared" si="3"/>
        <v>55</v>
      </c>
      <c r="AK52" s="50"/>
    </row>
    <row r="53" spans="1:41" ht="15.75" thickBot="1" x14ac:dyDescent="0.3">
      <c r="A53" s="65" t="s">
        <v>61</v>
      </c>
      <c r="B53" s="66">
        <v>20.5</v>
      </c>
      <c r="C53" s="66">
        <v>20.5</v>
      </c>
      <c r="D53" s="66">
        <v>20.5</v>
      </c>
      <c r="E53" s="66">
        <v>20.5</v>
      </c>
      <c r="F53" s="66">
        <v>20.5</v>
      </c>
      <c r="G53" s="66">
        <v>20.5</v>
      </c>
      <c r="H53" s="66">
        <v>20.5</v>
      </c>
      <c r="I53" s="66">
        <v>20.5</v>
      </c>
      <c r="J53" s="66">
        <v>20.5</v>
      </c>
      <c r="K53" s="66">
        <v>20.5</v>
      </c>
      <c r="L53" s="66">
        <v>20.5</v>
      </c>
      <c r="M53" s="66">
        <v>20.5</v>
      </c>
      <c r="N53" s="66">
        <v>20.5</v>
      </c>
      <c r="O53" s="66">
        <v>20.5</v>
      </c>
      <c r="P53" s="66">
        <v>20.5</v>
      </c>
      <c r="Q53" s="66">
        <v>20.5</v>
      </c>
      <c r="R53" s="66">
        <v>20.5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/>
      <c r="AB53" s="45"/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20.5</v>
      </c>
      <c r="AK53" s="50"/>
    </row>
    <row r="54" spans="1:41" ht="15.75" thickBot="1" x14ac:dyDescent="0.3">
      <c r="A54" s="68" t="s">
        <v>62</v>
      </c>
      <c r="B54" s="60">
        <f t="shared" ref="B54:AG54" si="10">SUM(B51:B53)</f>
        <v>531.5</v>
      </c>
      <c r="C54" s="60">
        <f t="shared" si="10"/>
        <v>531.5</v>
      </c>
      <c r="D54" s="60">
        <f t="shared" si="10"/>
        <v>531.5</v>
      </c>
      <c r="E54" s="60">
        <f t="shared" si="10"/>
        <v>531.5</v>
      </c>
      <c r="F54" s="60">
        <f t="shared" si="10"/>
        <v>531.5</v>
      </c>
      <c r="G54" s="60">
        <f t="shared" si="10"/>
        <v>531.5</v>
      </c>
      <c r="H54" s="60">
        <f t="shared" si="10"/>
        <v>531.5</v>
      </c>
      <c r="I54" s="60">
        <f t="shared" si="10"/>
        <v>531.5</v>
      </c>
      <c r="J54" s="60">
        <f t="shared" si="10"/>
        <v>531.5</v>
      </c>
      <c r="K54" s="60">
        <f t="shared" si="10"/>
        <v>531.5</v>
      </c>
      <c r="L54" s="60">
        <f t="shared" si="10"/>
        <v>531.5</v>
      </c>
      <c r="M54" s="60">
        <f t="shared" si="10"/>
        <v>531.5</v>
      </c>
      <c r="N54" s="60">
        <f t="shared" si="10"/>
        <v>455.5</v>
      </c>
      <c r="O54" s="60">
        <f t="shared" si="10"/>
        <v>455.5</v>
      </c>
      <c r="P54" s="60">
        <f t="shared" ref="P54" si="11">SUM(P51:P53)</f>
        <v>455.5</v>
      </c>
      <c r="Q54" s="60">
        <f t="shared" si="10"/>
        <v>455.5</v>
      </c>
      <c r="R54" s="60">
        <f t="shared" si="10"/>
        <v>455.5</v>
      </c>
      <c r="S54" s="60">
        <f t="shared" si="10"/>
        <v>457.5</v>
      </c>
      <c r="T54" s="60">
        <f t="shared" si="10"/>
        <v>457.5</v>
      </c>
      <c r="U54" s="60">
        <f t="shared" ref="U54" si="12">SUM(U51:U53)</f>
        <v>457.5</v>
      </c>
      <c r="V54" s="60">
        <f t="shared" ref="V54:X54" si="13">SUM(V51:V53)</f>
        <v>457.5</v>
      </c>
      <c r="W54" s="60">
        <f t="shared" si="13"/>
        <v>457.5</v>
      </c>
      <c r="X54" s="60">
        <f t="shared" si="13"/>
        <v>533.5</v>
      </c>
      <c r="Y54" s="60">
        <f t="shared" si="10"/>
        <v>533.5</v>
      </c>
      <c r="Z54" s="60">
        <f t="shared" ref="Z54" si="14">SUM(Z51:Z53)</f>
        <v>533.5</v>
      </c>
      <c r="AA54" s="60">
        <f t="shared" si="10"/>
        <v>0</v>
      </c>
      <c r="AB54" s="45"/>
      <c r="AC54" s="60">
        <f t="shared" ref="AC54" si="15">SUM(AC51:AC53)</f>
        <v>538.5</v>
      </c>
      <c r="AD54" s="60">
        <f t="shared" si="10"/>
        <v>538.5</v>
      </c>
      <c r="AE54" s="60">
        <f t="shared" si="10"/>
        <v>538.5</v>
      </c>
      <c r="AF54" s="60">
        <f t="shared" si="10"/>
        <v>538.5</v>
      </c>
      <c r="AG54" s="61">
        <f t="shared" si="10"/>
        <v>538.1</v>
      </c>
      <c r="AH54" s="47">
        <f t="shared" si="2"/>
        <v>538.5</v>
      </c>
      <c r="AI54" s="48">
        <f t="shared" si="3"/>
        <v>0</v>
      </c>
      <c r="AK54" s="50"/>
    </row>
    <row r="55" spans="1:41" x14ac:dyDescent="0.25">
      <c r="A55" s="44" t="s">
        <v>63</v>
      </c>
      <c r="B55" s="45">
        <v>132.19999999999999</v>
      </c>
      <c r="C55" s="45">
        <v>132.19999999999999</v>
      </c>
      <c r="D55" s="45">
        <v>132.19999999999999</v>
      </c>
      <c r="E55" s="45">
        <v>131.5</v>
      </c>
      <c r="F55" s="45">
        <v>131.6</v>
      </c>
      <c r="G55" s="45">
        <v>131.6</v>
      </c>
      <c r="H55" s="45">
        <v>131.9</v>
      </c>
      <c r="I55" s="45">
        <v>132.1</v>
      </c>
      <c r="J55" s="45">
        <v>132.80000000000001</v>
      </c>
      <c r="K55" s="45">
        <v>124.2</v>
      </c>
      <c r="L55" s="45">
        <v>124.3</v>
      </c>
      <c r="M55" s="45">
        <v>124.3</v>
      </c>
      <c r="N55" s="45">
        <v>124.3</v>
      </c>
      <c r="O55" s="45">
        <v>124.3</v>
      </c>
      <c r="P55" s="45">
        <v>124.3</v>
      </c>
      <c r="Q55" s="45">
        <v>134</v>
      </c>
      <c r="R55" s="45">
        <v>134</v>
      </c>
      <c r="S55" s="45">
        <v>133.1</v>
      </c>
      <c r="T55" s="45">
        <v>132.69999999999999</v>
      </c>
      <c r="U55" s="45">
        <v>130.9</v>
      </c>
      <c r="V55" s="45">
        <v>130.9</v>
      </c>
      <c r="W55" s="45">
        <v>130.9</v>
      </c>
      <c r="X55" s="45">
        <v>130.9</v>
      </c>
      <c r="Y55" s="45">
        <v>130.9</v>
      </c>
      <c r="Z55" s="45">
        <v>130.9</v>
      </c>
      <c r="AA55" s="45"/>
      <c r="AB55" s="45"/>
      <c r="AC55" s="45">
        <v>100.7</v>
      </c>
      <c r="AD55" s="45">
        <v>133</v>
      </c>
      <c r="AE55" s="45">
        <v>133</v>
      </c>
      <c r="AF55" s="45">
        <v>133</v>
      </c>
      <c r="AG55" s="51">
        <v>144</v>
      </c>
      <c r="AH55" s="47">
        <f t="shared" si="2"/>
        <v>134</v>
      </c>
      <c r="AI55" s="48">
        <f t="shared" si="3"/>
        <v>100.7</v>
      </c>
      <c r="AK55" s="50"/>
    </row>
    <row r="56" spans="1:41" x14ac:dyDescent="0.25">
      <c r="A56" s="53" t="s">
        <v>64</v>
      </c>
      <c r="B56" s="64">
        <v>70.900000000000006</v>
      </c>
      <c r="C56" s="64">
        <v>70.900000000000006</v>
      </c>
      <c r="D56" s="64">
        <v>70.900000000000006</v>
      </c>
      <c r="E56" s="64">
        <v>69.8</v>
      </c>
      <c r="F56" s="64">
        <v>69.900000000000006</v>
      </c>
      <c r="G56" s="64">
        <v>69.900000000000006</v>
      </c>
      <c r="H56" s="64">
        <v>69.900000000000006</v>
      </c>
      <c r="I56" s="64">
        <v>60.7</v>
      </c>
      <c r="J56" s="64">
        <v>71.400000000000006</v>
      </c>
      <c r="K56" s="64">
        <v>47.3</v>
      </c>
      <c r="L56" s="64">
        <v>49.4</v>
      </c>
      <c r="M56" s="64">
        <v>60</v>
      </c>
      <c r="N56" s="64">
        <v>60</v>
      </c>
      <c r="O56" s="64">
        <v>60</v>
      </c>
      <c r="P56" s="64">
        <v>60</v>
      </c>
      <c r="Q56" s="64">
        <v>60</v>
      </c>
      <c r="R56" s="64">
        <v>60</v>
      </c>
      <c r="S56" s="45">
        <v>35</v>
      </c>
      <c r="T56" s="45">
        <v>34.200000000000003</v>
      </c>
      <c r="U56" s="45">
        <v>45.7</v>
      </c>
      <c r="V56" s="45">
        <v>69.099999999999994</v>
      </c>
      <c r="W56" s="45">
        <v>69.099999999999994</v>
      </c>
      <c r="X56" s="45">
        <v>69.099999999999994</v>
      </c>
      <c r="Y56" s="45">
        <v>61.1</v>
      </c>
      <c r="Z56" s="45">
        <v>61.1</v>
      </c>
      <c r="AA56" s="45"/>
      <c r="AB56" s="45"/>
      <c r="AC56" s="45">
        <v>0</v>
      </c>
      <c r="AD56" s="64">
        <v>0</v>
      </c>
      <c r="AE56" s="64">
        <v>0</v>
      </c>
      <c r="AF56" s="64">
        <v>0</v>
      </c>
      <c r="AG56" s="54">
        <v>70</v>
      </c>
      <c r="AH56" s="47">
        <f t="shared" si="2"/>
        <v>71.400000000000006</v>
      </c>
      <c r="AI56" s="48">
        <f t="shared" si="3"/>
        <v>0</v>
      </c>
      <c r="AK56" s="50"/>
    </row>
    <row r="57" spans="1:41" x14ac:dyDescent="0.25">
      <c r="A57" s="53" t="s">
        <v>65</v>
      </c>
      <c r="B57" s="64" t="s">
        <v>299</v>
      </c>
      <c r="C57" s="64" t="s">
        <v>300</v>
      </c>
      <c r="D57" s="64">
        <v>36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51.1</v>
      </c>
      <c r="L57" s="64">
        <v>64.099999999999994</v>
      </c>
      <c r="M57" s="64">
        <v>64.099999999999994</v>
      </c>
      <c r="N57" s="64">
        <v>64.099999999999994</v>
      </c>
      <c r="O57" s="64">
        <v>64.099999999999994</v>
      </c>
      <c r="P57" s="64">
        <v>64.099999999999994</v>
      </c>
      <c r="Q57" s="64">
        <v>64.099999999999994</v>
      </c>
      <c r="R57" s="64">
        <v>64.099999999999994</v>
      </c>
      <c r="S57" s="45">
        <v>64.2</v>
      </c>
      <c r="T57" s="45">
        <v>64.400000000000006</v>
      </c>
      <c r="U57" s="45">
        <v>56.4</v>
      </c>
      <c r="V57" s="45">
        <v>64.400000000000006</v>
      </c>
      <c r="W57" s="45">
        <v>64.400000000000006</v>
      </c>
      <c r="X57" s="45">
        <v>64.400000000000006</v>
      </c>
      <c r="Y57" s="45">
        <v>64.400000000000006</v>
      </c>
      <c r="Z57" s="45">
        <v>64.400000000000006</v>
      </c>
      <c r="AA57" s="45"/>
      <c r="AB57" s="45"/>
      <c r="AC57" s="45">
        <v>64.8</v>
      </c>
      <c r="AD57" s="64">
        <v>63.6</v>
      </c>
      <c r="AE57" s="64">
        <v>63.6</v>
      </c>
      <c r="AF57" s="64">
        <v>63.6</v>
      </c>
      <c r="AG57" s="54">
        <v>69</v>
      </c>
      <c r="AH57" s="47">
        <f t="shared" si="2"/>
        <v>64.8</v>
      </c>
      <c r="AI57" s="48">
        <f t="shared" si="3"/>
        <v>0</v>
      </c>
      <c r="AK57" s="50"/>
    </row>
    <row r="58" spans="1:41" x14ac:dyDescent="0.25">
      <c r="A58" s="53" t="s">
        <v>66</v>
      </c>
      <c r="B58" s="64">
        <v>21</v>
      </c>
      <c r="C58" s="64">
        <v>30.7</v>
      </c>
      <c r="D58" s="64">
        <v>30.7</v>
      </c>
      <c r="E58" s="56">
        <v>28.7</v>
      </c>
      <c r="F58" s="56">
        <v>28.7</v>
      </c>
      <c r="G58" s="56">
        <v>28.7</v>
      </c>
      <c r="H58" s="56">
        <v>28.7</v>
      </c>
      <c r="I58" s="56">
        <v>28.7</v>
      </c>
      <c r="J58" s="56">
        <v>28.7</v>
      </c>
      <c r="K58" s="56">
        <v>28</v>
      </c>
      <c r="L58" s="56">
        <v>22.7</v>
      </c>
      <c r="M58" s="56">
        <v>22.7</v>
      </c>
      <c r="N58" s="56">
        <v>22.7</v>
      </c>
      <c r="O58" s="56">
        <v>22.7</v>
      </c>
      <c r="P58" s="56">
        <v>22.7</v>
      </c>
      <c r="Q58" s="56">
        <v>22.7</v>
      </c>
      <c r="R58" s="56">
        <v>22.7</v>
      </c>
      <c r="S58" s="45">
        <v>0</v>
      </c>
      <c r="T58" s="45">
        <v>0</v>
      </c>
      <c r="U58" s="45">
        <v>0</v>
      </c>
      <c r="V58" s="45">
        <v>0</v>
      </c>
      <c r="W58" s="45">
        <v>10</v>
      </c>
      <c r="X58" s="45">
        <v>60</v>
      </c>
      <c r="Y58" s="45">
        <v>60</v>
      </c>
      <c r="Z58" s="45">
        <v>60</v>
      </c>
      <c r="AA58" s="45"/>
      <c r="AB58" s="45"/>
      <c r="AC58" s="45">
        <v>60.4</v>
      </c>
      <c r="AD58" s="64">
        <v>60.4</v>
      </c>
      <c r="AE58" s="64">
        <v>60.4</v>
      </c>
      <c r="AF58" s="64">
        <v>60.4</v>
      </c>
      <c r="AG58" s="54">
        <v>60</v>
      </c>
      <c r="AH58" s="47">
        <f t="shared" si="2"/>
        <v>60.4</v>
      </c>
      <c r="AI58" s="48">
        <f t="shared" si="3"/>
        <v>0</v>
      </c>
      <c r="AK58" s="50"/>
    </row>
    <row r="59" spans="1:41" x14ac:dyDescent="0.25">
      <c r="A59" s="53" t="s">
        <v>67</v>
      </c>
      <c r="B59" s="64">
        <v>28</v>
      </c>
      <c r="C59" s="64">
        <v>28</v>
      </c>
      <c r="D59" s="64">
        <v>28</v>
      </c>
      <c r="E59" s="56">
        <v>30</v>
      </c>
      <c r="F59" s="56">
        <v>30</v>
      </c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45">
        <v>30</v>
      </c>
      <c r="T59" s="45">
        <v>30</v>
      </c>
      <c r="U59" s="45">
        <v>30</v>
      </c>
      <c r="V59" s="45">
        <v>15</v>
      </c>
      <c r="W59" s="45">
        <v>15</v>
      </c>
      <c r="X59" s="45">
        <v>30</v>
      </c>
      <c r="Y59" s="45">
        <v>30</v>
      </c>
      <c r="Z59" s="45">
        <v>30</v>
      </c>
      <c r="AA59" s="45"/>
      <c r="AB59" s="45"/>
      <c r="AC59" s="45">
        <v>30</v>
      </c>
      <c r="AD59" s="64">
        <v>30</v>
      </c>
      <c r="AE59" s="64">
        <v>30</v>
      </c>
      <c r="AF59" s="64">
        <v>30</v>
      </c>
      <c r="AG59" s="54">
        <v>30</v>
      </c>
      <c r="AH59" s="47">
        <f t="shared" si="2"/>
        <v>30</v>
      </c>
      <c r="AI59" s="48">
        <f t="shared" si="3"/>
        <v>15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1.2</v>
      </c>
      <c r="K60" s="64">
        <v>2.2000000000000002</v>
      </c>
      <c r="L60" s="64">
        <v>2.2000000000000002</v>
      </c>
      <c r="M60" s="64">
        <v>2.2000000000000002</v>
      </c>
      <c r="N60" s="64">
        <v>2.2000000000000002</v>
      </c>
      <c r="O60" s="64">
        <v>2.2000000000000002</v>
      </c>
      <c r="P60" s="64">
        <v>2.2000000000000002</v>
      </c>
      <c r="Q60" s="64">
        <v>2.2000000000000002</v>
      </c>
      <c r="R60" s="64">
        <v>2.2000000000000002</v>
      </c>
      <c r="S60" s="64">
        <v>12</v>
      </c>
      <c r="T60" s="45">
        <v>10.9</v>
      </c>
      <c r="U60" s="45">
        <v>10</v>
      </c>
      <c r="V60" s="45">
        <v>5.7</v>
      </c>
      <c r="W60" s="45">
        <v>5.7</v>
      </c>
      <c r="X60" s="45">
        <v>5.7</v>
      </c>
      <c r="Y60" s="45">
        <v>0</v>
      </c>
      <c r="Z60" s="45">
        <v>0</v>
      </c>
      <c r="AA60" s="45"/>
      <c r="AB60" s="45"/>
      <c r="AC60" s="45">
        <v>0</v>
      </c>
      <c r="AD60" s="64">
        <v>0</v>
      </c>
      <c r="AE60" s="64">
        <v>0</v>
      </c>
      <c r="AF60" s="64">
        <v>0</v>
      </c>
      <c r="AG60" s="54">
        <v>25</v>
      </c>
      <c r="AH60" s="47">
        <f t="shared" si="2"/>
        <v>12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/>
      <c r="AB61" s="45"/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2.2000000000000002</v>
      </c>
      <c r="C62" s="64">
        <v>2.2000000000000002</v>
      </c>
      <c r="D62" s="64">
        <v>2.2000000000000002</v>
      </c>
      <c r="E62" s="64">
        <v>2.2000000000000002</v>
      </c>
      <c r="F62" s="64">
        <v>2.2000000000000002</v>
      </c>
      <c r="G62" s="64">
        <v>2.2000000000000002</v>
      </c>
      <c r="H62" s="64">
        <v>2.2000000000000002</v>
      </c>
      <c r="I62" s="64">
        <v>2.2000000000000002</v>
      </c>
      <c r="J62" s="64">
        <v>2.2000000000000002</v>
      </c>
      <c r="K62" s="64">
        <v>2.2000000000000002</v>
      </c>
      <c r="L62" s="64">
        <v>2.2000000000000002</v>
      </c>
      <c r="M62" s="64">
        <v>2.2000000000000002</v>
      </c>
      <c r="N62" s="64">
        <v>2.2000000000000002</v>
      </c>
      <c r="O62" s="64">
        <v>2.2000000000000002</v>
      </c>
      <c r="P62" s="64">
        <v>2.2000000000000002</v>
      </c>
      <c r="Q62" s="64">
        <v>2.2000000000000002</v>
      </c>
      <c r="R62" s="64">
        <v>2.2000000000000002</v>
      </c>
      <c r="S62" s="64">
        <v>2.2000000000000002</v>
      </c>
      <c r="T62" s="64">
        <v>2.2000000000000002</v>
      </c>
      <c r="U62" s="64">
        <v>2.2000000000000002</v>
      </c>
      <c r="V62" s="64">
        <v>2.2000000000000002</v>
      </c>
      <c r="W62" s="64">
        <v>2.2000000000000002</v>
      </c>
      <c r="X62" s="64">
        <v>2.2000000000000002</v>
      </c>
      <c r="Y62" s="64">
        <v>2.2000000000000002</v>
      </c>
      <c r="Z62" s="64">
        <v>2.2000000000000002</v>
      </c>
      <c r="AA62" s="64"/>
      <c r="AB62" s="45"/>
      <c r="AC62" s="64">
        <v>2.2000000000000002</v>
      </c>
      <c r="AD62" s="64">
        <v>2.2000000000000002</v>
      </c>
      <c r="AE62" s="64">
        <v>2.2000000000000002</v>
      </c>
      <c r="AF62" s="64">
        <v>2.2000000000000002</v>
      </c>
      <c r="AG62" s="54">
        <v>15</v>
      </c>
      <c r="AH62" s="47">
        <f t="shared" si="2"/>
        <v>2.2000000000000002</v>
      </c>
      <c r="AI62" s="48">
        <f t="shared" si="3"/>
        <v>2.2000000000000002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10</v>
      </c>
      <c r="C63" s="64">
        <v>10</v>
      </c>
      <c r="D63" s="64">
        <v>10</v>
      </c>
      <c r="E63" s="64">
        <v>10</v>
      </c>
      <c r="F63" s="64">
        <v>10</v>
      </c>
      <c r="G63" s="64">
        <v>10</v>
      </c>
      <c r="H63" s="64">
        <v>10</v>
      </c>
      <c r="I63" s="64">
        <v>10</v>
      </c>
      <c r="J63" s="64">
        <v>10</v>
      </c>
      <c r="K63" s="64">
        <v>10</v>
      </c>
      <c r="L63" s="64">
        <v>10</v>
      </c>
      <c r="M63" s="64">
        <v>10</v>
      </c>
      <c r="N63" s="64">
        <v>10</v>
      </c>
      <c r="O63" s="64">
        <v>10</v>
      </c>
      <c r="P63" s="64">
        <v>10</v>
      </c>
      <c r="Q63" s="64">
        <v>10</v>
      </c>
      <c r="R63" s="64">
        <v>10</v>
      </c>
      <c r="S63" s="64">
        <v>10</v>
      </c>
      <c r="T63" s="64">
        <v>10</v>
      </c>
      <c r="U63" s="64">
        <v>9.9</v>
      </c>
      <c r="V63" s="64">
        <v>9.9</v>
      </c>
      <c r="W63" s="64">
        <v>9.9</v>
      </c>
      <c r="X63" s="64">
        <v>9.9</v>
      </c>
      <c r="Y63" s="64">
        <v>9.9</v>
      </c>
      <c r="Z63" s="64">
        <v>9.9</v>
      </c>
      <c r="AA63" s="64"/>
      <c r="AB63" s="45"/>
      <c r="AC63" s="64">
        <v>9.9</v>
      </c>
      <c r="AD63" s="64">
        <v>9.9</v>
      </c>
      <c r="AE63" s="64">
        <v>9.9</v>
      </c>
      <c r="AF63" s="64">
        <v>9.9</v>
      </c>
      <c r="AG63" s="54">
        <v>14.1</v>
      </c>
      <c r="AH63" s="47">
        <f t="shared" si="2"/>
        <v>10</v>
      </c>
      <c r="AI63" s="48">
        <f t="shared" si="3"/>
        <v>9.9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13.6</v>
      </c>
      <c r="C64" s="64">
        <v>13.6</v>
      </c>
      <c r="D64" s="64">
        <v>13.6</v>
      </c>
      <c r="E64" s="64">
        <v>13.6</v>
      </c>
      <c r="F64" s="64">
        <v>13.6</v>
      </c>
      <c r="G64" s="64">
        <v>13.7</v>
      </c>
      <c r="H64" s="64">
        <v>7</v>
      </c>
      <c r="I64" s="64">
        <v>7</v>
      </c>
      <c r="J64" s="64">
        <v>7</v>
      </c>
      <c r="K64" s="64">
        <v>7</v>
      </c>
      <c r="L64" s="64">
        <v>7</v>
      </c>
      <c r="M64" s="64">
        <v>7</v>
      </c>
      <c r="N64" s="64">
        <v>7</v>
      </c>
      <c r="O64" s="64">
        <v>7</v>
      </c>
      <c r="P64" s="64">
        <v>7</v>
      </c>
      <c r="Q64" s="64">
        <v>7</v>
      </c>
      <c r="R64" s="64">
        <v>7</v>
      </c>
      <c r="S64" s="64">
        <v>7</v>
      </c>
      <c r="T64" s="64">
        <v>7</v>
      </c>
      <c r="U64" s="64">
        <v>13.6</v>
      </c>
      <c r="V64" s="64">
        <v>13.6</v>
      </c>
      <c r="W64" s="64">
        <v>13.6</v>
      </c>
      <c r="X64" s="64">
        <v>13.6</v>
      </c>
      <c r="Y64" s="64">
        <v>13.6</v>
      </c>
      <c r="Z64" s="64">
        <v>13.6</v>
      </c>
      <c r="AA64" s="64"/>
      <c r="AB64" s="45"/>
      <c r="AC64" s="64">
        <v>13.6</v>
      </c>
      <c r="AD64" s="64">
        <v>13.6</v>
      </c>
      <c r="AE64" s="64">
        <v>13.6</v>
      </c>
      <c r="AF64" s="64">
        <v>13.6</v>
      </c>
      <c r="AG64" s="54">
        <v>14</v>
      </c>
      <c r="AH64" s="47">
        <f t="shared" si="2"/>
        <v>13.7</v>
      </c>
      <c r="AI64" s="48">
        <f t="shared" si="3"/>
        <v>7</v>
      </c>
      <c r="AK64" s="50"/>
    </row>
    <row r="65" spans="1:40" x14ac:dyDescent="0.25">
      <c r="A65" s="53" t="s">
        <v>73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>
        <v>9</v>
      </c>
      <c r="L65" s="64">
        <v>9</v>
      </c>
      <c r="M65" s="64">
        <v>9</v>
      </c>
      <c r="N65" s="64">
        <v>9</v>
      </c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>
        <v>9</v>
      </c>
      <c r="Z65" s="64">
        <v>9</v>
      </c>
      <c r="AA65" s="64"/>
      <c r="AB65" s="45"/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9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/>
      <c r="AB66" s="45"/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6">SUM(B55:B67)</f>
        <v>311.64000000000004</v>
      </c>
      <c r="C68" s="60">
        <f t="shared" si="16"/>
        <v>321.33999999999997</v>
      </c>
      <c r="D68" s="60">
        <f t="shared" si="16"/>
        <v>357.34000000000003</v>
      </c>
      <c r="E68" s="60">
        <f t="shared" si="16"/>
        <v>319.54000000000002</v>
      </c>
      <c r="F68" s="60">
        <f t="shared" si="16"/>
        <v>319.74</v>
      </c>
      <c r="G68" s="60">
        <f t="shared" si="16"/>
        <v>319.83999999999997</v>
      </c>
      <c r="H68" s="60">
        <f t="shared" si="16"/>
        <v>313.44</v>
      </c>
      <c r="I68" s="60">
        <f t="shared" si="16"/>
        <v>304.44</v>
      </c>
      <c r="J68" s="60">
        <f t="shared" si="16"/>
        <v>317.03999999999996</v>
      </c>
      <c r="K68" s="60">
        <f t="shared" si="16"/>
        <v>335.74</v>
      </c>
      <c r="L68" s="60">
        <f t="shared" si="16"/>
        <v>345.64</v>
      </c>
      <c r="M68" s="60">
        <f t="shared" si="16"/>
        <v>356.24</v>
      </c>
      <c r="N68" s="60">
        <f t="shared" si="16"/>
        <v>356.24</v>
      </c>
      <c r="O68" s="60">
        <f t="shared" si="16"/>
        <v>356.24</v>
      </c>
      <c r="P68" s="60">
        <f t="shared" si="16"/>
        <v>356.24</v>
      </c>
      <c r="Q68" s="60">
        <f t="shared" si="16"/>
        <v>365.94</v>
      </c>
      <c r="R68" s="60">
        <f t="shared" si="16"/>
        <v>365.94</v>
      </c>
      <c r="S68" s="60">
        <f t="shared" si="16"/>
        <v>327.24</v>
      </c>
      <c r="T68" s="60">
        <f t="shared" si="16"/>
        <v>325.13999999999993</v>
      </c>
      <c r="U68" s="60">
        <f t="shared" ref="U68" si="17">SUM(U55:U67)</f>
        <v>332.44</v>
      </c>
      <c r="V68" s="60">
        <f t="shared" ref="V68:X68" si="18">SUM(V55:V67)</f>
        <v>344.53999999999996</v>
      </c>
      <c r="W68" s="60">
        <f t="shared" si="18"/>
        <v>354.53999999999996</v>
      </c>
      <c r="X68" s="60">
        <f t="shared" si="18"/>
        <v>419.53999999999996</v>
      </c>
      <c r="Y68" s="60">
        <f t="shared" si="16"/>
        <v>405.84</v>
      </c>
      <c r="Z68" s="60">
        <f t="shared" ref="Z68" si="19">SUM(Z55:Z67)</f>
        <v>405.84</v>
      </c>
      <c r="AA68" s="60">
        <f t="shared" si="16"/>
        <v>3.54</v>
      </c>
      <c r="AB68" s="60">
        <f t="shared" si="16"/>
        <v>3.54</v>
      </c>
      <c r="AC68" s="60">
        <f t="shared" si="16"/>
        <v>315.33999999999997</v>
      </c>
      <c r="AD68" s="60">
        <f t="shared" si="16"/>
        <v>346.44</v>
      </c>
      <c r="AE68" s="60">
        <f t="shared" si="16"/>
        <v>346.44</v>
      </c>
      <c r="AF68" s="60">
        <f t="shared" si="16"/>
        <v>346.44</v>
      </c>
      <c r="AG68" s="61">
        <f t="shared" si="16"/>
        <v>489.91</v>
      </c>
      <c r="AH68" s="47">
        <f t="shared" si="2"/>
        <v>419.53999999999996</v>
      </c>
      <c r="AI68" s="48">
        <f t="shared" si="3"/>
        <v>3.54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>
        <v>55.3</v>
      </c>
      <c r="AD69" s="45">
        <v>60</v>
      </c>
      <c r="AE69" s="45">
        <v>60</v>
      </c>
      <c r="AF69" s="45">
        <v>50</v>
      </c>
      <c r="AG69" s="51">
        <v>60</v>
      </c>
      <c r="AH69" s="47">
        <f t="shared" si="2"/>
        <v>60</v>
      </c>
      <c r="AI69" s="48">
        <f t="shared" si="3"/>
        <v>50</v>
      </c>
      <c r="AK69" s="50"/>
    </row>
    <row r="70" spans="1:40" x14ac:dyDescent="0.25">
      <c r="A70" s="53" t="s">
        <v>78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>
        <v>24.7</v>
      </c>
      <c r="AD70" s="64">
        <v>28.6</v>
      </c>
      <c r="AE70" s="64">
        <v>28.6</v>
      </c>
      <c r="AF70" s="64">
        <v>25</v>
      </c>
      <c r="AG70" s="54">
        <v>32</v>
      </c>
      <c r="AH70" s="47">
        <f t="shared" si="2"/>
        <v>28.6</v>
      </c>
      <c r="AI70" s="48">
        <f t="shared" si="3"/>
        <v>24.7</v>
      </c>
      <c r="AK70" s="50"/>
    </row>
    <row r="71" spans="1:40" ht="15.75" thickBot="1" x14ac:dyDescent="0.3">
      <c r="A71" s="70" t="s">
        <v>79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>
        <v>9</v>
      </c>
      <c r="AD71" s="66">
        <v>10.4</v>
      </c>
      <c r="AE71" s="66">
        <v>10.4</v>
      </c>
      <c r="AF71" s="66">
        <v>7</v>
      </c>
      <c r="AG71" s="67">
        <v>14</v>
      </c>
      <c r="AH71" s="47">
        <f t="shared" si="2"/>
        <v>10.4</v>
      </c>
      <c r="AI71" s="48">
        <f t="shared" si="3"/>
        <v>7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20">M69+M70+M71</f>
        <v>0</v>
      </c>
      <c r="N72" s="60">
        <f t="shared" si="20"/>
        <v>0</v>
      </c>
      <c r="O72" s="60">
        <f t="shared" si="20"/>
        <v>0</v>
      </c>
      <c r="P72" s="60">
        <f t="shared" si="20"/>
        <v>0</v>
      </c>
      <c r="Q72" s="60">
        <f t="shared" si="20"/>
        <v>0</v>
      </c>
      <c r="R72" s="60">
        <f t="shared" si="20"/>
        <v>0</v>
      </c>
      <c r="S72" s="60">
        <f t="shared" si="20"/>
        <v>0</v>
      </c>
      <c r="T72" s="60">
        <f t="shared" si="20"/>
        <v>0</v>
      </c>
      <c r="U72" s="60">
        <f t="shared" ref="U72" si="21">U69+U70+U71</f>
        <v>0</v>
      </c>
      <c r="V72" s="60">
        <f t="shared" ref="V72:X72" si="22">V69+V70+V71</f>
        <v>0</v>
      </c>
      <c r="W72" s="60">
        <f t="shared" si="22"/>
        <v>0</v>
      </c>
      <c r="X72" s="60">
        <f t="shared" si="22"/>
        <v>0</v>
      </c>
      <c r="Y72" s="60">
        <f t="shared" si="20"/>
        <v>0</v>
      </c>
      <c r="Z72" s="60">
        <f t="shared" ref="Z72" si="23">Z69+Z70+Z71</f>
        <v>0</v>
      </c>
      <c r="AA72" s="60">
        <f t="shared" si="20"/>
        <v>0</v>
      </c>
      <c r="AB72" s="60">
        <f t="shared" si="20"/>
        <v>0</v>
      </c>
      <c r="AC72" s="60">
        <f t="shared" si="20"/>
        <v>89</v>
      </c>
      <c r="AD72" s="60">
        <f t="shared" si="20"/>
        <v>99</v>
      </c>
      <c r="AE72" s="60">
        <f t="shared" si="20"/>
        <v>99</v>
      </c>
      <c r="AF72" s="60">
        <f t="shared" si="20"/>
        <v>82</v>
      </c>
      <c r="AG72" s="61">
        <f>SUM(AG69:AG71)</f>
        <v>106</v>
      </c>
      <c r="AH72" s="47">
        <f t="shared" si="2"/>
        <v>99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-7.8</v>
      </c>
      <c r="C73" s="45">
        <v>-7.1</v>
      </c>
      <c r="D73" s="45">
        <v>10</v>
      </c>
      <c r="E73" s="45">
        <v>-4.3</v>
      </c>
      <c r="F73" s="45">
        <v>-9.6999999999999993</v>
      </c>
      <c r="G73" s="45">
        <v>-11</v>
      </c>
      <c r="H73" s="45">
        <v>1.6</v>
      </c>
      <c r="I73" s="45">
        <v>-8.6</v>
      </c>
      <c r="J73" s="45">
        <v>-7.5</v>
      </c>
      <c r="K73" s="45">
        <v>-9.3000000000000007</v>
      </c>
      <c r="L73" s="45">
        <v>-10.3</v>
      </c>
      <c r="M73" s="45">
        <v>-9.9</v>
      </c>
      <c r="N73" s="45">
        <v>-10</v>
      </c>
      <c r="O73" s="45">
        <v>-9.5</v>
      </c>
      <c r="P73" s="45">
        <v>-37</v>
      </c>
      <c r="Q73" s="45">
        <v>9.6</v>
      </c>
      <c r="R73" s="45">
        <v>4.8</v>
      </c>
      <c r="S73" s="45">
        <v>6.8</v>
      </c>
      <c r="T73" s="45">
        <v>7.5</v>
      </c>
      <c r="U73" s="45">
        <v>11.9</v>
      </c>
      <c r="V73" s="45">
        <v>-28</v>
      </c>
      <c r="W73" s="45">
        <v>-28</v>
      </c>
      <c r="X73" s="45">
        <v>-28</v>
      </c>
      <c r="Y73" s="45">
        <v>0</v>
      </c>
      <c r="Z73" s="45">
        <v>0</v>
      </c>
      <c r="AA73" s="45"/>
      <c r="AB73" s="45"/>
      <c r="AC73" s="45">
        <v>26.8</v>
      </c>
      <c r="AD73" s="45">
        <v>38</v>
      </c>
      <c r="AE73" s="45">
        <v>15.7</v>
      </c>
      <c r="AF73" s="45">
        <v>4</v>
      </c>
      <c r="AG73" s="51"/>
      <c r="AH73" s="47">
        <f t="shared" si="2"/>
        <v>38</v>
      </c>
      <c r="AI73" s="48">
        <f t="shared" si="3"/>
        <v>-37</v>
      </c>
      <c r="AK73" s="50"/>
    </row>
    <row r="74" spans="1:40" x14ac:dyDescent="0.25">
      <c r="A74" s="53" t="s">
        <v>82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/>
      <c r="AB74" s="45"/>
      <c r="AC74" s="64">
        <v>0</v>
      </c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-336</v>
      </c>
      <c r="C75" s="64">
        <v>-343</v>
      </c>
      <c r="D75" s="64">
        <v>-376</v>
      </c>
      <c r="E75" s="64">
        <v>-362</v>
      </c>
      <c r="F75" s="64">
        <v>-380.2</v>
      </c>
      <c r="G75" s="64">
        <v>-401</v>
      </c>
      <c r="H75" s="64">
        <v>-444</v>
      </c>
      <c r="I75" s="64">
        <v>-472</v>
      </c>
      <c r="J75" s="64">
        <v>-469</v>
      </c>
      <c r="K75" s="64">
        <v>-445.9</v>
      </c>
      <c r="L75" s="64">
        <v>-354</v>
      </c>
      <c r="M75" s="64">
        <v>-359</v>
      </c>
      <c r="N75" s="64">
        <v>-360</v>
      </c>
      <c r="O75" s="64">
        <v>-255</v>
      </c>
      <c r="P75" s="64">
        <v>-279</v>
      </c>
      <c r="Q75" s="64">
        <v>-230</v>
      </c>
      <c r="R75" s="64">
        <v>-218</v>
      </c>
      <c r="S75" s="64">
        <v>-220.6</v>
      </c>
      <c r="T75" s="64">
        <v>-192.5</v>
      </c>
      <c r="U75" s="64">
        <v>-198.5</v>
      </c>
      <c r="V75" s="64">
        <v>-231.9</v>
      </c>
      <c r="W75" s="64">
        <v>-231.9</v>
      </c>
      <c r="X75" s="64">
        <v>-231.9</v>
      </c>
      <c r="Y75" s="64">
        <v>-300</v>
      </c>
      <c r="Z75" s="64">
        <v>-252</v>
      </c>
      <c r="AA75" s="64"/>
      <c r="AB75" s="45"/>
      <c r="AC75" s="64">
        <v>-256.60000000000002</v>
      </c>
      <c r="AD75" s="64">
        <v>-285</v>
      </c>
      <c r="AE75" s="64">
        <v>-302</v>
      </c>
      <c r="AF75" s="64">
        <v>-317</v>
      </c>
      <c r="AG75" s="74"/>
      <c r="AH75" s="47">
        <f t="shared" si="2"/>
        <v>-192.5</v>
      </c>
      <c r="AI75" s="48">
        <f t="shared" si="3"/>
        <v>-472</v>
      </c>
      <c r="AK75" s="50"/>
    </row>
    <row r="76" spans="1:40" x14ac:dyDescent="0.25">
      <c r="A76" s="53" t="s">
        <v>84</v>
      </c>
      <c r="B76" s="64"/>
      <c r="C76" s="64"/>
      <c r="D76" s="64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45"/>
      <c r="AC76" s="75"/>
      <c r="AD76" s="64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45"/>
      <c r="D77" s="64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4"/>
      <c r="AH77" s="47">
        <f t="shared" ref="AH77:AH120" si="24">MAX(B77:AF77)</f>
        <v>0</v>
      </c>
      <c r="AI77" s="48">
        <f t="shared" ref="AI77:AI120" si="25">MIN(B77:AF77)</f>
        <v>0</v>
      </c>
      <c r="AK77" s="50"/>
    </row>
    <row r="78" spans="1:40" x14ac:dyDescent="0.25">
      <c r="A78" s="53" t="s">
        <v>86</v>
      </c>
      <c r="B78" s="45"/>
      <c r="C78" s="76"/>
      <c r="D78" s="64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4"/>
      <c r="AH78" s="47">
        <f t="shared" si="24"/>
        <v>0</v>
      </c>
      <c r="AI78" s="48">
        <f t="shared" si="25"/>
        <v>0</v>
      </c>
      <c r="AK78" s="50"/>
    </row>
    <row r="79" spans="1:40" ht="15.75" thickBot="1" x14ac:dyDescent="0.3">
      <c r="A79" s="53" t="s">
        <v>87</v>
      </c>
      <c r="B79" s="45"/>
      <c r="C79" s="76"/>
      <c r="D79" s="64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4"/>
      <c r="AH79" s="47">
        <f t="shared" si="24"/>
        <v>0</v>
      </c>
      <c r="AI79" s="48">
        <f t="shared" si="25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/>
      <c r="C80" s="76"/>
      <c r="D80" s="64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4"/>
      <c r="AH80" s="47">
        <f t="shared" si="24"/>
        <v>0</v>
      </c>
      <c r="AI80" s="48">
        <f t="shared" si="25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/>
      <c r="C81" s="76"/>
      <c r="D81" s="64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4"/>
      <c r="AH81" s="47">
        <f t="shared" si="24"/>
        <v>0</v>
      </c>
      <c r="AI81" s="48">
        <f t="shared" si="25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/>
      <c r="C82" s="76"/>
      <c r="D82" s="64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84"/>
      <c r="AH82" s="47">
        <f t="shared" si="24"/>
        <v>0</v>
      </c>
      <c r="AI82" s="48">
        <f t="shared" si="25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/>
      <c r="C83" s="76"/>
      <c r="D83" s="64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4"/>
      <c r="AH83" s="47">
        <f t="shared" si="24"/>
        <v>0</v>
      </c>
      <c r="AI83" s="48">
        <f t="shared" si="25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26">SUMIF(B73:B83,"&gt;0")</f>
        <v>0</v>
      </c>
      <c r="C84" s="60">
        <f t="shared" si="26"/>
        <v>0</v>
      </c>
      <c r="D84" s="60">
        <f t="shared" si="26"/>
        <v>10</v>
      </c>
      <c r="E84" s="60">
        <f t="shared" si="26"/>
        <v>0</v>
      </c>
      <c r="F84" s="60">
        <f t="shared" si="26"/>
        <v>0</v>
      </c>
      <c r="G84" s="60">
        <f t="shared" si="26"/>
        <v>0</v>
      </c>
      <c r="H84" s="60">
        <f t="shared" si="26"/>
        <v>1.6</v>
      </c>
      <c r="I84" s="60">
        <f t="shared" si="26"/>
        <v>0</v>
      </c>
      <c r="J84" s="60">
        <f t="shared" si="26"/>
        <v>0</v>
      </c>
      <c r="K84" s="60">
        <f t="shared" si="26"/>
        <v>0</v>
      </c>
      <c r="L84" s="60">
        <f t="shared" si="26"/>
        <v>0</v>
      </c>
      <c r="M84" s="60">
        <f t="shared" si="26"/>
        <v>0</v>
      </c>
      <c r="N84" s="60">
        <f t="shared" si="26"/>
        <v>0</v>
      </c>
      <c r="O84" s="60">
        <f t="shared" si="26"/>
        <v>0</v>
      </c>
      <c r="P84" s="60">
        <f t="shared" si="26"/>
        <v>0</v>
      </c>
      <c r="Q84" s="60">
        <f t="shared" si="26"/>
        <v>9.6</v>
      </c>
      <c r="R84" s="60">
        <f t="shared" si="26"/>
        <v>4.8</v>
      </c>
      <c r="S84" s="60">
        <f t="shared" si="26"/>
        <v>6.8</v>
      </c>
      <c r="T84" s="60">
        <f t="shared" si="26"/>
        <v>7.5</v>
      </c>
      <c r="U84" s="60">
        <f t="shared" ref="U84" si="27">SUMIF(U73:U83,"&gt;0")</f>
        <v>11.9</v>
      </c>
      <c r="V84" s="60">
        <f t="shared" ref="V84:X84" si="28">SUMIF(V73:V83,"&gt;0")</f>
        <v>0</v>
      </c>
      <c r="W84" s="60">
        <f t="shared" si="28"/>
        <v>0</v>
      </c>
      <c r="X84" s="60">
        <f t="shared" si="28"/>
        <v>0</v>
      </c>
      <c r="Y84" s="60">
        <f t="shared" si="26"/>
        <v>0</v>
      </c>
      <c r="Z84" s="60">
        <f t="shared" ref="Z84" si="29">SUMIF(Z73:Z83,"&gt;0")</f>
        <v>0</v>
      </c>
      <c r="AA84" s="60">
        <f t="shared" si="26"/>
        <v>0</v>
      </c>
      <c r="AB84" s="60">
        <f t="shared" si="26"/>
        <v>0</v>
      </c>
      <c r="AC84" s="60">
        <f>SUMIF(AC73:AC83,"&gt;0")</f>
        <v>26.8</v>
      </c>
      <c r="AD84" s="60">
        <f t="shared" si="26"/>
        <v>38</v>
      </c>
      <c r="AE84" s="60">
        <f t="shared" si="26"/>
        <v>15.7</v>
      </c>
      <c r="AF84" s="60">
        <f t="shared" si="26"/>
        <v>4</v>
      </c>
      <c r="AG84" s="87">
        <f>SUM(AG73:AG83)</f>
        <v>0</v>
      </c>
      <c r="AH84" s="47">
        <f t="shared" si="24"/>
        <v>38</v>
      </c>
      <c r="AI84" s="48">
        <f t="shared" si="25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24"/>
        <v>0</v>
      </c>
      <c r="AI85" s="48">
        <f t="shared" si="25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24"/>
        <v>0</v>
      </c>
      <c r="AI86" s="48">
        <f t="shared" si="25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24"/>
        <v>0</v>
      </c>
      <c r="AI87" s="48">
        <f t="shared" si="25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24"/>
        <v>0</v>
      </c>
      <c r="AI88" s="48">
        <f t="shared" si="25"/>
        <v>0</v>
      </c>
    </row>
    <row r="89" spans="1:40" ht="15.75" thickBot="1" x14ac:dyDescent="0.3">
      <c r="A89" s="73" t="s">
        <v>100</v>
      </c>
      <c r="B89" s="94">
        <f t="shared" ref="B89:AG89" si="30">B50+B54+B72+B68+B84+B88</f>
        <v>1880.0400000000002</v>
      </c>
      <c r="C89" s="94">
        <f t="shared" si="30"/>
        <v>1889.74</v>
      </c>
      <c r="D89" s="94">
        <f t="shared" si="30"/>
        <v>1933.7400000000002</v>
      </c>
      <c r="E89" s="94">
        <f t="shared" si="30"/>
        <v>1888.34</v>
      </c>
      <c r="F89" s="94">
        <f t="shared" si="30"/>
        <v>1905.84</v>
      </c>
      <c r="G89" s="94">
        <f t="shared" si="30"/>
        <v>1914.9399999999998</v>
      </c>
      <c r="H89" s="94">
        <f t="shared" si="30"/>
        <v>1928.34</v>
      </c>
      <c r="I89" s="94">
        <f t="shared" si="30"/>
        <v>1942.04</v>
      </c>
      <c r="J89" s="94">
        <f t="shared" si="30"/>
        <v>1975.2399999999998</v>
      </c>
      <c r="K89" s="94">
        <f t="shared" si="30"/>
        <v>2010.04</v>
      </c>
      <c r="L89" s="94">
        <f t="shared" si="30"/>
        <v>1966.94</v>
      </c>
      <c r="M89" s="94">
        <f t="shared" si="30"/>
        <v>1977.54</v>
      </c>
      <c r="N89" s="94">
        <f t="shared" si="30"/>
        <v>1896.54</v>
      </c>
      <c r="O89" s="94">
        <f t="shared" si="30"/>
        <v>1878.54</v>
      </c>
      <c r="P89" s="94">
        <f t="shared" si="30"/>
        <v>1878.54</v>
      </c>
      <c r="Q89" s="94">
        <f t="shared" si="30"/>
        <v>1987.34</v>
      </c>
      <c r="R89" s="94">
        <f t="shared" si="30"/>
        <v>1982.54</v>
      </c>
      <c r="S89" s="94">
        <f t="shared" si="30"/>
        <v>1950.54</v>
      </c>
      <c r="T89" s="94">
        <f t="shared" si="30"/>
        <v>1925.7399999999998</v>
      </c>
      <c r="U89" s="94">
        <f t="shared" ref="U89" si="31">U50+U54+U72+U68+U84+U88</f>
        <v>1926.2400000000002</v>
      </c>
      <c r="V89" s="94">
        <f t="shared" ref="V89:X89" si="32">V50+V54+V72+V68+V84+V88</f>
        <v>1926.44</v>
      </c>
      <c r="W89" s="94">
        <f t="shared" si="32"/>
        <v>1897.44</v>
      </c>
      <c r="X89" s="94">
        <f t="shared" si="32"/>
        <v>2020.6399999999999</v>
      </c>
      <c r="Y89" s="94">
        <f t="shared" si="30"/>
        <v>2050.94</v>
      </c>
      <c r="Z89" s="94">
        <f t="shared" ref="Z89" si="33">Z50+Z54+Z72+Z68+Z84+Z88</f>
        <v>2050.94</v>
      </c>
      <c r="AA89" s="94">
        <f t="shared" si="30"/>
        <v>3.54</v>
      </c>
      <c r="AB89" s="94">
        <f t="shared" si="30"/>
        <v>3.54</v>
      </c>
      <c r="AC89" s="94">
        <f t="shared" si="30"/>
        <v>1949.44</v>
      </c>
      <c r="AD89" s="94">
        <f t="shared" si="30"/>
        <v>2022.2400000000002</v>
      </c>
      <c r="AE89" s="94">
        <f t="shared" si="30"/>
        <v>2007.9400000000003</v>
      </c>
      <c r="AF89" s="94">
        <f t="shared" si="30"/>
        <v>1979.2400000000002</v>
      </c>
      <c r="AG89" s="61">
        <f t="shared" si="30"/>
        <v>2111.5500000000002</v>
      </c>
      <c r="AH89" s="47">
        <f t="shared" si="24"/>
        <v>2050.94</v>
      </c>
      <c r="AI89" s="48">
        <f t="shared" si="25"/>
        <v>3.54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>
        <v>10</v>
      </c>
      <c r="AE90" s="96"/>
      <c r="AF90" s="96"/>
      <c r="AG90" s="87"/>
      <c r="AH90" s="47">
        <f t="shared" si="24"/>
        <v>10</v>
      </c>
      <c r="AI90" s="48">
        <f t="shared" si="25"/>
        <v>10</v>
      </c>
    </row>
    <row r="91" spans="1:40" ht="15.75" thickBot="1" x14ac:dyDescent="0.3">
      <c r="A91" s="73" t="s">
        <v>102</v>
      </c>
      <c r="B91" s="94">
        <f t="shared" ref="B91:AF91" si="34">B89+B90</f>
        <v>1880.0400000000002</v>
      </c>
      <c r="C91" s="94">
        <f t="shared" si="34"/>
        <v>1889.74</v>
      </c>
      <c r="D91" s="94">
        <f t="shared" si="34"/>
        <v>1933.7400000000002</v>
      </c>
      <c r="E91" s="94">
        <f t="shared" si="34"/>
        <v>1888.34</v>
      </c>
      <c r="F91" s="94">
        <f t="shared" si="34"/>
        <v>1905.84</v>
      </c>
      <c r="G91" s="94">
        <f t="shared" si="34"/>
        <v>1914.9399999999998</v>
      </c>
      <c r="H91" s="94">
        <f t="shared" si="34"/>
        <v>1928.34</v>
      </c>
      <c r="I91" s="94">
        <f t="shared" si="34"/>
        <v>1942.04</v>
      </c>
      <c r="J91" s="94">
        <f t="shared" si="34"/>
        <v>1975.2399999999998</v>
      </c>
      <c r="K91" s="94">
        <f t="shared" si="34"/>
        <v>2010.04</v>
      </c>
      <c r="L91" s="94">
        <f t="shared" si="34"/>
        <v>1966.94</v>
      </c>
      <c r="M91" s="94">
        <f t="shared" si="34"/>
        <v>1977.54</v>
      </c>
      <c r="N91" s="94">
        <f t="shared" si="34"/>
        <v>1896.54</v>
      </c>
      <c r="O91" s="94">
        <f t="shared" si="34"/>
        <v>1878.54</v>
      </c>
      <c r="P91" s="94">
        <f t="shared" si="34"/>
        <v>1878.54</v>
      </c>
      <c r="Q91" s="94">
        <f t="shared" si="34"/>
        <v>1987.34</v>
      </c>
      <c r="R91" s="94">
        <f t="shared" si="34"/>
        <v>1982.54</v>
      </c>
      <c r="S91" s="94">
        <f t="shared" si="34"/>
        <v>1950.54</v>
      </c>
      <c r="T91" s="94">
        <f t="shared" si="34"/>
        <v>1925.7399999999998</v>
      </c>
      <c r="U91" s="94">
        <f t="shared" ref="U91" si="35">U89+U90</f>
        <v>1926.2400000000002</v>
      </c>
      <c r="V91" s="94">
        <f t="shared" ref="V91:X91" si="36">V89+V90</f>
        <v>1926.44</v>
      </c>
      <c r="W91" s="94">
        <f t="shared" si="36"/>
        <v>1897.44</v>
      </c>
      <c r="X91" s="94">
        <f t="shared" si="36"/>
        <v>2020.6399999999999</v>
      </c>
      <c r="Y91" s="94">
        <f t="shared" si="34"/>
        <v>2050.94</v>
      </c>
      <c r="Z91" s="94">
        <f t="shared" ref="Z91" si="37">Z89+Z90</f>
        <v>2050.94</v>
      </c>
      <c r="AA91" s="94">
        <f t="shared" si="34"/>
        <v>3.54</v>
      </c>
      <c r="AB91" s="94">
        <f t="shared" si="34"/>
        <v>3.54</v>
      </c>
      <c r="AC91" s="94">
        <f t="shared" si="34"/>
        <v>1949.44</v>
      </c>
      <c r="AD91" s="94">
        <f t="shared" si="34"/>
        <v>2032.2400000000002</v>
      </c>
      <c r="AE91" s="94">
        <f t="shared" si="34"/>
        <v>2007.9400000000003</v>
      </c>
      <c r="AF91" s="94">
        <f t="shared" si="34"/>
        <v>1979.2400000000002</v>
      </c>
      <c r="AG91" s="87">
        <f>AG88+AG84+AG72+AG68+AG50+AG90</f>
        <v>1573.45</v>
      </c>
      <c r="AH91" s="47">
        <f t="shared" si="24"/>
        <v>2050.94</v>
      </c>
      <c r="AI91" s="48">
        <f t="shared" si="25"/>
        <v>3.54</v>
      </c>
    </row>
    <row r="92" spans="1:40" ht="15.75" thickBot="1" x14ac:dyDescent="0.3">
      <c r="A92" s="73" t="s">
        <v>103</v>
      </c>
      <c r="B92" s="94">
        <f t="shared" ref="B92:AF92" si="38">B91-B99</f>
        <v>1880.0400000000002</v>
      </c>
      <c r="C92" s="94">
        <f t="shared" si="38"/>
        <v>1889.74</v>
      </c>
      <c r="D92" s="94">
        <f t="shared" si="38"/>
        <v>1933.7400000000002</v>
      </c>
      <c r="E92" s="94">
        <f t="shared" si="38"/>
        <v>1888.34</v>
      </c>
      <c r="F92" s="94">
        <f t="shared" si="38"/>
        <v>1905.84</v>
      </c>
      <c r="G92" s="94">
        <f t="shared" si="38"/>
        <v>1914.9399999999998</v>
      </c>
      <c r="H92" s="94">
        <f t="shared" si="38"/>
        <v>1928.34</v>
      </c>
      <c r="I92" s="94">
        <f t="shared" si="38"/>
        <v>1942.04</v>
      </c>
      <c r="J92" s="94">
        <f t="shared" si="38"/>
        <v>1975.2399999999998</v>
      </c>
      <c r="K92" s="94">
        <f t="shared" si="38"/>
        <v>2010.04</v>
      </c>
      <c r="L92" s="94">
        <f t="shared" si="38"/>
        <v>1966.94</v>
      </c>
      <c r="M92" s="94">
        <f t="shared" si="38"/>
        <v>1977.54</v>
      </c>
      <c r="N92" s="94">
        <f t="shared" si="38"/>
        <v>1896.54</v>
      </c>
      <c r="O92" s="94">
        <f t="shared" si="38"/>
        <v>1878.54</v>
      </c>
      <c r="P92" s="94">
        <f t="shared" si="38"/>
        <v>1878.54</v>
      </c>
      <c r="Q92" s="94">
        <f t="shared" si="38"/>
        <v>1987.34</v>
      </c>
      <c r="R92" s="94">
        <f t="shared" si="38"/>
        <v>1982.54</v>
      </c>
      <c r="S92" s="94">
        <f t="shared" si="38"/>
        <v>1950.54</v>
      </c>
      <c r="T92" s="94">
        <f t="shared" si="38"/>
        <v>1925.7399999999998</v>
      </c>
      <c r="U92" s="94">
        <f t="shared" ref="U92" si="39">U91-U99</f>
        <v>1926.2400000000002</v>
      </c>
      <c r="V92" s="94">
        <f t="shared" ref="V92:X92" si="40">V91-V99</f>
        <v>1926.44</v>
      </c>
      <c r="W92" s="94">
        <f t="shared" si="40"/>
        <v>1897.44</v>
      </c>
      <c r="X92" s="94">
        <f t="shared" si="40"/>
        <v>2020.6399999999999</v>
      </c>
      <c r="Y92" s="94">
        <f t="shared" si="38"/>
        <v>2050.94</v>
      </c>
      <c r="Z92" s="94">
        <f t="shared" ref="Z92" si="41">Z91-Z99</f>
        <v>2050.94</v>
      </c>
      <c r="AA92" s="94">
        <f t="shared" si="38"/>
        <v>3.54</v>
      </c>
      <c r="AB92" s="94">
        <f t="shared" si="38"/>
        <v>3.54</v>
      </c>
      <c r="AC92" s="94">
        <f t="shared" si="38"/>
        <v>1949.44</v>
      </c>
      <c r="AD92" s="94">
        <f t="shared" si="38"/>
        <v>2032.2400000000002</v>
      </c>
      <c r="AE92" s="94">
        <f t="shared" si="38"/>
        <v>2007.9400000000003</v>
      </c>
      <c r="AF92" s="94">
        <f t="shared" si="38"/>
        <v>1979.2400000000002</v>
      </c>
      <c r="AG92" s="87"/>
      <c r="AH92" s="47">
        <f t="shared" si="24"/>
        <v>2050.94</v>
      </c>
      <c r="AI92" s="48">
        <f t="shared" si="25"/>
        <v>3.54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24"/>
        <v>0</v>
      </c>
      <c r="AI93" s="48">
        <f t="shared" si="25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24"/>
        <v>0</v>
      </c>
      <c r="AI94" s="48">
        <f t="shared" si="25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24"/>
        <v>0</v>
      </c>
      <c r="AI95" s="48">
        <f t="shared" si="25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24"/>
        <v>0</v>
      </c>
      <c r="AI96" s="48">
        <f t="shared" si="25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24"/>
        <v>0</v>
      </c>
      <c r="AI97" s="48">
        <f t="shared" si="25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24"/>
        <v>0</v>
      </c>
      <c r="AI98" s="48">
        <f t="shared" si="25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24"/>
        <v>0</v>
      </c>
      <c r="AI99" s="48">
        <f t="shared" si="25"/>
        <v>0</v>
      </c>
      <c r="AK99" s="50"/>
    </row>
    <row r="100" spans="1:37" ht="15.75" thickBot="1" x14ac:dyDescent="0.3">
      <c r="A100" s="73" t="s">
        <v>108</v>
      </c>
      <c r="B100" s="60">
        <f t="shared" ref="B100:AF100" si="42">B84-B99</f>
        <v>0</v>
      </c>
      <c r="C100" s="60">
        <f t="shared" si="42"/>
        <v>0</v>
      </c>
      <c r="D100" s="60">
        <f t="shared" si="42"/>
        <v>10</v>
      </c>
      <c r="E100" s="60">
        <f t="shared" si="42"/>
        <v>0</v>
      </c>
      <c r="F100" s="60">
        <f t="shared" si="42"/>
        <v>0</v>
      </c>
      <c r="G100" s="60">
        <f t="shared" si="42"/>
        <v>0</v>
      </c>
      <c r="H100" s="60">
        <f t="shared" si="42"/>
        <v>1.6</v>
      </c>
      <c r="I100" s="60">
        <f t="shared" si="42"/>
        <v>0</v>
      </c>
      <c r="J100" s="60">
        <f t="shared" si="42"/>
        <v>0</v>
      </c>
      <c r="K100" s="60">
        <f t="shared" si="42"/>
        <v>0</v>
      </c>
      <c r="L100" s="60">
        <f t="shared" si="42"/>
        <v>0</v>
      </c>
      <c r="M100" s="60">
        <f t="shared" si="42"/>
        <v>0</v>
      </c>
      <c r="N100" s="60">
        <f t="shared" si="42"/>
        <v>0</v>
      </c>
      <c r="O100" s="60">
        <f t="shared" si="42"/>
        <v>0</v>
      </c>
      <c r="P100" s="60">
        <f t="shared" si="42"/>
        <v>0</v>
      </c>
      <c r="Q100" s="60">
        <f t="shared" si="42"/>
        <v>9.6</v>
      </c>
      <c r="R100" s="60">
        <f t="shared" si="42"/>
        <v>4.8</v>
      </c>
      <c r="S100" s="60">
        <f t="shared" si="42"/>
        <v>6.8</v>
      </c>
      <c r="T100" s="60">
        <f t="shared" si="42"/>
        <v>7.5</v>
      </c>
      <c r="U100" s="60">
        <f t="shared" ref="U100" si="43">U84-U99</f>
        <v>11.9</v>
      </c>
      <c r="V100" s="60">
        <f t="shared" ref="V100:X100" si="44">V84-V99</f>
        <v>0</v>
      </c>
      <c r="W100" s="60">
        <f t="shared" si="44"/>
        <v>0</v>
      </c>
      <c r="X100" s="60">
        <f t="shared" si="44"/>
        <v>0</v>
      </c>
      <c r="Y100" s="60">
        <f t="shared" si="42"/>
        <v>0</v>
      </c>
      <c r="Z100" s="60">
        <f t="shared" ref="Z100" si="45">Z84-Z99</f>
        <v>0</v>
      </c>
      <c r="AA100" s="60">
        <f t="shared" si="42"/>
        <v>0</v>
      </c>
      <c r="AB100" s="60">
        <f t="shared" si="42"/>
        <v>0</v>
      </c>
      <c r="AC100" s="60">
        <f t="shared" si="42"/>
        <v>26.8</v>
      </c>
      <c r="AD100" s="60">
        <f t="shared" si="42"/>
        <v>38</v>
      </c>
      <c r="AE100" s="60">
        <f t="shared" si="42"/>
        <v>15.7</v>
      </c>
      <c r="AF100" s="60">
        <f t="shared" si="42"/>
        <v>4</v>
      </c>
      <c r="AG100" s="87"/>
      <c r="AH100" s="47">
        <f t="shared" si="24"/>
        <v>38</v>
      </c>
      <c r="AI100" s="48">
        <f t="shared" si="25"/>
        <v>0</v>
      </c>
    </row>
    <row r="101" spans="1:37" x14ac:dyDescent="0.25">
      <c r="A101" s="99" t="s">
        <v>109</v>
      </c>
      <c r="B101" s="100">
        <v>49.921999999999997</v>
      </c>
      <c r="C101" s="100">
        <v>49.945999999999998</v>
      </c>
      <c r="D101" s="100">
        <v>49.945999999999998</v>
      </c>
      <c r="E101" s="100">
        <v>49.938000000000002</v>
      </c>
      <c r="F101" s="100">
        <v>49.981000000000002</v>
      </c>
      <c r="G101" s="100">
        <v>50.01</v>
      </c>
      <c r="H101" s="100">
        <v>50.008000000000003</v>
      </c>
      <c r="I101" s="100">
        <v>49.926000000000002</v>
      </c>
      <c r="J101" s="100">
        <v>49.817999999999998</v>
      </c>
      <c r="K101" s="100">
        <v>49.936999999999998</v>
      </c>
      <c r="L101" s="100">
        <v>50.064</v>
      </c>
      <c r="M101" s="100">
        <v>50.119</v>
      </c>
      <c r="N101" s="100">
        <v>50.119</v>
      </c>
      <c r="O101" s="100">
        <v>49.978999999999999</v>
      </c>
      <c r="P101" s="100">
        <v>49.972000000000001</v>
      </c>
      <c r="Q101" s="100">
        <v>49.932000000000002</v>
      </c>
      <c r="R101" s="100">
        <v>50.011000000000003</v>
      </c>
      <c r="S101" s="100">
        <v>50.03</v>
      </c>
      <c r="T101" s="100">
        <v>50</v>
      </c>
      <c r="U101" s="100">
        <v>49.91</v>
      </c>
      <c r="V101" s="100">
        <v>49.99</v>
      </c>
      <c r="W101" s="100">
        <v>49.99</v>
      </c>
      <c r="X101" s="100">
        <v>50.04</v>
      </c>
      <c r="Y101" s="100">
        <v>50.1</v>
      </c>
      <c r="Z101" s="100">
        <v>50.08</v>
      </c>
      <c r="AA101" s="100"/>
      <c r="AB101" s="45"/>
      <c r="AC101" s="100">
        <v>50.012999999999998</v>
      </c>
      <c r="AD101" s="100">
        <v>50</v>
      </c>
      <c r="AE101" s="100">
        <v>49.945</v>
      </c>
      <c r="AF101" s="100">
        <v>50.03</v>
      </c>
      <c r="AG101" s="101"/>
      <c r="AH101" s="47">
        <f t="shared" si="24"/>
        <v>50.119</v>
      </c>
      <c r="AI101" s="48">
        <f t="shared" si="25"/>
        <v>49.817999999999998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45"/>
      <c r="AC102" s="64"/>
      <c r="AD102" s="64"/>
      <c r="AE102" s="64"/>
      <c r="AF102" s="64"/>
      <c r="AG102" s="103"/>
      <c r="AH102" s="47">
        <f t="shared" si="24"/>
        <v>0</v>
      </c>
      <c r="AI102" s="48">
        <f t="shared" si="25"/>
        <v>0</v>
      </c>
    </row>
    <row r="103" spans="1:37" x14ac:dyDescent="0.25">
      <c r="A103" s="102" t="s">
        <v>111</v>
      </c>
      <c r="B103" s="64">
        <v>130.5</v>
      </c>
      <c r="C103" s="64">
        <v>130.19999999999999</v>
      </c>
      <c r="D103" s="64">
        <v>130.19999999999999</v>
      </c>
      <c r="E103" s="64">
        <v>130.4</v>
      </c>
      <c r="F103" s="64">
        <v>130.1</v>
      </c>
      <c r="G103" s="64">
        <v>131.30000000000001</v>
      </c>
      <c r="H103" s="64">
        <v>129.9</v>
      </c>
      <c r="I103" s="64">
        <v>129.4</v>
      </c>
      <c r="J103" s="64">
        <v>127.1</v>
      </c>
      <c r="K103" s="64">
        <v>127.3</v>
      </c>
      <c r="L103" s="64">
        <v>127.1</v>
      </c>
      <c r="M103" s="64">
        <v>126.1</v>
      </c>
      <c r="N103" s="64">
        <v>126.1</v>
      </c>
      <c r="O103" s="64">
        <v>126</v>
      </c>
      <c r="P103" s="64">
        <v>123.8</v>
      </c>
      <c r="Q103" s="64">
        <v>122.3</v>
      </c>
      <c r="R103" s="64">
        <v>122</v>
      </c>
      <c r="S103" s="64">
        <v>125.1</v>
      </c>
      <c r="T103" s="64">
        <v>123.9</v>
      </c>
      <c r="U103" s="64">
        <v>125</v>
      </c>
      <c r="V103" s="64">
        <v>124.5</v>
      </c>
      <c r="W103" s="64">
        <v>124.5</v>
      </c>
      <c r="X103" s="64">
        <v>129.9</v>
      </c>
      <c r="Y103" s="64">
        <v>128.6</v>
      </c>
      <c r="Z103" s="64">
        <v>127.5</v>
      </c>
      <c r="AA103" s="64"/>
      <c r="AB103" s="76"/>
      <c r="AC103" s="64">
        <v>127.5</v>
      </c>
      <c r="AD103" s="64">
        <v>127.8</v>
      </c>
      <c r="AE103" s="64">
        <v>129.69999999999999</v>
      </c>
      <c r="AF103" s="64">
        <v>129.69999999999999</v>
      </c>
      <c r="AG103" s="103"/>
      <c r="AH103" s="47">
        <f t="shared" si="24"/>
        <v>131.30000000000001</v>
      </c>
      <c r="AI103" s="48">
        <f t="shared" si="25"/>
        <v>122</v>
      </c>
    </row>
    <row r="104" spans="1:37" x14ac:dyDescent="0.25">
      <c r="A104" s="102" t="s">
        <v>112</v>
      </c>
      <c r="B104" s="64">
        <v>127.2</v>
      </c>
      <c r="C104" s="64">
        <v>128.4</v>
      </c>
      <c r="D104" s="64">
        <v>128.4</v>
      </c>
      <c r="E104" s="64">
        <v>128.69999999999999</v>
      </c>
      <c r="F104" s="64">
        <v>127.4</v>
      </c>
      <c r="G104" s="64">
        <v>129.4</v>
      </c>
      <c r="H104" s="64">
        <v>129.1</v>
      </c>
      <c r="I104" s="64">
        <v>129.4</v>
      </c>
      <c r="J104" s="64">
        <v>125.6</v>
      </c>
      <c r="K104" s="64">
        <v>127</v>
      </c>
      <c r="L104" s="64">
        <v>124.6</v>
      </c>
      <c r="M104" s="64">
        <v>127.1</v>
      </c>
      <c r="N104" s="64">
        <v>127.1</v>
      </c>
      <c r="O104" s="64">
        <v>131.4</v>
      </c>
      <c r="P104" s="64">
        <v>125.7</v>
      </c>
      <c r="Q104" s="64">
        <v>125.6</v>
      </c>
      <c r="R104" s="64">
        <v>126.5</v>
      </c>
      <c r="S104" s="64">
        <v>127.7</v>
      </c>
      <c r="T104" s="64">
        <v>125.8</v>
      </c>
      <c r="U104" s="64">
        <v>128</v>
      </c>
      <c r="V104" s="64">
        <v>127.2</v>
      </c>
      <c r="W104" s="64">
        <v>127.2</v>
      </c>
      <c r="X104" s="64">
        <v>128</v>
      </c>
      <c r="Y104" s="64">
        <v>126.1</v>
      </c>
      <c r="Z104" s="64">
        <v>127</v>
      </c>
      <c r="AA104" s="64"/>
      <c r="AB104" s="76"/>
      <c r="AC104" s="64">
        <v>126</v>
      </c>
      <c r="AD104" s="64">
        <v>125.8</v>
      </c>
      <c r="AE104" s="64">
        <v>125.3</v>
      </c>
      <c r="AF104" s="64">
        <v>125.3</v>
      </c>
      <c r="AG104" s="103"/>
      <c r="AH104" s="47">
        <f t="shared" si="24"/>
        <v>131.4</v>
      </c>
      <c r="AI104" s="48">
        <f t="shared" si="25"/>
        <v>124.6</v>
      </c>
    </row>
    <row r="105" spans="1:37" x14ac:dyDescent="0.25">
      <c r="A105" s="104" t="s">
        <v>113</v>
      </c>
      <c r="B105" s="64">
        <v>132.1</v>
      </c>
      <c r="C105" s="64">
        <v>132.9</v>
      </c>
      <c r="D105" s="64">
        <v>132.9</v>
      </c>
      <c r="E105" s="64">
        <v>133.19999999999999</v>
      </c>
      <c r="F105" s="64">
        <v>132.30000000000001</v>
      </c>
      <c r="G105" s="64">
        <v>132.69999999999999</v>
      </c>
      <c r="H105" s="64">
        <v>132.30000000000001</v>
      </c>
      <c r="I105" s="64">
        <v>132</v>
      </c>
      <c r="J105" s="64">
        <v>128.9</v>
      </c>
      <c r="K105" s="64">
        <v>131.30000000000001</v>
      </c>
      <c r="L105" s="64">
        <v>127.9</v>
      </c>
      <c r="M105" s="64">
        <v>128</v>
      </c>
      <c r="N105" s="64">
        <v>128</v>
      </c>
      <c r="O105" s="64">
        <v>131.9</v>
      </c>
      <c r="P105" s="64">
        <v>127.1</v>
      </c>
      <c r="Q105" s="64">
        <v>127.2</v>
      </c>
      <c r="R105" s="64">
        <v>127.9</v>
      </c>
      <c r="S105" s="64">
        <v>130.5</v>
      </c>
      <c r="T105" s="64">
        <v>128.6</v>
      </c>
      <c r="U105" s="64">
        <v>128.69999999999999</v>
      </c>
      <c r="V105" s="64">
        <v>128.19999999999999</v>
      </c>
      <c r="W105" s="64">
        <v>128.19999999999999</v>
      </c>
      <c r="X105" s="64">
        <v>128.69999999999999</v>
      </c>
      <c r="Y105" s="64">
        <v>126.8</v>
      </c>
      <c r="Z105" s="64">
        <v>129.19999999999999</v>
      </c>
      <c r="AA105" s="64"/>
      <c r="AB105" s="76"/>
      <c r="AC105" s="64">
        <v>128.6</v>
      </c>
      <c r="AD105" s="64">
        <v>128.80000000000001</v>
      </c>
      <c r="AE105" s="64">
        <v>126.2</v>
      </c>
      <c r="AF105" s="64">
        <v>126.2</v>
      </c>
      <c r="AG105" s="103"/>
      <c r="AH105" s="47">
        <f t="shared" si="24"/>
        <v>133.19999999999999</v>
      </c>
      <c r="AI105" s="48">
        <f t="shared" si="25"/>
        <v>126.2</v>
      </c>
    </row>
    <row r="106" spans="1:37" x14ac:dyDescent="0.25">
      <c r="A106" s="104" t="s">
        <v>114</v>
      </c>
      <c r="B106" s="105">
        <v>131.30000000000001</v>
      </c>
      <c r="C106" s="105">
        <v>130.19999999999999</v>
      </c>
      <c r="D106" s="105">
        <v>130.19999999999999</v>
      </c>
      <c r="E106" s="105">
        <v>131.4</v>
      </c>
      <c r="F106" s="105">
        <v>131.4</v>
      </c>
      <c r="G106" s="105">
        <v>135.19999999999999</v>
      </c>
      <c r="H106" s="105">
        <v>132.80000000000001</v>
      </c>
      <c r="I106" s="105">
        <v>132.69999999999999</v>
      </c>
      <c r="J106" s="105">
        <v>130.5</v>
      </c>
      <c r="K106" s="105">
        <v>130.5</v>
      </c>
      <c r="L106" s="105">
        <v>130.69999999999999</v>
      </c>
      <c r="M106" s="105">
        <v>131.4</v>
      </c>
      <c r="N106" s="105">
        <v>131.4</v>
      </c>
      <c r="O106" s="105">
        <v>128.80000000000001</v>
      </c>
      <c r="P106" s="105">
        <v>128</v>
      </c>
      <c r="Q106" s="105">
        <v>129.19999999999999</v>
      </c>
      <c r="R106" s="105">
        <v>129.19999999999999</v>
      </c>
      <c r="S106" s="105">
        <v>129.4</v>
      </c>
      <c r="T106" s="105">
        <v>129.19999999999999</v>
      </c>
      <c r="U106" s="105">
        <v>129.30000000000001</v>
      </c>
      <c r="V106" s="105">
        <v>130.30000000000001</v>
      </c>
      <c r="W106" s="105">
        <v>130.30000000000001</v>
      </c>
      <c r="X106" s="105">
        <v>134.80000000000001</v>
      </c>
      <c r="Y106" s="105">
        <v>132</v>
      </c>
      <c r="Z106" s="105">
        <v>131</v>
      </c>
      <c r="AA106" s="105"/>
      <c r="AB106" s="76"/>
      <c r="AC106" s="105">
        <v>131.9</v>
      </c>
      <c r="AD106" s="105">
        <v>131.69999999999999</v>
      </c>
      <c r="AE106" s="105">
        <v>132.6</v>
      </c>
      <c r="AF106" s="105">
        <v>132.6</v>
      </c>
      <c r="AG106" s="106"/>
      <c r="AH106" s="47">
        <f t="shared" si="24"/>
        <v>135.19999999999999</v>
      </c>
      <c r="AI106" s="48">
        <f t="shared" si="25"/>
        <v>128</v>
      </c>
    </row>
    <row r="107" spans="1:37" x14ac:dyDescent="0.25">
      <c r="A107" s="102" t="s">
        <v>115</v>
      </c>
      <c r="B107" s="64">
        <v>135.1</v>
      </c>
      <c r="C107" s="64">
        <v>136.4</v>
      </c>
      <c r="D107" s="64">
        <v>136.4</v>
      </c>
      <c r="E107" s="64">
        <v>131.4</v>
      </c>
      <c r="F107" s="64">
        <v>133.1</v>
      </c>
      <c r="G107" s="64">
        <v>134.6</v>
      </c>
      <c r="H107" s="64">
        <v>132.19999999999999</v>
      </c>
      <c r="I107" s="64">
        <v>134.4</v>
      </c>
      <c r="J107" s="64">
        <v>134</v>
      </c>
      <c r="K107" s="64">
        <v>130.19999999999999</v>
      </c>
      <c r="L107" s="64">
        <v>134.19999999999999</v>
      </c>
      <c r="M107" s="64">
        <v>125.7</v>
      </c>
      <c r="N107" s="64">
        <v>125.7</v>
      </c>
      <c r="O107" s="64">
        <v>125.8</v>
      </c>
      <c r="P107" s="64">
        <v>132.4</v>
      </c>
      <c r="Q107" s="64">
        <v>129.69999999999999</v>
      </c>
      <c r="R107" s="64">
        <v>133.80000000000001</v>
      </c>
      <c r="S107" s="64">
        <v>132.80000000000001</v>
      </c>
      <c r="T107" s="64">
        <v>134.19999999999999</v>
      </c>
      <c r="U107" s="64">
        <v>127.9</v>
      </c>
      <c r="V107" s="64">
        <v>134.1</v>
      </c>
      <c r="W107" s="64">
        <v>134.1</v>
      </c>
      <c r="X107" s="64">
        <v>134.4</v>
      </c>
      <c r="Y107" s="64">
        <v>133.80000000000001</v>
      </c>
      <c r="Z107" s="64">
        <v>131.30000000000001</v>
      </c>
      <c r="AA107" s="64"/>
      <c r="AB107" s="76"/>
      <c r="AC107" s="64">
        <v>132.4</v>
      </c>
      <c r="AD107" s="64">
        <v>130</v>
      </c>
      <c r="AE107" s="64">
        <v>130.80000000000001</v>
      </c>
      <c r="AF107" s="64">
        <v>130.80000000000001</v>
      </c>
      <c r="AG107" s="103"/>
      <c r="AH107" s="47">
        <f t="shared" si="24"/>
        <v>136.4</v>
      </c>
      <c r="AI107" s="48">
        <f t="shared" si="25"/>
        <v>125.7</v>
      </c>
    </row>
    <row r="108" spans="1:37" ht="15.75" thickBot="1" x14ac:dyDescent="0.3">
      <c r="A108" s="102" t="s">
        <v>116</v>
      </c>
      <c r="B108" s="91">
        <v>65.8</v>
      </c>
      <c r="C108" s="91">
        <v>65.8</v>
      </c>
      <c r="D108" s="91">
        <v>65.8</v>
      </c>
      <c r="E108" s="91">
        <v>66</v>
      </c>
      <c r="F108" s="91">
        <v>65.8</v>
      </c>
      <c r="G108" s="91">
        <v>66.2</v>
      </c>
      <c r="H108" s="91">
        <v>65.5</v>
      </c>
      <c r="I108" s="91">
        <v>64.900000000000006</v>
      </c>
      <c r="J108" s="91">
        <v>64</v>
      </c>
      <c r="K108" s="91">
        <v>63.9</v>
      </c>
      <c r="L108" s="91">
        <v>64.099999999999994</v>
      </c>
      <c r="M108" s="91">
        <v>63.6</v>
      </c>
      <c r="N108" s="91">
        <v>63.6</v>
      </c>
      <c r="O108" s="91">
        <v>62.7</v>
      </c>
      <c r="P108" s="91">
        <v>62.1</v>
      </c>
      <c r="Q108" s="91">
        <v>61.4</v>
      </c>
      <c r="R108" s="91">
        <v>61.1</v>
      </c>
      <c r="S108" s="91">
        <v>62.7</v>
      </c>
      <c r="T108" s="91">
        <v>62.3</v>
      </c>
      <c r="U108" s="91">
        <v>62.7</v>
      </c>
      <c r="V108" s="91">
        <v>62.5</v>
      </c>
      <c r="W108" s="91">
        <v>62.5</v>
      </c>
      <c r="X108" s="91">
        <v>65.400000000000006</v>
      </c>
      <c r="Y108" s="91">
        <v>64.7</v>
      </c>
      <c r="Z108" s="91">
        <v>64.2</v>
      </c>
      <c r="AA108" s="91"/>
      <c r="AB108" s="76"/>
      <c r="AC108" s="91">
        <v>64.2</v>
      </c>
      <c r="AD108" s="91">
        <v>64.5</v>
      </c>
      <c r="AE108" s="91">
        <v>65.5</v>
      </c>
      <c r="AF108" s="91">
        <v>65.5</v>
      </c>
      <c r="AG108" s="107"/>
      <c r="AH108" s="47">
        <f t="shared" si="24"/>
        <v>66.2</v>
      </c>
      <c r="AI108" s="48">
        <f t="shared" si="25"/>
        <v>61.1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24"/>
        <v>0</v>
      </c>
      <c r="AI109" s="48">
        <f t="shared" si="25"/>
        <v>0</v>
      </c>
    </row>
    <row r="110" spans="1:37" ht="15.75" thickBot="1" x14ac:dyDescent="0.3">
      <c r="A110" s="109" t="s">
        <v>118</v>
      </c>
      <c r="B110" s="110">
        <f t="shared" ref="B110:O110" si="46">SUM(B20,B26,B29:B30,B58,B60:B61,B63,B65,B111:B115,B138,B144,B150,B159,B161,B173,B180,B183:B184,B191,B193,B195,B199:B201,B203:B205,B210,B216:B217,B219:B221,B229,B234)</f>
        <v>55.499999999999979</v>
      </c>
      <c r="C110" s="110">
        <f t="shared" si="46"/>
        <v>57.339999999999989</v>
      </c>
      <c r="D110" s="110">
        <f t="shared" si="46"/>
        <v>57.339999999999989</v>
      </c>
      <c r="E110" s="110">
        <f t="shared" si="46"/>
        <v>40.439999999999991</v>
      </c>
      <c r="F110" s="110">
        <f t="shared" si="46"/>
        <v>43.040000000000006</v>
      </c>
      <c r="G110" s="110">
        <f t="shared" si="46"/>
        <v>64.039999999999992</v>
      </c>
      <c r="H110" s="110">
        <f t="shared" si="46"/>
        <v>85.539999999999978</v>
      </c>
      <c r="I110" s="110">
        <f t="shared" si="46"/>
        <v>122.84</v>
      </c>
      <c r="J110" s="110">
        <f t="shared" si="46"/>
        <v>167.44</v>
      </c>
      <c r="K110" s="110">
        <f t="shared" si="46"/>
        <v>201.24</v>
      </c>
      <c r="L110" s="110">
        <f t="shared" si="46"/>
        <v>202.34000000000003</v>
      </c>
      <c r="M110" s="110">
        <f t="shared" si="46"/>
        <v>208.04</v>
      </c>
      <c r="N110" s="110">
        <f t="shared" si="46"/>
        <v>203.04</v>
      </c>
      <c r="O110" s="110">
        <f t="shared" si="46"/>
        <v>211.64</v>
      </c>
      <c r="P110" s="110">
        <v>42</v>
      </c>
      <c r="Q110" s="110">
        <f t="shared" ref="Q110:AA110" si="47">SUM(Q20,Q26,Q29:Q30,Q58,Q60:Q61,Q63,Q65,Q111:Q115,Q138,Q144,Q150,Q159,Q161,Q173,Q180,Q183:Q184,Q191,Q193,Q195,Q199:Q201,Q203:Q205,Q210,Q216:Q217,Q219:Q221,Q229,Q234)</f>
        <v>239.3</v>
      </c>
      <c r="R110" s="110">
        <f t="shared" si="47"/>
        <v>239.00000000000003</v>
      </c>
      <c r="S110" s="110">
        <f t="shared" si="47"/>
        <v>228.3</v>
      </c>
      <c r="T110" s="110">
        <f t="shared" si="47"/>
        <v>225.39999999999998</v>
      </c>
      <c r="U110" s="110">
        <f t="shared" ref="U110" si="48">SUM(U20,U26,U29:U30,U58,U60:U61,U63,U65,U111:U115,U138,U144,U150,U159,U161,U173,U180,U183:U184,U191,U193,U195,U199:U201,U203:U205,U210,U216:U217,U219:U221,U229,U234)</f>
        <v>238.29999999999998</v>
      </c>
      <c r="V110" s="110">
        <f t="shared" ref="V110:X110" si="49">SUM(V20,V26,V29:V30,V58,V60:V61,V63,V65,V111:V115,V138,V144,V150,V159,V161,V173,V180,V183:V184,V191,V193,V195,V199:V201,V203:V205,V210,V216:V217,V219:V221,V229,V234)</f>
        <v>261.90000000000003</v>
      </c>
      <c r="W110" s="110">
        <f t="shared" si="49"/>
        <v>237.8</v>
      </c>
      <c r="X110" s="110">
        <f t="shared" si="49"/>
        <v>217.60000000000002</v>
      </c>
      <c r="Y110" s="110">
        <f t="shared" si="47"/>
        <v>247.29999999999998</v>
      </c>
      <c r="Z110" s="110">
        <f t="shared" si="47"/>
        <v>281.40000000000003</v>
      </c>
      <c r="AA110" s="110">
        <f t="shared" si="47"/>
        <v>0</v>
      </c>
      <c r="AB110" s="110">
        <f>SUM(AC20,AC26,AC29:AC30,AC58,AC60:AC61,AC63,AC65,AC111:AC115,AB138,AB144,AB150,AB159,AB161,AB173,AB180,AB183:AB184,AB191,AB193,AB195,AB199:AB201,AB203:AB205,AB210,AB216:AB217,AB219:AB221,AB229,AB234)</f>
        <v>210.70000000000002</v>
      </c>
      <c r="AC110" s="110">
        <f t="shared" ref="AC110:AF110" si="50">SUM(AD20,AD26,AD29:AD30,AD58,AD60:AD61,AD63,AD65,AD111:AD115,AC138,AC144,AC150,AC159,AC161,AC173,AC180,AC183:AC184,AC191,AC193,AC195,AC199:AC201,AC203:AC205,AC210,AC216:AC217,AC219:AC221,AC229,AC234)</f>
        <v>141.9</v>
      </c>
      <c r="AD110" s="110">
        <f t="shared" si="50"/>
        <v>97.500000000000028</v>
      </c>
      <c r="AE110" s="110">
        <f t="shared" si="50"/>
        <v>96.700000000000017</v>
      </c>
      <c r="AF110" s="110">
        <f t="shared" si="50"/>
        <v>967.45</v>
      </c>
      <c r="AG110" s="111"/>
      <c r="AH110" s="47">
        <f t="shared" si="24"/>
        <v>967.45</v>
      </c>
      <c r="AI110" s="48">
        <f t="shared" si="25"/>
        <v>0</v>
      </c>
    </row>
    <row r="111" spans="1:37" x14ac:dyDescent="0.25">
      <c r="A111" s="99" t="s">
        <v>119</v>
      </c>
      <c r="B111" s="112">
        <v>30.7</v>
      </c>
      <c r="C111" s="112">
        <v>28.7</v>
      </c>
      <c r="D111" s="112">
        <v>28.7</v>
      </c>
      <c r="E111" s="112">
        <v>16</v>
      </c>
      <c r="F111" s="112">
        <v>20</v>
      </c>
      <c r="G111" s="112">
        <v>22.7</v>
      </c>
      <c r="H111" s="112">
        <v>29.2</v>
      </c>
      <c r="I111" s="112">
        <v>36.799999999999997</v>
      </c>
      <c r="J111" s="112">
        <v>43.1</v>
      </c>
      <c r="K111" s="112">
        <v>54.2</v>
      </c>
      <c r="L111" s="112">
        <v>45.9</v>
      </c>
      <c r="M111" s="112">
        <v>47.4</v>
      </c>
      <c r="N111" s="112">
        <v>47.4</v>
      </c>
      <c r="O111" s="112">
        <v>45.2</v>
      </c>
      <c r="P111" s="112">
        <v>48.8</v>
      </c>
      <c r="Q111" s="112">
        <v>56.5</v>
      </c>
      <c r="R111" s="112">
        <v>52.3</v>
      </c>
      <c r="S111" s="112">
        <v>50.8</v>
      </c>
      <c r="T111" s="112">
        <v>48.7</v>
      </c>
      <c r="U111" s="112">
        <v>50.5</v>
      </c>
      <c r="V111" s="112">
        <v>58.7</v>
      </c>
      <c r="W111" s="112">
        <v>52</v>
      </c>
      <c r="X111" s="112">
        <v>41.2</v>
      </c>
      <c r="Y111" s="112">
        <v>48.5</v>
      </c>
      <c r="Z111" s="112">
        <v>56.2</v>
      </c>
      <c r="AA111" s="112"/>
      <c r="AB111" s="45"/>
      <c r="AC111" s="112">
        <v>9.9</v>
      </c>
      <c r="AD111" s="112">
        <v>2.6</v>
      </c>
      <c r="AE111" s="112">
        <v>-2.2000000000000002</v>
      </c>
      <c r="AF111" s="112">
        <v>19.399999999999999</v>
      </c>
      <c r="AG111" s="113">
        <v>75</v>
      </c>
      <c r="AH111" s="47">
        <f t="shared" si="24"/>
        <v>58.7</v>
      </c>
      <c r="AI111" s="48">
        <f t="shared" si="25"/>
        <v>-2.2000000000000002</v>
      </c>
    </row>
    <row r="112" spans="1:37" x14ac:dyDescent="0.25">
      <c r="A112" s="102" t="s">
        <v>120</v>
      </c>
      <c r="B112" s="114">
        <v>42.1</v>
      </c>
      <c r="C112" s="114">
        <v>39.299999999999997</v>
      </c>
      <c r="D112" s="114">
        <v>39.299999999999997</v>
      </c>
      <c r="E112" s="114">
        <v>24.5</v>
      </c>
      <c r="F112" s="114">
        <v>31.1</v>
      </c>
      <c r="G112" s="114">
        <v>34.5</v>
      </c>
      <c r="H112" s="114">
        <v>44.1</v>
      </c>
      <c r="I112" s="114">
        <v>54.1</v>
      </c>
      <c r="J112" s="114">
        <v>66.3</v>
      </c>
      <c r="K112" s="114">
        <v>76.3</v>
      </c>
      <c r="L112" s="114">
        <v>61</v>
      </c>
      <c r="M112" s="114">
        <v>63.6</v>
      </c>
      <c r="N112" s="114">
        <v>63.6</v>
      </c>
      <c r="O112" s="114">
        <v>60.2</v>
      </c>
      <c r="P112" s="114">
        <v>70.3</v>
      </c>
      <c r="Q112" s="114">
        <v>79.7</v>
      </c>
      <c r="R112" s="114">
        <v>72.900000000000006</v>
      </c>
      <c r="S112" s="114">
        <v>69.5</v>
      </c>
      <c r="T112" s="114">
        <v>67.7</v>
      </c>
      <c r="U112" s="114">
        <v>69.400000000000006</v>
      </c>
      <c r="V112" s="114">
        <v>82.2</v>
      </c>
      <c r="W112" s="114">
        <v>80.2</v>
      </c>
      <c r="X112" s="114">
        <v>55.1</v>
      </c>
      <c r="Y112" s="114">
        <v>65</v>
      </c>
      <c r="Z112" s="114">
        <v>78.8</v>
      </c>
      <c r="AA112" s="114"/>
      <c r="AB112" s="45"/>
      <c r="AC112" s="114">
        <v>2</v>
      </c>
      <c r="AD112" s="114">
        <v>-5.8</v>
      </c>
      <c r="AE112" s="114">
        <v>-11</v>
      </c>
      <c r="AF112" s="114">
        <v>28.4</v>
      </c>
      <c r="AG112" s="113">
        <v>240</v>
      </c>
      <c r="AH112" s="47">
        <f t="shared" si="24"/>
        <v>82.2</v>
      </c>
      <c r="AI112" s="48">
        <f t="shared" si="25"/>
        <v>-11</v>
      </c>
    </row>
    <row r="113" spans="1:37" x14ac:dyDescent="0.25">
      <c r="A113" s="102" t="s">
        <v>121</v>
      </c>
      <c r="B113" s="114">
        <v>-117</v>
      </c>
      <c r="C113" s="114">
        <v>-124</v>
      </c>
      <c r="D113" s="114">
        <v>-124</v>
      </c>
      <c r="E113" s="114">
        <f>-55.5-59.3</f>
        <v>-114.8</v>
      </c>
      <c r="F113" s="114">
        <f>-62.4-67.3</f>
        <v>-129.69999999999999</v>
      </c>
      <c r="G113" s="114">
        <f>-55.2-59.9</f>
        <v>-115.1</v>
      </c>
      <c r="H113" s="114">
        <f>-53.1-57.7</f>
        <v>-110.80000000000001</v>
      </c>
      <c r="I113" s="114">
        <f>-49.5-54</f>
        <v>-103.5</v>
      </c>
      <c r="J113" s="114">
        <f>-45-50.1</f>
        <v>-95.1</v>
      </c>
      <c r="K113" s="114">
        <f>-39.5-42.7</f>
        <v>-82.2</v>
      </c>
      <c r="L113" s="114">
        <f>-22.4-23.8</f>
        <v>-46.2</v>
      </c>
      <c r="M113" s="114">
        <v>-45</v>
      </c>
      <c r="N113" s="114">
        <v>-45</v>
      </c>
      <c r="O113" s="114">
        <v>-36</v>
      </c>
      <c r="P113" s="114">
        <v>-56.2</v>
      </c>
      <c r="Q113" s="114">
        <v>-53</v>
      </c>
      <c r="R113" s="114">
        <v>-44</v>
      </c>
      <c r="S113" s="114">
        <f>-18-19.7</f>
        <v>-37.700000000000003</v>
      </c>
      <c r="T113" s="114">
        <f>-18.4-13.8</f>
        <v>-32.200000000000003</v>
      </c>
      <c r="U113" s="114">
        <v>-31.5</v>
      </c>
      <c r="V113" s="114">
        <v>-22.7</v>
      </c>
      <c r="W113" s="114">
        <f>-22-23.4</f>
        <v>-45.4</v>
      </c>
      <c r="X113" s="114">
        <f>-23.6-26.7</f>
        <v>-50.3</v>
      </c>
      <c r="Y113" s="114">
        <f>-19.4-21.2</f>
        <v>-40.599999999999994</v>
      </c>
      <c r="Z113" s="114">
        <f>-14.6-15.9</f>
        <v>-30.5</v>
      </c>
      <c r="AA113" s="114"/>
      <c r="AB113" s="76"/>
      <c r="AC113" s="114">
        <f>-18.8-28.7</f>
        <v>-47.5</v>
      </c>
      <c r="AD113" s="114">
        <v>-130</v>
      </c>
      <c r="AE113" s="114">
        <v>-135</v>
      </c>
      <c r="AF113" s="114">
        <v>-141</v>
      </c>
      <c r="AG113" s="113">
        <v>240</v>
      </c>
      <c r="AH113" s="47">
        <f t="shared" si="24"/>
        <v>-22.7</v>
      </c>
      <c r="AI113" s="48">
        <f t="shared" si="25"/>
        <v>-141</v>
      </c>
    </row>
    <row r="114" spans="1:37" x14ac:dyDescent="0.25">
      <c r="A114" s="102" t="s">
        <v>122</v>
      </c>
      <c r="B114" s="114">
        <v>-9.1</v>
      </c>
      <c r="C114" s="114">
        <v>-6</v>
      </c>
      <c r="D114" s="114">
        <v>-6</v>
      </c>
      <c r="E114" s="114">
        <v>-4.8</v>
      </c>
      <c r="F114" s="114">
        <v>-7.9</v>
      </c>
      <c r="G114" s="114">
        <v>-7.3</v>
      </c>
      <c r="H114" s="114">
        <v>-5.7</v>
      </c>
      <c r="I114" s="114">
        <v>-2.5</v>
      </c>
      <c r="J114" s="114">
        <v>-0.4</v>
      </c>
      <c r="K114" s="114">
        <v>4.9000000000000004</v>
      </c>
      <c r="L114" s="114">
        <v>9.5</v>
      </c>
      <c r="M114" s="114">
        <v>9</v>
      </c>
      <c r="N114" s="114">
        <v>9</v>
      </c>
      <c r="O114" s="114">
        <v>13.2</v>
      </c>
      <c r="P114" s="114">
        <v>11.4</v>
      </c>
      <c r="Q114" s="114">
        <v>7.6</v>
      </c>
      <c r="R114" s="114">
        <v>9.4</v>
      </c>
      <c r="S114" s="114">
        <v>8.1</v>
      </c>
      <c r="T114" s="114">
        <v>10.199999999999999</v>
      </c>
      <c r="U114" s="114">
        <v>12.5</v>
      </c>
      <c r="V114" s="114">
        <v>10.7</v>
      </c>
      <c r="W114" s="114">
        <v>8.1999999999999993</v>
      </c>
      <c r="X114" s="114">
        <v>4.4000000000000004</v>
      </c>
      <c r="Y114" s="114">
        <v>12.1</v>
      </c>
      <c r="Z114" s="114">
        <v>15.4</v>
      </c>
      <c r="AA114" s="114"/>
      <c r="AB114" s="76"/>
      <c r="AC114" s="114">
        <v>40.1</v>
      </c>
      <c r="AD114" s="114">
        <v>35.1</v>
      </c>
      <c r="AE114" s="114">
        <v>32.9</v>
      </c>
      <c r="AF114" s="114">
        <v>-10</v>
      </c>
      <c r="AG114" s="113">
        <v>60</v>
      </c>
      <c r="AH114" s="47">
        <f t="shared" si="24"/>
        <v>40.1</v>
      </c>
      <c r="AI114" s="48">
        <f t="shared" si="25"/>
        <v>-10</v>
      </c>
    </row>
    <row r="115" spans="1:37" x14ac:dyDescent="0.25">
      <c r="A115" s="115" t="s">
        <v>123</v>
      </c>
      <c r="B115" s="116">
        <v>1.8</v>
      </c>
      <c r="C115" s="116">
        <v>1.7</v>
      </c>
      <c r="D115" s="116">
        <v>1.7</v>
      </c>
      <c r="E115" s="116">
        <v>1.9</v>
      </c>
      <c r="F115" s="116">
        <v>5.6</v>
      </c>
      <c r="G115" s="116">
        <v>5.3</v>
      </c>
      <c r="H115" s="116">
        <v>5.0999999999999996</v>
      </c>
      <c r="I115" s="116">
        <v>5</v>
      </c>
      <c r="J115" s="116">
        <v>9.3000000000000007</v>
      </c>
      <c r="K115" s="116">
        <v>8.9</v>
      </c>
      <c r="L115" s="116">
        <v>8.3000000000000007</v>
      </c>
      <c r="M115" s="116">
        <v>9.1999999999999993</v>
      </c>
      <c r="N115" s="116">
        <v>9.1999999999999993</v>
      </c>
      <c r="O115" s="116">
        <v>10.199999999999999</v>
      </c>
      <c r="P115" s="116">
        <v>9.6</v>
      </c>
      <c r="Q115" s="116">
        <v>10.6</v>
      </c>
      <c r="R115" s="116">
        <v>10.5</v>
      </c>
      <c r="S115" s="116">
        <v>9.9</v>
      </c>
      <c r="T115" s="116">
        <v>2.2999999999999998</v>
      </c>
      <c r="U115" s="116">
        <v>9.6999999999999993</v>
      </c>
      <c r="V115" s="116">
        <v>9.6</v>
      </c>
      <c r="W115" s="116">
        <v>9.4</v>
      </c>
      <c r="X115" s="116">
        <v>8.6</v>
      </c>
      <c r="Y115" s="116">
        <v>9.4</v>
      </c>
      <c r="Z115" s="116">
        <v>8.6</v>
      </c>
      <c r="AA115" s="116"/>
      <c r="AB115" s="76"/>
      <c r="AC115" s="116">
        <v>57.9</v>
      </c>
      <c r="AD115" s="116">
        <v>91.7</v>
      </c>
      <c r="AE115" s="116">
        <v>64.5</v>
      </c>
      <c r="AF115" s="116">
        <v>51.6</v>
      </c>
      <c r="AG115" s="117">
        <v>120</v>
      </c>
      <c r="AH115" s="47">
        <f t="shared" si="24"/>
        <v>91.7</v>
      </c>
      <c r="AI115" s="48">
        <f t="shared" si="25"/>
        <v>1.7</v>
      </c>
    </row>
    <row r="116" spans="1:37" x14ac:dyDescent="0.25">
      <c r="A116" s="115" t="s">
        <v>124</v>
      </c>
      <c r="B116" s="116">
        <v>38.4</v>
      </c>
      <c r="C116" s="116">
        <v>40</v>
      </c>
      <c r="D116" s="116">
        <v>40</v>
      </c>
      <c r="E116" s="116">
        <v>34.700000000000003</v>
      </c>
      <c r="F116" s="116">
        <v>27.1</v>
      </c>
      <c r="G116" s="116">
        <v>31.7</v>
      </c>
      <c r="H116" s="116">
        <v>19.899999999999999</v>
      </c>
      <c r="I116" s="116">
        <v>16.8</v>
      </c>
      <c r="J116" s="116">
        <v>6.3</v>
      </c>
      <c r="K116" s="116">
        <v>16.2</v>
      </c>
      <c r="L116" s="116">
        <v>60.6</v>
      </c>
      <c r="M116" s="116">
        <v>58.1</v>
      </c>
      <c r="N116" s="116">
        <v>58.1</v>
      </c>
      <c r="O116" s="116">
        <v>83.9</v>
      </c>
      <c r="P116" s="116">
        <v>19.100000000000001</v>
      </c>
      <c r="Q116" s="116">
        <v>67.599999999999994</v>
      </c>
      <c r="R116" s="116">
        <v>79.599999999999994</v>
      </c>
      <c r="S116" s="116">
        <v>72.8</v>
      </c>
      <c r="T116" s="116">
        <v>77.900000000000006</v>
      </c>
      <c r="U116" s="116">
        <v>77</v>
      </c>
      <c r="V116" s="116">
        <v>68.900000000000006</v>
      </c>
      <c r="W116" s="116">
        <v>40</v>
      </c>
      <c r="X116" s="116">
        <v>43.6</v>
      </c>
      <c r="Y116" s="116">
        <v>50.9</v>
      </c>
      <c r="Z116" s="116">
        <v>62.7</v>
      </c>
      <c r="AA116" s="116"/>
      <c r="AB116" s="76"/>
      <c r="AC116" s="116">
        <v>50.6</v>
      </c>
      <c r="AD116" s="116">
        <v>32.200000000000003</v>
      </c>
      <c r="AE116" s="116">
        <v>31.7</v>
      </c>
      <c r="AF116" s="116">
        <v>24.3</v>
      </c>
      <c r="AG116" s="117"/>
      <c r="AH116" s="47">
        <f t="shared" si="24"/>
        <v>83.9</v>
      </c>
      <c r="AI116" s="48">
        <f t="shared" si="25"/>
        <v>6.3</v>
      </c>
    </row>
    <row r="117" spans="1:37" x14ac:dyDescent="0.25">
      <c r="A117" s="115" t="s">
        <v>125</v>
      </c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76"/>
      <c r="AC117" s="116"/>
      <c r="AD117" s="116"/>
      <c r="AE117" s="116"/>
      <c r="AF117" s="116"/>
      <c r="AG117" s="118"/>
      <c r="AH117" s="47">
        <f t="shared" si="24"/>
        <v>0</v>
      </c>
      <c r="AI117" s="48">
        <f t="shared" si="25"/>
        <v>0</v>
      </c>
    </row>
    <row r="118" spans="1:37" x14ac:dyDescent="0.25">
      <c r="A118" s="119" t="s">
        <v>126</v>
      </c>
      <c r="B118" s="105">
        <v>32</v>
      </c>
      <c r="C118" s="105">
        <v>32.14</v>
      </c>
      <c r="D118" s="105">
        <v>32.14</v>
      </c>
      <c r="E118" s="105">
        <v>38</v>
      </c>
      <c r="F118" s="105">
        <v>40.1</v>
      </c>
      <c r="G118" s="105">
        <v>44.1</v>
      </c>
      <c r="H118" s="105">
        <v>45.3</v>
      </c>
      <c r="I118" s="105">
        <v>45.8</v>
      </c>
      <c r="J118" s="105">
        <v>43.5</v>
      </c>
      <c r="K118" s="105">
        <v>39.299999999999997</v>
      </c>
      <c r="L118" s="105">
        <v>34.700000000000003</v>
      </c>
      <c r="M118" s="105">
        <v>31.2</v>
      </c>
      <c r="N118" s="105">
        <v>31.2</v>
      </c>
      <c r="O118" s="105">
        <v>19.8</v>
      </c>
      <c r="P118" s="105">
        <v>26.8</v>
      </c>
      <c r="Q118" s="105">
        <v>29.1</v>
      </c>
      <c r="R118" s="105">
        <v>28.9</v>
      </c>
      <c r="S118" s="105">
        <v>28.9</v>
      </c>
      <c r="T118" s="105">
        <v>24.6</v>
      </c>
      <c r="U118" s="105">
        <v>26.6</v>
      </c>
      <c r="V118" s="105">
        <v>18.2</v>
      </c>
      <c r="W118" s="105">
        <v>18.3</v>
      </c>
      <c r="X118" s="105">
        <v>18.8</v>
      </c>
      <c r="Y118" s="105">
        <v>11.5</v>
      </c>
      <c r="Z118" s="105">
        <v>5.6</v>
      </c>
      <c r="AA118" s="105"/>
      <c r="AB118" s="76"/>
      <c r="AC118" s="105">
        <v>9.4</v>
      </c>
      <c r="AD118" s="105">
        <v>1.5</v>
      </c>
      <c r="AE118" s="105">
        <v>4.5</v>
      </c>
      <c r="AF118" s="105">
        <v>22.2</v>
      </c>
      <c r="AG118" s="118"/>
      <c r="AH118" s="47">
        <f t="shared" si="24"/>
        <v>45.8</v>
      </c>
      <c r="AI118" s="48">
        <f t="shared" si="25"/>
        <v>1.5</v>
      </c>
    </row>
    <row r="119" spans="1:37" x14ac:dyDescent="0.25">
      <c r="A119" s="120" t="s">
        <v>127</v>
      </c>
      <c r="B119" s="105">
        <v>91.9</v>
      </c>
      <c r="C119" s="105">
        <v>95</v>
      </c>
      <c r="D119" s="105">
        <v>95</v>
      </c>
      <c r="E119" s="105">
        <v>87.2</v>
      </c>
      <c r="F119" s="105">
        <v>99.6</v>
      </c>
      <c r="G119" s="105">
        <v>91.1</v>
      </c>
      <c r="H119" s="105">
        <v>92.3</v>
      </c>
      <c r="I119" s="105">
        <v>91.9</v>
      </c>
      <c r="J119" s="105">
        <v>88.8</v>
      </c>
      <c r="K119" s="105">
        <v>79.2</v>
      </c>
      <c r="L119" s="105">
        <v>87.6</v>
      </c>
      <c r="M119" s="105">
        <v>96.1</v>
      </c>
      <c r="N119" s="105">
        <v>96.1</v>
      </c>
      <c r="O119" s="105">
        <v>74</v>
      </c>
      <c r="P119" s="105">
        <v>99</v>
      </c>
      <c r="Q119" s="105">
        <v>102.7</v>
      </c>
      <c r="R119" s="105">
        <v>92.5</v>
      </c>
      <c r="S119" s="105">
        <v>76.3</v>
      </c>
      <c r="T119" s="105">
        <v>69.599999999999994</v>
      </c>
      <c r="U119" s="105">
        <v>69.2</v>
      </c>
      <c r="V119" s="105">
        <v>63.1</v>
      </c>
      <c r="W119" s="105">
        <v>83.1</v>
      </c>
      <c r="X119" s="105">
        <v>78.599999999999994</v>
      </c>
      <c r="Y119" s="105">
        <v>77.3</v>
      </c>
      <c r="Z119" s="105">
        <v>54.6</v>
      </c>
      <c r="AA119" s="105"/>
      <c r="AB119" s="76"/>
      <c r="AC119" s="105">
        <v>55.6</v>
      </c>
      <c r="AD119" s="105">
        <v>79.5</v>
      </c>
      <c r="AE119" s="105">
        <v>76.2</v>
      </c>
      <c r="AF119" s="105">
        <v>99.3</v>
      </c>
      <c r="AG119" s="118"/>
      <c r="AH119" s="47">
        <f t="shared" si="24"/>
        <v>102.7</v>
      </c>
      <c r="AI119" s="48">
        <f t="shared" si="25"/>
        <v>54.6</v>
      </c>
    </row>
    <row r="120" spans="1:37" ht="15.75" thickBot="1" x14ac:dyDescent="0.3">
      <c r="A120" s="119" t="s">
        <v>128</v>
      </c>
      <c r="B120" s="105">
        <v>48</v>
      </c>
      <c r="C120" s="105">
        <v>44</v>
      </c>
      <c r="D120" s="105">
        <v>44</v>
      </c>
      <c r="E120" s="105">
        <v>30.1</v>
      </c>
      <c r="F120" s="105">
        <v>33.5</v>
      </c>
      <c r="G120" s="105">
        <v>21.9</v>
      </c>
      <c r="H120" s="105">
        <v>14.5</v>
      </c>
      <c r="I120" s="105">
        <v>8.6999999999999993</v>
      </c>
      <c r="J120" s="105">
        <v>21.6</v>
      </c>
      <c r="K120" s="105">
        <v>25.2</v>
      </c>
      <c r="L120" s="105">
        <v>30.1</v>
      </c>
      <c r="M120" s="105">
        <v>32.200000000000003</v>
      </c>
      <c r="N120" s="105">
        <v>32.200000000000003</v>
      </c>
      <c r="O120" s="105">
        <v>16.2</v>
      </c>
      <c r="P120" s="105">
        <v>19.100000000000001</v>
      </c>
      <c r="Q120" s="105">
        <v>41.4</v>
      </c>
      <c r="R120" s="105">
        <v>36.6</v>
      </c>
      <c r="S120" s="105">
        <v>41.4</v>
      </c>
      <c r="T120" s="105">
        <v>42.6</v>
      </c>
      <c r="U120" s="105">
        <v>47.6</v>
      </c>
      <c r="V120" s="105">
        <v>46.3</v>
      </c>
      <c r="W120" s="105">
        <v>30.8</v>
      </c>
      <c r="X120" s="105">
        <v>31.3</v>
      </c>
      <c r="Y120" s="105">
        <v>52.6</v>
      </c>
      <c r="Z120" s="105">
        <v>58.4</v>
      </c>
      <c r="AA120" s="105"/>
      <c r="AB120" s="76"/>
      <c r="AC120" s="105">
        <v>65.3</v>
      </c>
      <c r="AD120" s="105">
        <v>69.3</v>
      </c>
      <c r="AE120" s="105">
        <v>63.6</v>
      </c>
      <c r="AF120" s="105">
        <v>56.4</v>
      </c>
      <c r="AG120" s="118"/>
      <c r="AH120" s="47">
        <f t="shared" si="24"/>
        <v>69.3</v>
      </c>
      <c r="AI120" s="48">
        <f t="shared" si="25"/>
        <v>8.6999999999999993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51">SUM(B122:B226)</f>
        <v>0</v>
      </c>
      <c r="C227" s="136">
        <f t="shared" si="51"/>
        <v>0</v>
      </c>
      <c r="D227" s="136">
        <f t="shared" si="51"/>
        <v>0</v>
      </c>
      <c r="E227" s="136">
        <f t="shared" si="51"/>
        <v>0</v>
      </c>
      <c r="F227" s="136">
        <f t="shared" si="51"/>
        <v>0</v>
      </c>
      <c r="G227" s="136">
        <f t="shared" si="51"/>
        <v>0</v>
      </c>
      <c r="H227" s="136">
        <f t="shared" si="51"/>
        <v>0</v>
      </c>
      <c r="I227" s="136">
        <f t="shared" si="51"/>
        <v>0</v>
      </c>
      <c r="J227" s="136">
        <f t="shared" si="51"/>
        <v>0</v>
      </c>
      <c r="K227" s="136">
        <f t="shared" si="51"/>
        <v>0</v>
      </c>
      <c r="L227" s="136">
        <f t="shared" si="51"/>
        <v>0</v>
      </c>
      <c r="M227" s="136">
        <f t="shared" si="51"/>
        <v>0</v>
      </c>
      <c r="N227" s="136">
        <f t="shared" si="51"/>
        <v>0</v>
      </c>
      <c r="O227" s="136">
        <f t="shared" si="51"/>
        <v>0</v>
      </c>
      <c r="P227" s="136">
        <f t="shared" si="51"/>
        <v>0</v>
      </c>
      <c r="Q227" s="136">
        <f t="shared" si="51"/>
        <v>0</v>
      </c>
      <c r="R227" s="136">
        <f t="shared" si="51"/>
        <v>0</v>
      </c>
      <c r="S227" s="136">
        <f t="shared" si="51"/>
        <v>0</v>
      </c>
      <c r="T227" s="136">
        <f t="shared" si="51"/>
        <v>0</v>
      </c>
      <c r="U227" s="136">
        <f t="shared" si="51"/>
        <v>0</v>
      </c>
      <c r="V227" s="136">
        <f t="shared" si="51"/>
        <v>0</v>
      </c>
      <c r="W227" s="136">
        <f t="shared" si="51"/>
        <v>0</v>
      </c>
      <c r="X227" s="136">
        <f t="shared" si="51"/>
        <v>0</v>
      </c>
      <c r="Y227" s="136">
        <f t="shared" si="51"/>
        <v>0</v>
      </c>
      <c r="Z227" s="136">
        <f t="shared" si="51"/>
        <v>0</v>
      </c>
      <c r="AA227" s="136">
        <f t="shared" si="51"/>
        <v>0</v>
      </c>
      <c r="AB227" s="136">
        <f t="shared" si="51"/>
        <v>0</v>
      </c>
      <c r="AC227" s="136">
        <f t="shared" si="51"/>
        <v>0</v>
      </c>
      <c r="AD227" s="136">
        <f t="shared" si="51"/>
        <v>0</v>
      </c>
      <c r="AE227" s="136">
        <f t="shared" si="51"/>
        <v>0</v>
      </c>
      <c r="AF227" s="137">
        <f t="shared" si="51"/>
        <v>0</v>
      </c>
      <c r="AG227" s="138">
        <f t="shared" si="51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52">AF229</f>
        <v>0</v>
      </c>
      <c r="C229" s="140">
        <v>0.3</v>
      </c>
      <c r="D229" s="140">
        <f t="shared" ref="D229:P234" si="53">C229</f>
        <v>0.3</v>
      </c>
      <c r="E229" s="140">
        <f t="shared" si="53"/>
        <v>0.3</v>
      </c>
      <c r="F229" s="140">
        <f t="shared" si="53"/>
        <v>0.3</v>
      </c>
      <c r="G229" s="140">
        <f t="shared" si="53"/>
        <v>0.3</v>
      </c>
      <c r="H229" s="140">
        <f t="shared" si="53"/>
        <v>0.3</v>
      </c>
      <c r="I229" s="140">
        <f t="shared" si="53"/>
        <v>0.3</v>
      </c>
      <c r="J229" s="140">
        <f t="shared" si="53"/>
        <v>0.3</v>
      </c>
      <c r="K229" s="140">
        <f t="shared" si="53"/>
        <v>0.3</v>
      </c>
      <c r="L229" s="140">
        <f t="shared" si="53"/>
        <v>0.3</v>
      </c>
      <c r="M229" s="140">
        <f t="shared" si="53"/>
        <v>0.3</v>
      </c>
      <c r="N229" s="140">
        <f t="shared" si="53"/>
        <v>0.3</v>
      </c>
      <c r="O229" s="140">
        <f t="shared" si="53"/>
        <v>0.3</v>
      </c>
      <c r="P229" s="140">
        <f t="shared" si="53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52"/>
        <v>0</v>
      </c>
      <c r="C230" s="128">
        <v>0.4</v>
      </c>
      <c r="D230" s="128">
        <f t="shared" si="53"/>
        <v>0.4</v>
      </c>
      <c r="E230" s="128">
        <f t="shared" si="53"/>
        <v>0.4</v>
      </c>
      <c r="F230" s="128">
        <f t="shared" si="53"/>
        <v>0.4</v>
      </c>
      <c r="G230" s="128">
        <f t="shared" si="53"/>
        <v>0.4</v>
      </c>
      <c r="H230" s="128">
        <f t="shared" si="53"/>
        <v>0.4</v>
      </c>
      <c r="I230" s="128">
        <f t="shared" si="53"/>
        <v>0.4</v>
      </c>
      <c r="J230" s="128">
        <f t="shared" si="53"/>
        <v>0.4</v>
      </c>
      <c r="K230" s="128">
        <f t="shared" si="53"/>
        <v>0.4</v>
      </c>
      <c r="L230" s="128">
        <f t="shared" si="53"/>
        <v>0.4</v>
      </c>
      <c r="M230" s="128">
        <f t="shared" si="53"/>
        <v>0.4</v>
      </c>
      <c r="N230" s="128">
        <f t="shared" si="53"/>
        <v>0.4</v>
      </c>
      <c r="O230" s="128">
        <f t="shared" si="53"/>
        <v>0.4</v>
      </c>
      <c r="P230" s="128">
        <f t="shared" si="53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52"/>
        <v>0</v>
      </c>
      <c r="C231" s="128">
        <v>1.5</v>
      </c>
      <c r="D231" s="128">
        <f t="shared" si="53"/>
        <v>1.5</v>
      </c>
      <c r="E231" s="128">
        <f t="shared" si="53"/>
        <v>1.5</v>
      </c>
      <c r="F231" s="128">
        <f t="shared" si="53"/>
        <v>1.5</v>
      </c>
      <c r="G231" s="128">
        <f t="shared" si="53"/>
        <v>1.5</v>
      </c>
      <c r="H231" s="128">
        <f t="shared" si="53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53"/>
        <v>123.21900000000009</v>
      </c>
      <c r="K231" s="128">
        <f t="shared" ca="1" si="53"/>
        <v>123.21900000000009</v>
      </c>
      <c r="L231" s="128">
        <f t="shared" ca="1" si="53"/>
        <v>123.21900000000009</v>
      </c>
      <c r="M231" s="128">
        <f t="shared" ca="1" si="53"/>
        <v>119.19900000000008</v>
      </c>
      <c r="N231" s="128">
        <f t="shared" ca="1" si="53"/>
        <v>119.19900000000008</v>
      </c>
      <c r="O231" s="128">
        <f t="shared" ca="1" si="53"/>
        <v>119.19900000000008</v>
      </c>
      <c r="P231" s="128">
        <f t="shared" ca="1" si="53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52"/>
        <v>0</v>
      </c>
      <c r="C232" s="128">
        <v>0.3</v>
      </c>
      <c r="D232" s="128">
        <f t="shared" si="53"/>
        <v>0.3</v>
      </c>
      <c r="E232" s="128">
        <f t="shared" si="53"/>
        <v>0.3</v>
      </c>
      <c r="F232" s="128">
        <f t="shared" si="53"/>
        <v>0.3</v>
      </c>
      <c r="G232" s="128">
        <f t="shared" si="53"/>
        <v>0.3</v>
      </c>
      <c r="H232" s="128">
        <f t="shared" si="53"/>
        <v>0.3</v>
      </c>
      <c r="I232" s="128">
        <f t="shared" si="53"/>
        <v>0.3</v>
      </c>
      <c r="J232" s="128">
        <f t="shared" si="53"/>
        <v>0.3</v>
      </c>
      <c r="K232" s="128">
        <f t="shared" si="53"/>
        <v>0.3</v>
      </c>
      <c r="L232" s="128">
        <f t="shared" si="53"/>
        <v>0.3</v>
      </c>
      <c r="M232" s="128">
        <f t="shared" si="53"/>
        <v>0.3</v>
      </c>
      <c r="N232" s="128">
        <f t="shared" si="53"/>
        <v>0.3</v>
      </c>
      <c r="O232" s="128">
        <f t="shared" si="53"/>
        <v>0.3</v>
      </c>
      <c r="P232" s="128">
        <f t="shared" si="53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52"/>
        <v>0</v>
      </c>
      <c r="C233" s="128">
        <v>0.4</v>
      </c>
      <c r="D233" s="128">
        <f t="shared" si="53"/>
        <v>0.4</v>
      </c>
      <c r="E233" s="128">
        <f t="shared" si="53"/>
        <v>0.4</v>
      </c>
      <c r="F233" s="128">
        <f t="shared" si="53"/>
        <v>0.4</v>
      </c>
      <c r="G233" s="128">
        <f t="shared" si="53"/>
        <v>0.4</v>
      </c>
      <c r="H233" s="128">
        <f t="shared" si="53"/>
        <v>0.4</v>
      </c>
      <c r="I233" s="128">
        <f t="shared" si="53"/>
        <v>0.4</v>
      </c>
      <c r="J233" s="128">
        <f t="shared" si="53"/>
        <v>0.4</v>
      </c>
      <c r="K233" s="128">
        <f t="shared" si="53"/>
        <v>0.4</v>
      </c>
      <c r="L233" s="128">
        <f t="shared" si="53"/>
        <v>0.4</v>
      </c>
      <c r="M233" s="128">
        <f t="shared" si="53"/>
        <v>0.4</v>
      </c>
      <c r="N233" s="128">
        <f t="shared" si="53"/>
        <v>0.4</v>
      </c>
      <c r="O233" s="128">
        <f t="shared" si="53"/>
        <v>0.4</v>
      </c>
      <c r="P233" s="128">
        <f t="shared" si="53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52"/>
        <v>0</v>
      </c>
      <c r="C234" s="132">
        <v>0.64</v>
      </c>
      <c r="D234" s="132">
        <f t="shared" si="53"/>
        <v>0.64</v>
      </c>
      <c r="E234" s="132">
        <f t="shared" si="53"/>
        <v>0.64</v>
      </c>
      <c r="F234" s="132">
        <f t="shared" si="53"/>
        <v>0.64</v>
      </c>
      <c r="G234" s="132">
        <f t="shared" si="53"/>
        <v>0.64</v>
      </c>
      <c r="H234" s="132">
        <f t="shared" si="53"/>
        <v>0.64</v>
      </c>
      <c r="I234" s="132">
        <f t="shared" si="53"/>
        <v>0.64</v>
      </c>
      <c r="J234" s="132">
        <f t="shared" si="53"/>
        <v>0.64</v>
      </c>
      <c r="K234" s="132">
        <f t="shared" si="53"/>
        <v>0.64</v>
      </c>
      <c r="L234" s="132">
        <f t="shared" si="53"/>
        <v>0.64</v>
      </c>
      <c r="M234" s="132">
        <f t="shared" si="53"/>
        <v>0.64</v>
      </c>
      <c r="N234" s="132">
        <f t="shared" si="53"/>
        <v>0.64</v>
      </c>
      <c r="O234" s="132">
        <f t="shared" si="53"/>
        <v>0.64</v>
      </c>
      <c r="P234" s="132">
        <f t="shared" si="53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54">SUM(B229:B234)</f>
        <v>0</v>
      </c>
      <c r="C235" s="136">
        <f t="shared" si="54"/>
        <v>3.54</v>
      </c>
      <c r="D235" s="136">
        <f t="shared" si="54"/>
        <v>3.54</v>
      </c>
      <c r="E235" s="136">
        <f t="shared" si="54"/>
        <v>3.54</v>
      </c>
      <c r="F235" s="136">
        <f t="shared" si="54"/>
        <v>3.54</v>
      </c>
      <c r="G235" s="136">
        <f t="shared" si="54"/>
        <v>3.54</v>
      </c>
      <c r="H235" s="136">
        <f t="shared" si="54"/>
        <v>3.54</v>
      </c>
      <c r="I235" s="136">
        <f t="shared" ca="1" si="54"/>
        <v>121.23900000000009</v>
      </c>
      <c r="J235" s="136">
        <f t="shared" ca="1" si="54"/>
        <v>121.23900000000009</v>
      </c>
      <c r="K235" s="136">
        <f t="shared" ca="1" si="54"/>
        <v>121.23900000000009</v>
      </c>
      <c r="L235" s="136">
        <f t="shared" ca="1" si="54"/>
        <v>125.2590000000001</v>
      </c>
      <c r="M235" s="136">
        <f t="shared" ca="1" si="54"/>
        <v>121.23900000000009</v>
      </c>
      <c r="N235" s="136">
        <f t="shared" ca="1" si="54"/>
        <v>121.23900000000009</v>
      </c>
      <c r="O235" s="136">
        <f t="shared" ca="1" si="54"/>
        <v>121.23900000000009</v>
      </c>
      <c r="P235" s="136">
        <f t="shared" ca="1" si="54"/>
        <v>121.23900000000009</v>
      </c>
      <c r="Q235" s="136">
        <f t="shared" si="54"/>
        <v>0</v>
      </c>
      <c r="R235" s="136">
        <f t="shared" si="54"/>
        <v>0</v>
      </c>
      <c r="S235" s="136">
        <f t="shared" si="54"/>
        <v>0</v>
      </c>
      <c r="T235" s="136">
        <f t="shared" si="54"/>
        <v>0</v>
      </c>
      <c r="U235" s="136">
        <f t="shared" si="54"/>
        <v>0</v>
      </c>
      <c r="V235" s="136">
        <f t="shared" si="54"/>
        <v>0</v>
      </c>
      <c r="W235" s="136">
        <f t="shared" si="54"/>
        <v>0</v>
      </c>
      <c r="X235" s="136">
        <f t="shared" si="54"/>
        <v>0</v>
      </c>
      <c r="Y235" s="136">
        <f t="shared" si="54"/>
        <v>0</v>
      </c>
      <c r="Z235" s="136">
        <f t="shared" si="54"/>
        <v>0</v>
      </c>
      <c r="AA235" s="136">
        <f t="shared" si="54"/>
        <v>0</v>
      </c>
      <c r="AB235" s="136">
        <f t="shared" si="54"/>
        <v>0</v>
      </c>
      <c r="AC235" s="136">
        <f t="shared" si="54"/>
        <v>0</v>
      </c>
      <c r="AD235" s="136">
        <f t="shared" si="54"/>
        <v>0</v>
      </c>
      <c r="AE235" s="136">
        <f t="shared" si="54"/>
        <v>0</v>
      </c>
      <c r="AF235" s="136">
        <f t="shared" si="54"/>
        <v>0</v>
      </c>
      <c r="AG235" s="145">
        <f t="shared" si="54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2010.04</v>
      </c>
      <c r="C244" s="161">
        <f>INDEX(G9:N9,1,MATCH(MAX(G91:N91),G91:N91,0))</f>
        <v>0.29166666666666669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30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2080/04/30)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2080/04/30)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55">B91</f>
        <v>1880.0400000000002</v>
      </c>
      <c r="U249" s="170">
        <f t="shared" si="55"/>
        <v>1889.74</v>
      </c>
      <c r="V249" s="170">
        <f t="shared" si="55"/>
        <v>1933.7400000000002</v>
      </c>
      <c r="W249" s="170">
        <f t="shared" si="55"/>
        <v>1888.34</v>
      </c>
      <c r="X249" s="170">
        <f t="shared" si="55"/>
        <v>1905.84</v>
      </c>
      <c r="Y249" s="170">
        <f t="shared" si="55"/>
        <v>1914.9399999999998</v>
      </c>
      <c r="Z249" s="170">
        <f t="shared" si="55"/>
        <v>1928.34</v>
      </c>
      <c r="AA249" s="170">
        <f t="shared" si="55"/>
        <v>1942.04</v>
      </c>
      <c r="AB249" s="170">
        <f t="shared" si="55"/>
        <v>1975.2399999999998</v>
      </c>
      <c r="AC249" s="170">
        <f t="shared" si="55"/>
        <v>2010.04</v>
      </c>
      <c r="AD249" s="170">
        <f t="shared" si="55"/>
        <v>1966.94</v>
      </c>
      <c r="AE249" s="170">
        <f t="shared" si="55"/>
        <v>1977.54</v>
      </c>
      <c r="AF249" s="170">
        <f t="shared" si="55"/>
        <v>1896.54</v>
      </c>
      <c r="AG249" s="170">
        <f t="shared" si="55"/>
        <v>1878.54</v>
      </c>
      <c r="AH249" s="170">
        <f t="shared" si="55"/>
        <v>1878.54</v>
      </c>
      <c r="AI249" s="170">
        <f t="shared" si="55"/>
        <v>1987.34</v>
      </c>
      <c r="AJ249" s="170">
        <f t="shared" si="55"/>
        <v>1982.54</v>
      </c>
      <c r="AK249" s="170">
        <f t="shared" si="55"/>
        <v>1950.54</v>
      </c>
      <c r="AL249" s="170">
        <f t="shared" si="55"/>
        <v>1925.7399999999998</v>
      </c>
      <c r="AM249" s="170">
        <f t="shared" si="55"/>
        <v>1926.2400000000002</v>
      </c>
      <c r="AN249" s="170">
        <f t="shared" si="55"/>
        <v>1926.44</v>
      </c>
      <c r="AO249" s="170">
        <f t="shared" si="55"/>
        <v>1897.44</v>
      </c>
      <c r="AP249" s="170">
        <f t="shared" si="55"/>
        <v>2020.6399999999999</v>
      </c>
      <c r="AQ249" s="170">
        <f t="shared" si="55"/>
        <v>2050.94</v>
      </c>
      <c r="AR249" s="170">
        <f t="shared" si="55"/>
        <v>2050.94</v>
      </c>
      <c r="AS249" s="170">
        <f t="shared" si="55"/>
        <v>3.54</v>
      </c>
      <c r="AT249" s="170">
        <f t="shared" si="55"/>
        <v>3.54</v>
      </c>
      <c r="AU249" s="170">
        <f t="shared" si="55"/>
        <v>1949.44</v>
      </c>
      <c r="AV249" s="170">
        <f t="shared" si="55"/>
        <v>2032.2400000000002</v>
      </c>
      <c r="AW249" s="170">
        <f t="shared" si="55"/>
        <v>2007.9400000000003</v>
      </c>
      <c r="AX249" s="170">
        <f t="shared" si="55"/>
        <v>1979.2400000000002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56">C234</f>
        <v>0.64</v>
      </c>
      <c r="C270" s="173">
        <f t="shared" si="56"/>
        <v>0.64</v>
      </c>
      <c r="D270" s="173">
        <f t="shared" si="56"/>
        <v>0.64</v>
      </c>
      <c r="E270" s="173">
        <f t="shared" si="56"/>
        <v>0.64</v>
      </c>
      <c r="F270" s="173">
        <f t="shared" si="56"/>
        <v>0.64</v>
      </c>
      <c r="G270" s="173">
        <f t="shared" si="56"/>
        <v>0.64</v>
      </c>
      <c r="H270" s="173">
        <f t="shared" si="56"/>
        <v>0.64</v>
      </c>
      <c r="I270" s="173">
        <f t="shared" si="56"/>
        <v>0.64</v>
      </c>
      <c r="J270" s="173">
        <f t="shared" si="56"/>
        <v>0.64</v>
      </c>
      <c r="K270" s="173">
        <f t="shared" si="56"/>
        <v>0.64</v>
      </c>
      <c r="L270" s="173">
        <f t="shared" si="56"/>
        <v>0.64</v>
      </c>
      <c r="M270" s="173">
        <f t="shared" si="56"/>
        <v>0.64</v>
      </c>
      <c r="N270" s="173">
        <f t="shared" si="56"/>
        <v>0.64</v>
      </c>
      <c r="O270" s="173">
        <f t="shared" si="56"/>
        <v>0.64</v>
      </c>
      <c r="P270" s="173">
        <f t="shared" si="56"/>
        <v>0</v>
      </c>
      <c r="Q270" s="173">
        <f t="shared" si="56"/>
        <v>0</v>
      </c>
      <c r="R270" s="173">
        <f t="shared" si="56"/>
        <v>0</v>
      </c>
      <c r="S270" s="173">
        <f t="shared" si="56"/>
        <v>0</v>
      </c>
      <c r="T270" s="173">
        <f t="shared" si="56"/>
        <v>0</v>
      </c>
      <c r="U270" s="173">
        <f t="shared" si="56"/>
        <v>0</v>
      </c>
      <c r="V270" s="173">
        <f t="shared" si="56"/>
        <v>0</v>
      </c>
      <c r="W270" s="173">
        <f t="shared" si="56"/>
        <v>0</v>
      </c>
      <c r="X270" s="173">
        <f t="shared" si="56"/>
        <v>0</v>
      </c>
      <c r="Y270" s="173">
        <f t="shared" si="56"/>
        <v>0</v>
      </c>
      <c r="Z270" s="173">
        <f t="shared" si="56"/>
        <v>0</v>
      </c>
      <c r="AA270" s="173">
        <f t="shared" si="56"/>
        <v>0</v>
      </c>
      <c r="AB270" s="173">
        <f t="shared" si="56"/>
        <v>0</v>
      </c>
      <c r="AC270" s="173">
        <f t="shared" si="56"/>
        <v>0</v>
      </c>
      <c r="AD270" s="173">
        <f t="shared" si="56"/>
        <v>0</v>
      </c>
      <c r="AE270" s="173">
        <f t="shared" si="56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57">IF(B238&lt;100,"",B238-520)</f>
        <v/>
      </c>
      <c r="C271" s="174" t="str">
        <f t="shared" si="57"/>
        <v/>
      </c>
      <c r="D271" s="174" t="str">
        <f t="shared" si="57"/>
        <v/>
      </c>
      <c r="E271" s="174" t="str">
        <f t="shared" si="57"/>
        <v/>
      </c>
      <c r="F271" s="174" t="str">
        <f t="shared" si="57"/>
        <v/>
      </c>
      <c r="G271" s="174" t="str">
        <f t="shared" si="57"/>
        <v/>
      </c>
      <c r="H271" s="174" t="str">
        <f t="shared" si="57"/>
        <v/>
      </c>
      <c r="I271" s="174" t="str">
        <f t="shared" si="57"/>
        <v/>
      </c>
      <c r="J271" s="174" t="str">
        <f t="shared" si="57"/>
        <v/>
      </c>
      <c r="K271" s="174" t="str">
        <f t="shared" si="57"/>
        <v/>
      </c>
      <c r="L271" s="174" t="str">
        <f t="shared" si="57"/>
        <v/>
      </c>
      <c r="M271" s="174" t="str">
        <f t="shared" si="57"/>
        <v/>
      </c>
      <c r="N271" s="174" t="str">
        <f t="shared" si="57"/>
        <v/>
      </c>
      <c r="O271" s="174" t="str">
        <f t="shared" si="57"/>
        <v/>
      </c>
      <c r="P271" s="174" t="str">
        <f t="shared" si="57"/>
        <v/>
      </c>
      <c r="Q271" s="174" t="str">
        <f t="shared" si="57"/>
        <v/>
      </c>
      <c r="R271" s="174" t="str">
        <f t="shared" si="57"/>
        <v/>
      </c>
      <c r="S271" s="174" t="str">
        <f t="shared" si="57"/>
        <v/>
      </c>
      <c r="T271" s="174" t="str">
        <f t="shared" si="57"/>
        <v/>
      </c>
      <c r="U271" s="174" t="str">
        <f t="shared" si="57"/>
        <v/>
      </c>
      <c r="V271" s="174" t="str">
        <f t="shared" si="57"/>
        <v/>
      </c>
      <c r="W271" s="174" t="str">
        <f t="shared" si="57"/>
        <v/>
      </c>
      <c r="X271" s="174" t="str">
        <f t="shared" si="57"/>
        <v/>
      </c>
      <c r="Y271" s="174" t="str">
        <f t="shared" si="57"/>
        <v/>
      </c>
      <c r="Z271" s="174" t="str">
        <f t="shared" si="57"/>
        <v/>
      </c>
      <c r="AA271" s="174" t="str">
        <f t="shared" si="57"/>
        <v/>
      </c>
      <c r="AB271" s="174" t="str">
        <f t="shared" si="57"/>
        <v/>
      </c>
      <c r="AC271" s="174" t="str">
        <f t="shared" si="57"/>
        <v/>
      </c>
      <c r="AD271" s="174" t="str">
        <f t="shared" si="57"/>
        <v/>
      </c>
      <c r="AE271" s="174" t="str">
        <f t="shared" si="57"/>
        <v/>
      </c>
      <c r="AF271" s="174" t="str">
        <f t="shared" si="57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58">IF(B239&lt;100,"",B239-620)</f>
        <v/>
      </c>
      <c r="C272" s="174" t="str">
        <f t="shared" si="58"/>
        <v/>
      </c>
      <c r="D272" s="174" t="str">
        <f t="shared" si="58"/>
        <v/>
      </c>
      <c r="E272" s="174" t="str">
        <f t="shared" si="58"/>
        <v/>
      </c>
      <c r="F272" s="174" t="str">
        <f t="shared" si="58"/>
        <v/>
      </c>
      <c r="G272" s="174" t="str">
        <f t="shared" si="58"/>
        <v/>
      </c>
      <c r="H272" s="174" t="str">
        <f t="shared" si="58"/>
        <v/>
      </c>
      <c r="I272" s="174" t="str">
        <f t="shared" si="58"/>
        <v/>
      </c>
      <c r="J272" s="174" t="str">
        <f t="shared" si="58"/>
        <v/>
      </c>
      <c r="K272" s="174" t="str">
        <f t="shared" si="58"/>
        <v/>
      </c>
      <c r="L272" s="174" t="str">
        <f t="shared" si="58"/>
        <v/>
      </c>
      <c r="M272" s="174" t="str">
        <f t="shared" si="58"/>
        <v/>
      </c>
      <c r="N272" s="174" t="str">
        <f t="shared" si="58"/>
        <v/>
      </c>
      <c r="O272" s="174" t="str">
        <f t="shared" si="58"/>
        <v/>
      </c>
      <c r="P272" s="174" t="str">
        <f t="shared" si="58"/>
        <v/>
      </c>
      <c r="Q272" s="174" t="str">
        <f t="shared" si="58"/>
        <v/>
      </c>
      <c r="R272" s="174" t="str">
        <f t="shared" si="58"/>
        <v/>
      </c>
      <c r="S272" s="174" t="str">
        <f t="shared" si="58"/>
        <v/>
      </c>
      <c r="T272" s="174" t="str">
        <f t="shared" si="58"/>
        <v/>
      </c>
      <c r="U272" s="174" t="str">
        <f t="shared" si="58"/>
        <v/>
      </c>
      <c r="V272" s="174" t="str">
        <f t="shared" si="58"/>
        <v/>
      </c>
      <c r="W272" s="174" t="str">
        <f t="shared" si="58"/>
        <v/>
      </c>
      <c r="X272" s="174" t="str">
        <f t="shared" si="58"/>
        <v/>
      </c>
      <c r="Y272" s="174" t="str">
        <f t="shared" si="58"/>
        <v/>
      </c>
      <c r="Z272" s="174" t="str">
        <f t="shared" si="58"/>
        <v/>
      </c>
      <c r="AA272" s="174" t="str">
        <f t="shared" si="58"/>
        <v/>
      </c>
      <c r="AB272" s="174" t="str">
        <f t="shared" si="58"/>
        <v/>
      </c>
      <c r="AC272" s="174" t="str">
        <f t="shared" si="58"/>
        <v/>
      </c>
      <c r="AD272" s="174" t="str">
        <f t="shared" si="58"/>
        <v/>
      </c>
      <c r="AE272" s="174" t="str">
        <f t="shared" si="58"/>
        <v/>
      </c>
      <c r="AF272" s="174" t="str">
        <f t="shared" si="58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59">IF(B240&lt;100,"",B240-330)</f>
        <v/>
      </c>
      <c r="C273" s="174" t="str">
        <f t="shared" si="59"/>
        <v/>
      </c>
      <c r="D273" s="174" t="str">
        <f t="shared" si="59"/>
        <v/>
      </c>
      <c r="E273" s="174" t="str">
        <f t="shared" si="59"/>
        <v/>
      </c>
      <c r="F273" s="174" t="str">
        <f t="shared" si="59"/>
        <v/>
      </c>
      <c r="G273" s="174" t="str">
        <f t="shared" si="59"/>
        <v/>
      </c>
      <c r="H273" s="174" t="str">
        <f t="shared" si="59"/>
        <v/>
      </c>
      <c r="I273" s="174" t="str">
        <f t="shared" si="59"/>
        <v/>
      </c>
      <c r="J273" s="174" t="str">
        <f t="shared" si="59"/>
        <v/>
      </c>
      <c r="K273" s="174" t="str">
        <f t="shared" si="59"/>
        <v/>
      </c>
      <c r="L273" s="174" t="str">
        <f t="shared" si="59"/>
        <v/>
      </c>
      <c r="M273" s="174" t="str">
        <f t="shared" si="59"/>
        <v/>
      </c>
      <c r="N273" s="174" t="str">
        <f t="shared" si="59"/>
        <v/>
      </c>
      <c r="O273" s="174" t="str">
        <f t="shared" si="59"/>
        <v/>
      </c>
      <c r="P273" s="174" t="str">
        <f t="shared" si="59"/>
        <v/>
      </c>
      <c r="Q273" s="174" t="str">
        <f t="shared" si="59"/>
        <v/>
      </c>
      <c r="R273" s="174" t="str">
        <f t="shared" si="59"/>
        <v/>
      </c>
      <c r="S273" s="174" t="str">
        <f t="shared" si="59"/>
        <v/>
      </c>
      <c r="T273" s="174" t="str">
        <f t="shared" si="59"/>
        <v/>
      </c>
      <c r="U273" s="174" t="str">
        <f t="shared" si="59"/>
        <v/>
      </c>
      <c r="V273" s="174" t="str">
        <f t="shared" si="59"/>
        <v/>
      </c>
      <c r="W273" s="174" t="str">
        <f t="shared" si="59"/>
        <v/>
      </c>
      <c r="X273" s="174" t="str">
        <f t="shared" si="59"/>
        <v/>
      </c>
      <c r="Y273" s="174" t="str">
        <f t="shared" si="59"/>
        <v/>
      </c>
      <c r="Z273" s="174" t="str">
        <f t="shared" si="59"/>
        <v/>
      </c>
      <c r="AA273" s="174" t="str">
        <f t="shared" si="59"/>
        <v/>
      </c>
      <c r="AB273" s="174" t="str">
        <f t="shared" si="59"/>
        <v/>
      </c>
      <c r="AC273" s="174" t="str">
        <f t="shared" si="59"/>
        <v/>
      </c>
      <c r="AD273" s="174" t="str">
        <f t="shared" si="59"/>
        <v/>
      </c>
      <c r="AE273" s="174" t="str">
        <f t="shared" si="59"/>
        <v/>
      </c>
      <c r="AF273" s="174" t="str">
        <f t="shared" si="59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60">IF(B241&lt;100,"",B241-1500)</f>
        <v/>
      </c>
      <c r="C274" s="174" t="str">
        <f t="shared" si="60"/>
        <v/>
      </c>
      <c r="D274" s="174" t="str">
        <f t="shared" si="60"/>
        <v/>
      </c>
      <c r="E274" s="174" t="str">
        <f t="shared" si="60"/>
        <v/>
      </c>
      <c r="F274" s="174" t="str">
        <f t="shared" si="60"/>
        <v/>
      </c>
      <c r="G274" s="174" t="str">
        <f t="shared" si="60"/>
        <v/>
      </c>
      <c r="H274" s="174" t="str">
        <f t="shared" si="60"/>
        <v/>
      </c>
      <c r="I274" s="174" t="str">
        <f t="shared" si="60"/>
        <v/>
      </c>
      <c r="J274" s="174" t="str">
        <f t="shared" si="60"/>
        <v/>
      </c>
      <c r="K274" s="174" t="str">
        <f t="shared" si="60"/>
        <v/>
      </c>
      <c r="L274" s="174" t="str">
        <f t="shared" si="60"/>
        <v/>
      </c>
      <c r="M274" s="174" t="str">
        <f t="shared" si="60"/>
        <v/>
      </c>
      <c r="N274" s="174" t="str">
        <f t="shared" si="60"/>
        <v/>
      </c>
      <c r="O274" s="174" t="str">
        <f t="shared" si="60"/>
        <v/>
      </c>
      <c r="P274" s="174" t="str">
        <f t="shared" si="60"/>
        <v/>
      </c>
      <c r="Q274" s="174" t="str">
        <f t="shared" si="60"/>
        <v/>
      </c>
      <c r="R274" s="174" t="str">
        <f t="shared" si="60"/>
        <v/>
      </c>
      <c r="S274" s="174" t="str">
        <f t="shared" si="60"/>
        <v/>
      </c>
      <c r="T274" s="174" t="str">
        <f t="shared" si="60"/>
        <v/>
      </c>
      <c r="U274" s="174" t="str">
        <f t="shared" si="60"/>
        <v/>
      </c>
      <c r="V274" s="174" t="str">
        <f t="shared" si="60"/>
        <v/>
      </c>
      <c r="W274" s="174" t="str">
        <f t="shared" si="60"/>
        <v/>
      </c>
      <c r="X274" s="174" t="str">
        <f t="shared" si="60"/>
        <v/>
      </c>
      <c r="Y274" s="174" t="str">
        <f t="shared" si="60"/>
        <v/>
      </c>
      <c r="Z274" s="174" t="str">
        <f t="shared" si="60"/>
        <v/>
      </c>
      <c r="AA274" s="174" t="str">
        <f t="shared" si="60"/>
        <v/>
      </c>
      <c r="AB274" s="174" t="str">
        <f t="shared" si="60"/>
        <v/>
      </c>
      <c r="AC274" s="174" t="str">
        <f t="shared" si="60"/>
        <v/>
      </c>
      <c r="AD274" s="174" t="str">
        <f t="shared" si="60"/>
        <v/>
      </c>
      <c r="AE274" s="174" t="str">
        <f t="shared" si="60"/>
        <v/>
      </c>
      <c r="AF274" s="174" t="str">
        <f t="shared" si="60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phoneticPr fontId="35" type="noConversion"/>
  <conditionalFormatting sqref="A11:A236">
    <cfRule type="expression" dxfId="3706" priority="77">
      <formula>$AH11=0</formula>
    </cfRule>
  </conditionalFormatting>
  <conditionalFormatting sqref="B8 M8 S8 AB8">
    <cfRule type="expression" dxfId="3705" priority="128">
      <formula>AND(C$9&gt;=14/24,C$9&lt;20/24)</formula>
    </cfRule>
    <cfRule type="expression" dxfId="3704" priority="129">
      <formula>AND(C$9&gt;=8/24,C$9&lt;14/24)</formula>
    </cfRule>
    <cfRule type="expression" dxfId="3703" priority="130">
      <formula>C$9&lt;8/24</formula>
    </cfRule>
  </conditionalFormatting>
  <conditionalFormatting sqref="B54:C54 B9:AF10 B11:AA49 B51:AA53 B61:AA66 S55:AA60 B77:AF91 AD73:AF76 B93:AF100 B109:AF109 B101:AA108 B111:AA120 AD111:AF120 AC49:AF49 AB26:AB66 B73:AB76 AD11:AF48 AF11:AF49 AD51:AF53 AD55:AF66 AD101:AF108">
    <cfRule type="expression" dxfId="3702" priority="51">
      <formula>B$9&gt;=20/24</formula>
    </cfRule>
    <cfRule type="expression" dxfId="3701" priority="52">
      <formula>AND(B$9&gt;=14/24,B$9&lt;20/24)</formula>
    </cfRule>
    <cfRule type="expression" dxfId="3700" priority="53">
      <formula>AND(B$9&gt;=8/24,B$9&lt;14/24)</formula>
    </cfRule>
    <cfRule type="expression" dxfId="3699" priority="54">
      <formula>B$9&lt;8/24</formula>
    </cfRule>
  </conditionalFormatting>
  <conditionalFormatting sqref="B54:C66 D55:AA66 B11:AA53 AB26:AB66 AC55:AF66 AC11:AF53">
    <cfRule type="expression" dxfId="3698" priority="46">
      <formula>B11&gt;$AG11</formula>
    </cfRule>
  </conditionalFormatting>
  <conditionalFormatting sqref="B55:D59">
    <cfRule type="expression" dxfId="3697" priority="73">
      <formula>B$9&gt;=20/24</formula>
    </cfRule>
    <cfRule type="expression" dxfId="3696" priority="74">
      <formula>AND(B$9&gt;=14/24,B$9&lt;20/24)</formula>
    </cfRule>
    <cfRule type="expression" dxfId="3695" priority="75">
      <formula>AND(B$9&gt;=8/24,B$9&lt;14/24)</formula>
    </cfRule>
    <cfRule type="expression" dxfId="3694" priority="76">
      <formula>B$9&lt;8/24</formula>
    </cfRule>
  </conditionalFormatting>
  <conditionalFormatting sqref="B60:S60">
    <cfRule type="expression" dxfId="3693" priority="64">
      <formula>B$9&gt;=20/24</formula>
    </cfRule>
    <cfRule type="expression" dxfId="3692" priority="65">
      <formula>AND(B$9&gt;=14/24,B$9&lt;20/24)</formula>
    </cfRule>
    <cfRule type="expression" dxfId="3691" priority="66">
      <formula>AND(B$9&gt;=8/24,B$9&lt;14/24)</formula>
    </cfRule>
    <cfRule type="expression" dxfId="3690" priority="67">
      <formula>B$9&lt;8/24</formula>
    </cfRule>
  </conditionalFormatting>
  <conditionalFormatting sqref="D54:AA54 AC54:AG54 B69:AF71">
    <cfRule type="expression" dxfId="3689" priority="68">
      <formula>B54&gt;$AG54</formula>
    </cfRule>
    <cfRule type="expression" dxfId="3688" priority="69">
      <formula>B$9&gt;=20/24</formula>
    </cfRule>
    <cfRule type="expression" dxfId="3687" priority="70">
      <formula>AND(B$9&gt;=14/24,B$9&lt;20/24)</formula>
    </cfRule>
    <cfRule type="expression" dxfId="3686" priority="71">
      <formula>AND(B$9&gt;=8/24,B$9&lt;14/24)</formula>
    </cfRule>
    <cfRule type="expression" dxfId="3685" priority="72">
      <formula>B$9&lt;8/24</formula>
    </cfRule>
  </conditionalFormatting>
  <conditionalFormatting sqref="B227:AF227 D229:AF230 B229:B235 D231:H231 J231:AF231 D232:AF235 U248:AF248">
    <cfRule type="expression" dxfId="3684" priority="121">
      <formula>B$9&gt;=20/24</formula>
    </cfRule>
    <cfRule type="expression" dxfId="3683" priority="122">
      <formula>AND(B$9&gt;=14/24,B$9&lt;20/24)</formula>
    </cfRule>
    <cfRule type="expression" dxfId="3682" priority="123">
      <formula>AND(B$9&gt;=8/24,B$9&lt;14/24)</formula>
    </cfRule>
    <cfRule type="expression" dxfId="3681" priority="124">
      <formula>B$9&lt;8/24</formula>
    </cfRule>
  </conditionalFormatting>
  <conditionalFormatting sqref="B72:AG72 B67:AG68">
    <cfRule type="expression" dxfId="3680" priority="55">
      <formula>B67&gt;$AG67</formula>
    </cfRule>
  </conditionalFormatting>
  <conditionalFormatting sqref="B72:AG72">
    <cfRule type="expression" dxfId="3679" priority="56">
      <formula>B$9&gt;=20/24</formula>
    </cfRule>
    <cfRule type="expression" dxfId="3678" priority="57">
      <formula>AND(B$9&gt;=14/24,B$9&lt;20/24)</formula>
    </cfRule>
    <cfRule type="expression" dxfId="3677" priority="58">
      <formula>AND(B$9&gt;=8/24,B$9&lt;14/24)</formula>
    </cfRule>
    <cfRule type="expression" dxfId="3676" priority="59">
      <formula>B$9&lt;8/24</formula>
    </cfRule>
  </conditionalFormatting>
  <conditionalFormatting sqref="E55:R57">
    <cfRule type="expression" dxfId="3675" priority="102">
      <formula>E$9&gt;=20/24</formula>
    </cfRule>
    <cfRule type="expression" dxfId="3674" priority="103">
      <formula>AND(E$9&gt;=14/24,E$9&lt;20/24)</formula>
    </cfRule>
    <cfRule type="expression" dxfId="3673" priority="104">
      <formula>AND(E$9&gt;=8/24,E$9&lt;14/24)</formula>
    </cfRule>
    <cfRule type="expression" dxfId="3672" priority="105">
      <formula>E$9&lt;8/24</formula>
    </cfRule>
  </conditionalFormatting>
  <conditionalFormatting sqref="N55:R59">
    <cfRule type="expression" dxfId="3671" priority="106">
      <formula>N$9&gt;=20/24</formula>
    </cfRule>
    <cfRule type="expression" dxfId="3670" priority="107">
      <formula>AND(N$9&gt;=14/24,N$9&lt;20/24)</formula>
    </cfRule>
    <cfRule type="expression" dxfId="3669" priority="108">
      <formula>AND(N$9&gt;=8/24,N$9&lt;14/24)</formula>
    </cfRule>
    <cfRule type="expression" dxfId="3668" priority="109">
      <formula>N$9&lt;8/24</formula>
    </cfRule>
  </conditionalFormatting>
  <conditionalFormatting sqref="O3:P3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667" priority="127">
      <formula>C$9&gt;=20/24</formula>
    </cfRule>
  </conditionalFormatting>
  <conditionalFormatting sqref="S8">
    <cfRule type="expression" dxfId="3666" priority="114">
      <formula>U$9&gt;=20/24</formula>
    </cfRule>
    <cfRule type="expression" dxfId="3665" priority="115">
      <formula>AND(U$9&gt;=14/24,U$9&lt;20/24)</formula>
    </cfRule>
    <cfRule type="expression" dxfId="3664" priority="116">
      <formula>AND(U$9&gt;=8/24,U$9&lt;14/24)</formula>
    </cfRule>
    <cfRule type="expression" dxfId="3663" priority="117">
      <formula>U$9&lt;8/24</formula>
    </cfRule>
  </conditionalFormatting>
  <conditionalFormatting sqref="T248">
    <cfRule type="expression" dxfId="3662" priority="139">
      <formula>AX$9&gt;=20/24</formula>
    </cfRule>
    <cfRule type="expression" dxfId="3661" priority="140">
      <formula>AND(AX$9&gt;=14/24,AX$9&lt;20/24)</formula>
    </cfRule>
    <cfRule type="expression" dxfId="3660" priority="141">
      <formula>AND(AX$9&gt;=8/24,AX$9&lt;14/24)</formula>
    </cfRule>
    <cfRule type="expression" dxfId="3659" priority="142">
      <formula>AX$9&lt;8/24</formula>
    </cfRule>
  </conditionalFormatting>
  <conditionalFormatting sqref="V3 AB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658" priority="110">
      <formula>AD$9&gt;=20/24</formula>
    </cfRule>
    <cfRule type="expression" dxfId="3657" priority="111">
      <formula>AND(AD$9&gt;=14/24,AD$9&lt;20/24)</formula>
    </cfRule>
    <cfRule type="expression" dxfId="3656" priority="112">
      <formula>AND(AD$9&gt;=8/24,AD$9&lt;14/24)</formula>
    </cfRule>
    <cfRule type="expression" dxfId="3655" priority="113">
      <formula>AD$9&lt;8/24</formula>
    </cfRule>
  </conditionalFormatting>
  <conditionalFormatting sqref="AE61:AF66">
    <cfRule type="expression" dxfId="3654" priority="19">
      <formula>AE$9&gt;=20/24</formula>
    </cfRule>
    <cfRule type="expression" dxfId="3653" priority="20">
      <formula>AND(AE$9&gt;=14/24,AE$9&lt;20/24)</formula>
    </cfRule>
    <cfRule type="expression" dxfId="3652" priority="21">
      <formula>AND(AE$9&gt;=8/24,AE$9&lt;14/24)</formula>
    </cfRule>
    <cfRule type="expression" dxfId="3651" priority="22">
      <formula>AE$9&lt;8/24</formula>
    </cfRule>
  </conditionalFormatting>
  <conditionalFormatting sqref="AG50">
    <cfRule type="expression" dxfId="3650" priority="97">
      <formula>AG50&gt;$AG50</formula>
    </cfRule>
  </conditionalFormatting>
  <conditionalFormatting sqref="AG89">
    <cfRule type="expression" dxfId="3649" priority="98">
      <formula>AG$9&gt;=20/24</formula>
    </cfRule>
    <cfRule type="expression" dxfId="3648" priority="99">
      <formula>AND(AG$9&gt;=14/24,AG$9&lt;20/24)</formula>
    </cfRule>
    <cfRule type="expression" dxfId="3647" priority="100">
      <formula>AND(AG$9&gt;=8/24,AG$9&lt;14/24)</formula>
    </cfRule>
    <cfRule type="expression" dxfId="3646" priority="101">
      <formula>AG$9&lt;8/24</formula>
    </cfRule>
  </conditionalFormatting>
  <conditionalFormatting sqref="AG248">
    <cfRule type="expression" dxfId="3645" priority="131">
      <formula>B$9&gt;=20/24</formula>
    </cfRule>
    <cfRule type="expression" dxfId="3644" priority="132">
      <formula>AND(B$9&gt;=14/24,B$9&lt;20/24)</formula>
    </cfRule>
    <cfRule type="expression" dxfId="3643" priority="133">
      <formula>AND(B$9&gt;=8/24,B$9&lt;14/24)</formula>
    </cfRule>
    <cfRule type="expression" dxfId="3642" priority="134">
      <formula>B$9&lt;8/24</formula>
    </cfRule>
  </conditionalFormatting>
  <conditionalFormatting sqref="AH248:AX248 AC55:AC66 AC73:AC76 AC101:AC108 AC111:AC120 AC11:AD48 AD61:AF66 AE11:AF11 AE13:AF13 AE18:AF48 AC51:AF53">
    <cfRule type="expression" dxfId="3641" priority="135">
      <formula>AB$9&gt;=20/24</formula>
    </cfRule>
    <cfRule type="expression" dxfId="3640" priority="136">
      <formula>AND(AB$9&gt;=14/24,AB$9&lt;20/24)</formula>
    </cfRule>
    <cfRule type="expression" dxfId="3639" priority="137">
      <formula>AND(AB$9&gt;=8/24,AB$9&lt;14/24)</formula>
    </cfRule>
    <cfRule type="expression" dxfId="3638" priority="138">
      <formula>AB$9&lt;8/24</formula>
    </cfRule>
  </conditionalFormatting>
  <conditionalFormatting sqref="AL4:AL6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95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79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94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9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9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637" priority="144">
      <formula>AJ$9&gt;=20/24</formula>
    </cfRule>
    <cfRule type="expression" dxfId="3636" priority="145">
      <formula>AND(AJ$9&gt;=14/24,AJ$9&lt;20/24)</formula>
    </cfRule>
    <cfRule type="expression" dxfId="3635" priority="146">
      <formula>AND(AJ$9&gt;=8/24,AJ$9&lt;14/24)</formula>
    </cfRule>
    <cfRule type="expression" dxfId="3634" priority="147">
      <formula>AJ$9&lt;8/24</formula>
    </cfRule>
  </conditionalFormatting>
  <conditionalFormatting sqref="AL80:AN80 AL86:AN86">
    <cfRule type="expression" dxfId="3633" priority="85">
      <formula>AL$9&gt;=20/24</formula>
    </cfRule>
    <cfRule type="expression" dxfId="3632" priority="86">
      <formula>AND(AL$9&gt;=14/24,AL$9&lt;20/24)</formula>
    </cfRule>
    <cfRule type="expression" dxfId="3631" priority="87">
      <formula>AND(AL$9&gt;=8/24,AL$9&lt;14/24)</formula>
    </cfRule>
    <cfRule type="expression" dxfId="3630" priority="88">
      <formula>AL$9&lt;8/24</formula>
    </cfRule>
  </conditionalFormatting>
  <conditionalFormatting sqref="AN81:AN84">
    <cfRule type="expression" dxfId="3629" priority="81">
      <formula>AN$9&gt;=20/24</formula>
    </cfRule>
    <cfRule type="expression" dxfId="3628" priority="82">
      <formula>AND(AN$9&gt;=14/24,AN$9&lt;20/24)</formula>
    </cfRule>
    <cfRule type="expression" dxfId="3627" priority="83">
      <formula>AND(AN$9&gt;=8/24,AN$9&lt;14/24)</formula>
    </cfRule>
    <cfRule type="expression" dxfId="3626" priority="84">
      <formula>AN$9&lt;8/24</formula>
    </cfRule>
  </conditionalFormatting>
  <conditionalFormatting sqref="AB101:AB108">
    <cfRule type="expression" dxfId="3625" priority="10">
      <formula>AB$9&gt;=20/24</formula>
    </cfRule>
    <cfRule type="expression" dxfId="3624" priority="11">
      <formula>AND(AB$9&gt;=14/24,AB$9&lt;20/24)</formula>
    </cfRule>
    <cfRule type="expression" dxfId="3623" priority="12">
      <formula>AND(AB$9&gt;=8/24,AB$9&lt;14/24)</formula>
    </cfRule>
    <cfRule type="expression" dxfId="3622" priority="13">
      <formula>AB$9&lt;8/24</formula>
    </cfRule>
  </conditionalFormatting>
  <conditionalFormatting sqref="AB111:AB120">
    <cfRule type="expression" dxfId="3621" priority="6">
      <formula>AB$9&gt;=20/24</formula>
    </cfRule>
    <cfRule type="expression" dxfId="3620" priority="7">
      <formula>AND(AB$9&gt;=14/24,AB$9&lt;20/24)</formula>
    </cfRule>
    <cfRule type="expression" dxfId="3619" priority="8">
      <formula>AND(AB$9&gt;=8/24,AB$9&lt;14/24)</formula>
    </cfRule>
    <cfRule type="expression" dxfId="3618" priority="9">
      <formula>AB$9&lt;8/24</formula>
    </cfRule>
  </conditionalFormatting>
  <conditionalFormatting sqref="AB11:AB25">
    <cfRule type="expression" dxfId="3617" priority="2">
      <formula>AB$9&gt;=20/24</formula>
    </cfRule>
    <cfRule type="expression" dxfId="3616" priority="3">
      <formula>AND(AB$9&gt;=14/24,AB$9&lt;20/24)</formula>
    </cfRule>
    <cfRule type="expression" dxfId="3615" priority="4">
      <formula>AND(AB$9&gt;=8/24,AB$9&lt;14/24)</formula>
    </cfRule>
    <cfRule type="expression" dxfId="3614" priority="5">
      <formula>AB$9&lt;8/24</formula>
    </cfRule>
  </conditionalFormatting>
  <conditionalFormatting sqref="AB11:AB25">
    <cfRule type="expression" dxfId="3613" priority="1">
      <formula>AB11&gt;$AG11</formula>
    </cfRule>
  </conditionalFormatting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F60E-922E-4F54-888B-7894C23EDFE5}">
  <dimension ref="A1:CJ281"/>
  <sheetViews>
    <sheetView zoomScaleNormal="100" workbookViewId="0">
      <pane xSplit="1" ySplit="10" topLeftCell="K70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D75" sqref="AD75:AF7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2080/04/31</v>
      </c>
      <c r="C4" s="203"/>
      <c r="D4" s="203"/>
      <c r="E4" s="204" t="str">
        <f ca="1">"2079/"&amp;"12/"&amp;INT(MID(CELL("filename",G6),FIND("]",CELL("filename",G6))+1,200))</f>
        <v>2079/12/31</v>
      </c>
      <c r="F4" s="204"/>
      <c r="G4" s="204"/>
      <c r="H4" s="204" t="str">
        <f ca="1">TEXT(E4,"dddd")</f>
        <v>Sunday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1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1.7</v>
      </c>
      <c r="M5" s="30">
        <f t="shared" si="0"/>
        <v>0</v>
      </c>
      <c r="N5" s="30">
        <f t="shared" si="0"/>
        <v>0</v>
      </c>
      <c r="O5" s="30">
        <f t="shared" si="0"/>
        <v>5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4.3</v>
      </c>
      <c r="T5" s="30">
        <f t="shared" si="0"/>
        <v>6</v>
      </c>
      <c r="U5" s="30">
        <f t="shared" si="0"/>
        <v>6</v>
      </c>
      <c r="V5" s="30">
        <f t="shared" si="0"/>
        <v>6</v>
      </c>
      <c r="W5" s="30">
        <f t="shared" si="0"/>
        <v>6</v>
      </c>
      <c r="X5" s="30">
        <f t="shared" si="0"/>
        <v>7.7</v>
      </c>
      <c r="Y5" s="30">
        <f t="shared" si="0"/>
        <v>41.7</v>
      </c>
      <c r="Z5" s="30">
        <f t="shared" si="0"/>
        <v>45.8</v>
      </c>
      <c r="AA5" s="30">
        <f t="shared" si="0"/>
        <v>55.2</v>
      </c>
      <c r="AB5" s="30">
        <f t="shared" si="0"/>
        <v>53.2</v>
      </c>
      <c r="AC5" s="30">
        <f t="shared" si="0"/>
        <v>21</v>
      </c>
      <c r="AD5" s="30">
        <f t="shared" si="0"/>
        <v>18.100000000000001</v>
      </c>
      <c r="AE5" s="30">
        <f t="shared" si="0"/>
        <v>9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2003MW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Load=1907</v>
      </c>
      <c r="B7" s="35">
        <f t="shared" ref="B7:AF7" si="1">B91</f>
        <v>1970.84</v>
      </c>
      <c r="C7" s="35">
        <f t="shared" si="1"/>
        <v>1966.84</v>
      </c>
      <c r="D7" s="35">
        <f t="shared" si="1"/>
        <v>1947.64</v>
      </c>
      <c r="E7" s="35">
        <f t="shared" si="1"/>
        <v>1947.94</v>
      </c>
      <c r="F7" s="35">
        <f t="shared" si="1"/>
        <v>1937.1399999999999</v>
      </c>
      <c r="G7" s="35">
        <f t="shared" si="1"/>
        <v>1934.6399999999999</v>
      </c>
      <c r="H7" s="35">
        <f t="shared" si="1"/>
        <v>1941.1399999999999</v>
      </c>
      <c r="I7" s="35">
        <f t="shared" si="1"/>
        <v>1958.54</v>
      </c>
      <c r="J7" s="35">
        <f t="shared" si="1"/>
        <v>1982.94</v>
      </c>
      <c r="K7" s="35">
        <f t="shared" si="1"/>
        <v>2002.54</v>
      </c>
      <c r="L7" s="35">
        <f t="shared" si="1"/>
        <v>1957.04</v>
      </c>
      <c r="M7" s="35">
        <f t="shared" si="1"/>
        <v>1980.74</v>
      </c>
      <c r="N7" s="35">
        <f>N91</f>
        <v>1907.1399999999999</v>
      </c>
      <c r="O7" s="35">
        <f t="shared" si="1"/>
        <v>1906.94</v>
      </c>
      <c r="P7" s="35">
        <f t="shared" si="1"/>
        <v>1928.8400000000001</v>
      </c>
      <c r="Q7" s="35">
        <f t="shared" si="1"/>
        <v>1956.8400000000001</v>
      </c>
      <c r="R7" s="35">
        <f t="shared" si="1"/>
        <v>1958.24</v>
      </c>
      <c r="S7" s="35">
        <f t="shared" si="1"/>
        <v>1935.04</v>
      </c>
      <c r="T7" s="35">
        <f t="shared" si="1"/>
        <v>1924.04</v>
      </c>
      <c r="U7" s="35">
        <f t="shared" si="1"/>
        <v>1941.04</v>
      </c>
      <c r="V7" s="35">
        <f t="shared" si="1"/>
        <v>1917.14</v>
      </c>
      <c r="W7" s="35">
        <f t="shared" si="1"/>
        <v>1922.04</v>
      </c>
      <c r="X7" s="35">
        <f t="shared" si="1"/>
        <v>1926.54</v>
      </c>
      <c r="Y7" s="35">
        <f t="shared" si="1"/>
        <v>1937.84</v>
      </c>
      <c r="Z7" s="35">
        <f t="shared" si="1"/>
        <v>1968.34</v>
      </c>
      <c r="AA7" s="35">
        <f t="shared" si="1"/>
        <v>2137.14</v>
      </c>
      <c r="AB7" s="35">
        <f t="shared" si="1"/>
        <v>2172.2399999999998</v>
      </c>
      <c r="AC7" s="35">
        <f t="shared" si="1"/>
        <v>2162.2399999999998</v>
      </c>
      <c r="AD7" s="35">
        <f t="shared" si="1"/>
        <v>2074.14</v>
      </c>
      <c r="AE7" s="35">
        <f t="shared" si="1"/>
        <v>2065.84</v>
      </c>
      <c r="AF7" s="35">
        <f t="shared" si="1"/>
        <v>2020.34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90.2</v>
      </c>
      <c r="C11" s="45">
        <v>90.2</v>
      </c>
      <c r="D11" s="45">
        <v>90.2</v>
      </c>
      <c r="E11" s="45">
        <v>90.2</v>
      </c>
      <c r="F11" s="45">
        <v>90.2</v>
      </c>
      <c r="G11" s="45">
        <v>90.2</v>
      </c>
      <c r="H11" s="45">
        <v>90.2</v>
      </c>
      <c r="I11" s="45">
        <v>90.2</v>
      </c>
      <c r="J11" s="45">
        <v>90.2</v>
      </c>
      <c r="K11" s="45">
        <v>90.2</v>
      </c>
      <c r="L11" s="45">
        <v>90.2</v>
      </c>
      <c r="M11" s="45">
        <v>90.2</v>
      </c>
      <c r="N11" s="45">
        <v>90.2</v>
      </c>
      <c r="O11" s="45">
        <v>90.2</v>
      </c>
      <c r="P11" s="45">
        <v>90.2</v>
      </c>
      <c r="Q11" s="45">
        <v>90.2</v>
      </c>
      <c r="R11" s="45">
        <v>90.2</v>
      </c>
      <c r="S11" s="45">
        <v>90.2</v>
      </c>
      <c r="T11" s="45">
        <v>90.2</v>
      </c>
      <c r="U11" s="45">
        <v>90.2</v>
      </c>
      <c r="V11" s="45">
        <v>90.2</v>
      </c>
      <c r="W11" s="45">
        <v>90.2</v>
      </c>
      <c r="X11" s="45">
        <v>90.2</v>
      </c>
      <c r="Y11" s="45">
        <v>90.2</v>
      </c>
      <c r="Z11" s="45">
        <v>90.2</v>
      </c>
      <c r="AA11" s="45">
        <v>90.2</v>
      </c>
      <c r="AB11" s="45">
        <v>90.6</v>
      </c>
      <c r="AC11" s="45">
        <v>90.6</v>
      </c>
      <c r="AD11" s="45">
        <v>90.6</v>
      </c>
      <c r="AE11" s="45">
        <v>90.6</v>
      </c>
      <c r="AF11" s="45">
        <v>90.6</v>
      </c>
      <c r="AG11" s="46">
        <v>86</v>
      </c>
      <c r="AH11" s="47">
        <f t="shared" ref="AH11:AH76" si="2">MAX(B11:AF11)</f>
        <v>90.6</v>
      </c>
      <c r="AI11" s="48">
        <f t="shared" ref="AI11:AI76" si="3">MIN(B11:AF11)</f>
        <v>90.2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10</v>
      </c>
      <c r="C12" s="45">
        <v>10</v>
      </c>
      <c r="D12" s="45">
        <v>7</v>
      </c>
      <c r="E12" s="45">
        <v>7</v>
      </c>
      <c r="F12" s="45">
        <v>7</v>
      </c>
      <c r="G12" s="45">
        <v>7</v>
      </c>
      <c r="H12" s="45">
        <v>7</v>
      </c>
      <c r="I12" s="45">
        <v>7</v>
      </c>
      <c r="J12" s="45">
        <v>13</v>
      </c>
      <c r="K12" s="45">
        <v>13</v>
      </c>
      <c r="L12" s="45">
        <v>13</v>
      </c>
      <c r="M12" s="45">
        <v>13</v>
      </c>
      <c r="N12" s="45">
        <v>13</v>
      </c>
      <c r="O12" s="45">
        <v>13</v>
      </c>
      <c r="P12" s="45">
        <v>13</v>
      </c>
      <c r="Q12" s="45">
        <v>13</v>
      </c>
      <c r="R12" s="45">
        <v>13</v>
      </c>
      <c r="S12" s="45">
        <v>13</v>
      </c>
      <c r="T12" s="45">
        <v>13</v>
      </c>
      <c r="U12" s="45">
        <v>13</v>
      </c>
      <c r="V12" s="45">
        <v>13</v>
      </c>
      <c r="W12" s="45">
        <v>13</v>
      </c>
      <c r="X12" s="45">
        <v>13</v>
      </c>
      <c r="Y12" s="45">
        <v>13</v>
      </c>
      <c r="Z12" s="45">
        <v>13</v>
      </c>
      <c r="AA12" s="45">
        <v>13</v>
      </c>
      <c r="AB12" s="45">
        <v>13</v>
      </c>
      <c r="AC12" s="45">
        <v>13</v>
      </c>
      <c r="AD12" s="45">
        <v>13</v>
      </c>
      <c r="AE12" s="45">
        <v>13</v>
      </c>
      <c r="AF12" s="45">
        <v>13</v>
      </c>
      <c r="AG12" s="49">
        <v>54</v>
      </c>
      <c r="AH12" s="47">
        <f t="shared" si="2"/>
        <v>13</v>
      </c>
      <c r="AI12" s="48">
        <f t="shared" si="3"/>
        <v>7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54.8</v>
      </c>
      <c r="C13" s="45">
        <v>54.8</v>
      </c>
      <c r="D13" s="45">
        <v>54.8</v>
      </c>
      <c r="E13" s="45">
        <v>54.8</v>
      </c>
      <c r="F13" s="45">
        <v>54.8</v>
      </c>
      <c r="G13" s="45">
        <v>54.8</v>
      </c>
      <c r="H13" s="45">
        <v>54.8</v>
      </c>
      <c r="I13" s="45">
        <v>54.8</v>
      </c>
      <c r="J13" s="45">
        <v>54.8</v>
      </c>
      <c r="K13" s="45">
        <v>54.8</v>
      </c>
      <c r="L13" s="45">
        <v>54.8</v>
      </c>
      <c r="M13" s="45">
        <v>54.8</v>
      </c>
      <c r="N13" s="45">
        <v>54.8</v>
      </c>
      <c r="O13" s="45">
        <v>54.8</v>
      </c>
      <c r="P13" s="45">
        <v>54.8</v>
      </c>
      <c r="Q13" s="45">
        <v>54.8</v>
      </c>
      <c r="R13" s="45">
        <v>54.8</v>
      </c>
      <c r="S13" s="45">
        <v>54.8</v>
      </c>
      <c r="T13" s="45">
        <v>54.8</v>
      </c>
      <c r="U13" s="45">
        <v>54.8</v>
      </c>
      <c r="V13" s="45">
        <v>54.8</v>
      </c>
      <c r="W13" s="45">
        <v>54.8</v>
      </c>
      <c r="X13" s="45">
        <v>54.8</v>
      </c>
      <c r="Y13" s="45">
        <v>54.8</v>
      </c>
      <c r="Z13" s="45">
        <v>54.8</v>
      </c>
      <c r="AA13" s="45">
        <v>54.8</v>
      </c>
      <c r="AB13" s="45">
        <v>54.7</v>
      </c>
      <c r="AC13" s="45">
        <v>54.7</v>
      </c>
      <c r="AD13" s="45">
        <v>54.7</v>
      </c>
      <c r="AE13" s="45">
        <v>54.7</v>
      </c>
      <c r="AF13" s="45">
        <v>54.7</v>
      </c>
      <c r="AG13" s="46">
        <v>52.4</v>
      </c>
      <c r="AH13" s="47">
        <f t="shared" si="2"/>
        <v>54.8</v>
      </c>
      <c r="AI13" s="48">
        <f t="shared" si="3"/>
        <v>54.7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50.4</v>
      </c>
      <c r="C14" s="58">
        <v>50.4</v>
      </c>
      <c r="D14" s="58">
        <v>50.4</v>
      </c>
      <c r="E14" s="58">
        <v>50.4</v>
      </c>
      <c r="F14" s="58">
        <v>50.4</v>
      </c>
      <c r="G14" s="58">
        <v>50.4</v>
      </c>
      <c r="H14" s="58">
        <v>50.4</v>
      </c>
      <c r="I14" s="58">
        <v>50.4</v>
      </c>
      <c r="J14" s="58">
        <v>50.4</v>
      </c>
      <c r="K14" s="58">
        <v>50.4</v>
      </c>
      <c r="L14" s="58">
        <v>50.4</v>
      </c>
      <c r="M14" s="58">
        <v>50.4</v>
      </c>
      <c r="N14" s="58">
        <v>50.4</v>
      </c>
      <c r="O14" s="58">
        <v>50.4</v>
      </c>
      <c r="P14" s="58">
        <v>50.4</v>
      </c>
      <c r="Q14" s="58">
        <v>50.4</v>
      </c>
      <c r="R14" s="58">
        <v>50.4</v>
      </c>
      <c r="S14" s="58">
        <v>50.4</v>
      </c>
      <c r="T14" s="58">
        <v>50.4</v>
      </c>
      <c r="U14" s="58">
        <v>50.4</v>
      </c>
      <c r="V14" s="58">
        <v>50.4</v>
      </c>
      <c r="W14" s="58">
        <v>50.4</v>
      </c>
      <c r="X14" s="58">
        <v>50.4</v>
      </c>
      <c r="Y14" s="58">
        <v>50.4</v>
      </c>
      <c r="Z14" s="58">
        <v>50.4</v>
      </c>
      <c r="AA14" s="45">
        <v>50.4</v>
      </c>
      <c r="AB14" s="45">
        <v>50.6</v>
      </c>
      <c r="AC14" s="45">
        <v>50.6</v>
      </c>
      <c r="AD14" s="45">
        <v>50.6</v>
      </c>
      <c r="AE14" s="45">
        <v>50.6</v>
      </c>
      <c r="AF14" s="45">
        <v>50.6</v>
      </c>
      <c r="AG14" s="49">
        <v>50</v>
      </c>
      <c r="AH14" s="47">
        <f t="shared" si="2"/>
        <v>50.6</v>
      </c>
      <c r="AI14" s="48">
        <f t="shared" si="3"/>
        <v>50.4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38.200000000000003</v>
      </c>
      <c r="C15" s="45">
        <v>38.200000000000003</v>
      </c>
      <c r="D15" s="45">
        <v>38.200000000000003</v>
      </c>
      <c r="E15" s="45">
        <v>38.200000000000003</v>
      </c>
      <c r="F15" s="45">
        <v>38.200000000000003</v>
      </c>
      <c r="G15" s="45">
        <v>38.200000000000003</v>
      </c>
      <c r="H15" s="45">
        <v>38.200000000000003</v>
      </c>
      <c r="I15" s="45">
        <v>38.200000000000003</v>
      </c>
      <c r="J15" s="45">
        <v>38.200000000000003</v>
      </c>
      <c r="K15" s="45">
        <v>38.200000000000003</v>
      </c>
      <c r="L15" s="45">
        <v>38.200000000000003</v>
      </c>
      <c r="M15" s="45">
        <v>38.200000000000003</v>
      </c>
      <c r="N15" s="45">
        <v>38.200000000000003</v>
      </c>
      <c r="O15" s="45">
        <v>38.200000000000003</v>
      </c>
      <c r="P15" s="45">
        <v>38.200000000000003</v>
      </c>
      <c r="Q15" s="45">
        <v>38.200000000000003</v>
      </c>
      <c r="R15" s="45">
        <v>38.200000000000003</v>
      </c>
      <c r="S15" s="45">
        <v>38.200000000000003</v>
      </c>
      <c r="T15" s="45">
        <v>38.200000000000003</v>
      </c>
      <c r="U15" s="45">
        <v>38.200000000000003</v>
      </c>
      <c r="V15" s="45">
        <v>38.200000000000003</v>
      </c>
      <c r="W15" s="45">
        <v>38.200000000000003</v>
      </c>
      <c r="X15" s="45">
        <v>38.200000000000003</v>
      </c>
      <c r="Y15" s="45">
        <v>38.200000000000003</v>
      </c>
      <c r="Z15" s="45">
        <v>38.200000000000003</v>
      </c>
      <c r="AA15" s="45">
        <v>46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</v>
      </c>
      <c r="AI15" s="48">
        <f t="shared" si="3"/>
        <v>38.200000000000003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29</v>
      </c>
      <c r="C17" s="45">
        <v>29</v>
      </c>
      <c r="D17" s="45">
        <v>29</v>
      </c>
      <c r="E17" s="45">
        <v>29</v>
      </c>
      <c r="F17" s="45">
        <v>29</v>
      </c>
      <c r="G17" s="45">
        <v>29</v>
      </c>
      <c r="H17" s="45">
        <v>26</v>
      </c>
      <c r="I17" s="45">
        <v>26</v>
      </c>
      <c r="J17" s="45">
        <v>27</v>
      </c>
      <c r="K17" s="45">
        <v>27</v>
      </c>
      <c r="L17" s="45">
        <v>27</v>
      </c>
      <c r="M17" s="45">
        <v>27</v>
      </c>
      <c r="N17" s="45">
        <v>27</v>
      </c>
      <c r="O17" s="45">
        <v>27</v>
      </c>
      <c r="P17" s="45">
        <v>28.5</v>
      </c>
      <c r="Q17" s="45">
        <v>28.5</v>
      </c>
      <c r="R17" s="45">
        <v>28.5</v>
      </c>
      <c r="S17" s="45">
        <v>28.5</v>
      </c>
      <c r="T17" s="45">
        <v>28.5</v>
      </c>
      <c r="U17" s="45">
        <v>28.5</v>
      </c>
      <c r="V17" s="45">
        <v>28.5</v>
      </c>
      <c r="W17" s="45">
        <v>28.5</v>
      </c>
      <c r="X17" s="45">
        <v>28.5</v>
      </c>
      <c r="Y17" s="45">
        <v>28.5</v>
      </c>
      <c r="Z17" s="45">
        <v>28.5</v>
      </c>
      <c r="AA17" s="45">
        <v>35</v>
      </c>
      <c r="AB17" s="45">
        <v>33</v>
      </c>
      <c r="AC17" s="45">
        <v>33</v>
      </c>
      <c r="AD17" s="45">
        <v>33</v>
      </c>
      <c r="AE17" s="45">
        <v>33</v>
      </c>
      <c r="AF17" s="45">
        <v>33</v>
      </c>
      <c r="AG17" s="49">
        <v>42</v>
      </c>
      <c r="AH17" s="47">
        <f t="shared" si="2"/>
        <v>35</v>
      </c>
      <c r="AI17" s="48">
        <f t="shared" si="3"/>
        <v>26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12</v>
      </c>
      <c r="N19" s="45">
        <v>24</v>
      </c>
      <c r="O19" s="45">
        <v>24</v>
      </c>
      <c r="P19" s="45">
        <v>24</v>
      </c>
      <c r="Q19" s="45">
        <v>24</v>
      </c>
      <c r="R19" s="45">
        <v>24</v>
      </c>
      <c r="S19" s="45">
        <v>24</v>
      </c>
      <c r="T19" s="45">
        <v>24</v>
      </c>
      <c r="U19" s="45">
        <v>24</v>
      </c>
      <c r="V19" s="45">
        <v>24</v>
      </c>
      <c r="W19" s="45">
        <v>24</v>
      </c>
      <c r="X19" s="45">
        <v>24</v>
      </c>
      <c r="Y19" s="45">
        <v>24</v>
      </c>
      <c r="Z19" s="45">
        <v>24</v>
      </c>
      <c r="AA19" s="45">
        <v>24</v>
      </c>
      <c r="AB19" s="45">
        <v>36</v>
      </c>
      <c r="AC19" s="45">
        <v>36</v>
      </c>
      <c r="AD19" s="45">
        <v>36</v>
      </c>
      <c r="AE19" s="45">
        <v>36</v>
      </c>
      <c r="AF19" s="45">
        <v>0</v>
      </c>
      <c r="AG19" s="49">
        <v>36</v>
      </c>
      <c r="AH19" s="47">
        <f t="shared" si="2"/>
        <v>36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5.4</v>
      </c>
      <c r="C20" s="45">
        <v>5.4</v>
      </c>
      <c r="D20" s="45">
        <v>5.8</v>
      </c>
      <c r="E20" s="45">
        <v>5.8</v>
      </c>
      <c r="F20" s="45">
        <v>5.8</v>
      </c>
      <c r="G20" s="45">
        <v>5.8</v>
      </c>
      <c r="H20" s="45">
        <v>5.8</v>
      </c>
      <c r="I20" s="45">
        <v>5.8</v>
      </c>
      <c r="J20" s="45">
        <v>10.8</v>
      </c>
      <c r="K20" s="45">
        <v>10.8</v>
      </c>
      <c r="L20" s="45">
        <v>5</v>
      </c>
      <c r="M20" s="45">
        <v>5</v>
      </c>
      <c r="N20" s="45">
        <v>5</v>
      </c>
      <c r="O20" s="45">
        <v>5</v>
      </c>
      <c r="P20" s="45">
        <v>5</v>
      </c>
      <c r="Q20" s="45">
        <v>5</v>
      </c>
      <c r="R20" s="45">
        <v>5.8</v>
      </c>
      <c r="S20" s="45">
        <v>5.8</v>
      </c>
      <c r="T20" s="45">
        <v>5.8</v>
      </c>
      <c r="U20" s="45">
        <v>5.8</v>
      </c>
      <c r="V20" s="45">
        <v>5.8</v>
      </c>
      <c r="W20" s="45">
        <v>5.8</v>
      </c>
      <c r="X20" s="45">
        <v>5.8</v>
      </c>
      <c r="Y20" s="45">
        <v>15.9</v>
      </c>
      <c r="Z20" s="45">
        <v>15.9</v>
      </c>
      <c r="AA20" s="45">
        <v>25</v>
      </c>
      <c r="AB20" s="45">
        <v>20.7</v>
      </c>
      <c r="AC20" s="45">
        <v>20.7</v>
      </c>
      <c r="AD20" s="45">
        <v>20.7</v>
      </c>
      <c r="AE20" s="45">
        <v>13</v>
      </c>
      <c r="AF20" s="45">
        <v>13</v>
      </c>
      <c r="AG20" s="51">
        <v>30</v>
      </c>
      <c r="AH20" s="47">
        <f t="shared" si="2"/>
        <v>25</v>
      </c>
      <c r="AI20" s="48">
        <f t="shared" si="3"/>
        <v>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29.9</v>
      </c>
      <c r="C21" s="45">
        <v>29.9</v>
      </c>
      <c r="D21" s="45">
        <v>29.9</v>
      </c>
      <c r="E21" s="45">
        <v>29.9</v>
      </c>
      <c r="F21" s="45">
        <v>25.9</v>
      </c>
      <c r="G21" s="45">
        <v>25.9</v>
      </c>
      <c r="H21" s="45">
        <v>25.9</v>
      </c>
      <c r="I21" s="45">
        <v>25.9</v>
      </c>
      <c r="J21" s="45">
        <v>25.9</v>
      </c>
      <c r="K21" s="45">
        <v>25.9</v>
      </c>
      <c r="L21" s="45">
        <v>25.9</v>
      </c>
      <c r="M21" s="45">
        <v>25.9</v>
      </c>
      <c r="N21" s="45">
        <v>20</v>
      </c>
      <c r="O21" s="45">
        <v>20</v>
      </c>
      <c r="P21" s="45">
        <v>22</v>
      </c>
      <c r="Q21" s="45">
        <v>22</v>
      </c>
      <c r="R21" s="45">
        <v>22</v>
      </c>
      <c r="S21" s="45">
        <v>22</v>
      </c>
      <c r="T21" s="45">
        <v>22</v>
      </c>
      <c r="U21" s="45">
        <v>22</v>
      </c>
      <c r="V21" s="45">
        <v>22</v>
      </c>
      <c r="W21" s="45">
        <v>22</v>
      </c>
      <c r="X21" s="45">
        <v>22</v>
      </c>
      <c r="Y21" s="45">
        <v>22</v>
      </c>
      <c r="Z21" s="45">
        <v>22</v>
      </c>
      <c r="AA21" s="45">
        <v>22</v>
      </c>
      <c r="AB21" s="45">
        <v>24.8</v>
      </c>
      <c r="AC21" s="45">
        <v>24.8</v>
      </c>
      <c r="AD21" s="45">
        <v>24.8</v>
      </c>
      <c r="AE21" s="45">
        <v>24.8</v>
      </c>
      <c r="AF21" s="45">
        <v>24.8</v>
      </c>
      <c r="AG21" s="49">
        <v>24.2</v>
      </c>
      <c r="AH21" s="47">
        <f t="shared" si="2"/>
        <v>29.9</v>
      </c>
      <c r="AI21" s="48">
        <f t="shared" si="3"/>
        <v>20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28.4</v>
      </c>
      <c r="C22" s="45">
        <v>28.4</v>
      </c>
      <c r="D22" s="45">
        <v>28.4</v>
      </c>
      <c r="E22" s="45">
        <v>28.4</v>
      </c>
      <c r="F22" s="45">
        <v>28.4</v>
      </c>
      <c r="G22" s="45">
        <v>28.4</v>
      </c>
      <c r="H22" s="45">
        <v>28.4</v>
      </c>
      <c r="I22" s="45">
        <v>28.4</v>
      </c>
      <c r="J22" s="45">
        <v>28.4</v>
      </c>
      <c r="K22" s="45">
        <v>28.4</v>
      </c>
      <c r="L22" s="45">
        <v>28.4</v>
      </c>
      <c r="M22" s="45">
        <v>28.4</v>
      </c>
      <c r="N22" s="45">
        <v>28.4</v>
      </c>
      <c r="O22" s="45">
        <v>28.4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20</v>
      </c>
      <c r="X22" s="45">
        <v>20</v>
      </c>
      <c r="Y22" s="45">
        <v>20</v>
      </c>
      <c r="Z22" s="45">
        <v>20</v>
      </c>
      <c r="AA22" s="45">
        <v>28</v>
      </c>
      <c r="AB22" s="45">
        <v>28.2</v>
      </c>
      <c r="AC22" s="45">
        <v>28.2</v>
      </c>
      <c r="AD22" s="45">
        <v>28.2</v>
      </c>
      <c r="AE22" s="45">
        <v>28.2</v>
      </c>
      <c r="AF22" s="45">
        <v>28.2</v>
      </c>
      <c r="AG22" s="49">
        <v>28</v>
      </c>
      <c r="AH22" s="47">
        <f t="shared" si="2"/>
        <v>28.4</v>
      </c>
      <c r="AI22" s="48">
        <f t="shared" si="3"/>
        <v>20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4</v>
      </c>
      <c r="C23" s="45">
        <v>4</v>
      </c>
      <c r="D23" s="45">
        <v>4</v>
      </c>
      <c r="E23" s="45">
        <v>4</v>
      </c>
      <c r="F23" s="45">
        <v>4</v>
      </c>
      <c r="G23" s="45">
        <v>4</v>
      </c>
      <c r="H23" s="45">
        <v>4</v>
      </c>
      <c r="I23" s="45">
        <v>4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28</v>
      </c>
      <c r="Q23" s="45">
        <v>28</v>
      </c>
      <c r="R23" s="45">
        <v>28</v>
      </c>
      <c r="S23" s="45">
        <v>28</v>
      </c>
      <c r="T23" s="45">
        <v>28</v>
      </c>
      <c r="U23" s="45">
        <v>28</v>
      </c>
      <c r="V23" s="45">
        <v>28</v>
      </c>
      <c r="W23" s="45">
        <v>28</v>
      </c>
      <c r="X23" s="45">
        <v>28</v>
      </c>
      <c r="Y23" s="45">
        <v>13.5</v>
      </c>
      <c r="Z23" s="45">
        <v>13.5</v>
      </c>
      <c r="AA23" s="45">
        <v>13.5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30</v>
      </c>
      <c r="AH23" s="47">
        <f t="shared" si="2"/>
        <v>28</v>
      </c>
      <c r="AI23" s="48">
        <f t="shared" si="3"/>
        <v>4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</v>
      </c>
      <c r="C24" s="45">
        <v>24</v>
      </c>
      <c r="D24" s="45">
        <v>24</v>
      </c>
      <c r="E24" s="45">
        <v>24</v>
      </c>
      <c r="F24" s="45">
        <v>24</v>
      </c>
      <c r="G24" s="45">
        <v>24</v>
      </c>
      <c r="H24" s="45">
        <v>24</v>
      </c>
      <c r="I24" s="45">
        <v>24</v>
      </c>
      <c r="J24" s="45">
        <v>24</v>
      </c>
      <c r="K24" s="45">
        <v>24</v>
      </c>
      <c r="L24" s="45">
        <v>24</v>
      </c>
      <c r="M24" s="45">
        <v>24</v>
      </c>
      <c r="N24" s="45">
        <v>24</v>
      </c>
      <c r="O24" s="45">
        <v>24</v>
      </c>
      <c r="P24" s="45">
        <v>24</v>
      </c>
      <c r="Q24" s="45">
        <v>24</v>
      </c>
      <c r="R24" s="45">
        <v>24</v>
      </c>
      <c r="S24" s="45">
        <v>24</v>
      </c>
      <c r="T24" s="45">
        <v>24</v>
      </c>
      <c r="U24" s="45">
        <v>24</v>
      </c>
      <c r="V24" s="45">
        <v>24</v>
      </c>
      <c r="W24" s="45">
        <v>24</v>
      </c>
      <c r="X24" s="45">
        <v>24</v>
      </c>
      <c r="Y24" s="45">
        <v>24</v>
      </c>
      <c r="Z24" s="45">
        <v>24</v>
      </c>
      <c r="AA24" s="45">
        <v>24</v>
      </c>
      <c r="AB24" s="45">
        <v>24.2</v>
      </c>
      <c r="AC24" s="45">
        <v>24.2</v>
      </c>
      <c r="AD24" s="45">
        <v>24.2</v>
      </c>
      <c r="AE24" s="45">
        <v>24.2</v>
      </c>
      <c r="AF24" s="45">
        <v>24.2</v>
      </c>
      <c r="AG24" s="49">
        <v>25</v>
      </c>
      <c r="AH24" s="47">
        <f t="shared" si="2"/>
        <v>24.2</v>
      </c>
      <c r="AI24" s="48">
        <f t="shared" si="3"/>
        <v>24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4</v>
      </c>
      <c r="C27" s="45">
        <v>4</v>
      </c>
      <c r="D27" s="45">
        <v>4</v>
      </c>
      <c r="E27" s="45">
        <v>4</v>
      </c>
      <c r="F27" s="45">
        <v>4</v>
      </c>
      <c r="G27" s="45">
        <v>4</v>
      </c>
      <c r="H27" s="45">
        <v>4</v>
      </c>
      <c r="I27" s="45">
        <v>4</v>
      </c>
      <c r="J27" s="45">
        <v>8.5</v>
      </c>
      <c r="K27" s="45">
        <v>8.5</v>
      </c>
      <c r="L27" s="45">
        <v>8.5</v>
      </c>
      <c r="M27" s="45">
        <v>8.5</v>
      </c>
      <c r="N27" s="45">
        <v>8.5</v>
      </c>
      <c r="O27" s="45">
        <v>8.5</v>
      </c>
      <c r="P27" s="45">
        <v>8.5</v>
      </c>
      <c r="Q27" s="45">
        <v>8.5</v>
      </c>
      <c r="R27" s="45">
        <v>8.5</v>
      </c>
      <c r="S27" s="45">
        <v>8.5</v>
      </c>
      <c r="T27" s="45">
        <v>8.5</v>
      </c>
      <c r="U27" s="45">
        <v>8.5</v>
      </c>
      <c r="V27" s="45">
        <v>8.5</v>
      </c>
      <c r="W27" s="45">
        <v>8.5</v>
      </c>
      <c r="X27" s="45">
        <v>8.5</v>
      </c>
      <c r="Y27" s="45">
        <v>12.5</v>
      </c>
      <c r="Z27" s="45">
        <v>12.5</v>
      </c>
      <c r="AA27" s="45">
        <v>12.5</v>
      </c>
      <c r="AB27" s="45">
        <v>12.5</v>
      </c>
      <c r="AC27" s="45">
        <v>12.5</v>
      </c>
      <c r="AD27" s="45">
        <v>12.5</v>
      </c>
      <c r="AE27" s="45">
        <v>12.5</v>
      </c>
      <c r="AF27" s="45">
        <v>12.5</v>
      </c>
      <c r="AG27" s="49">
        <v>25</v>
      </c>
      <c r="AH27" s="47">
        <f t="shared" si="2"/>
        <v>12.5</v>
      </c>
      <c r="AI27" s="48">
        <f t="shared" si="3"/>
        <v>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24.8</v>
      </c>
      <c r="C28" s="45">
        <v>24.8</v>
      </c>
      <c r="D28" s="45">
        <v>24.8</v>
      </c>
      <c r="E28" s="45">
        <v>24.8</v>
      </c>
      <c r="F28" s="45">
        <v>24.8</v>
      </c>
      <c r="G28" s="45">
        <v>24.8</v>
      </c>
      <c r="H28" s="45">
        <v>24.8</v>
      </c>
      <c r="I28" s="45">
        <v>24.8</v>
      </c>
      <c r="J28" s="45">
        <v>24.8</v>
      </c>
      <c r="K28" s="45">
        <v>24.8</v>
      </c>
      <c r="L28" s="45">
        <v>24.8</v>
      </c>
      <c r="M28" s="45">
        <v>24.8</v>
      </c>
      <c r="N28" s="45">
        <v>24.8</v>
      </c>
      <c r="O28" s="45">
        <v>24.8</v>
      </c>
      <c r="P28" s="45">
        <v>24.8</v>
      </c>
      <c r="Q28" s="45">
        <v>24.8</v>
      </c>
      <c r="R28" s="45">
        <v>24.8</v>
      </c>
      <c r="S28" s="45">
        <v>24.8</v>
      </c>
      <c r="T28" s="45">
        <v>24.8</v>
      </c>
      <c r="U28" s="45">
        <v>24.8</v>
      </c>
      <c r="V28" s="45">
        <v>24.8</v>
      </c>
      <c r="W28" s="45">
        <v>24.8</v>
      </c>
      <c r="X28" s="45">
        <v>24.8</v>
      </c>
      <c r="Y28" s="45">
        <v>24.8</v>
      </c>
      <c r="Z28" s="45">
        <v>24.8</v>
      </c>
      <c r="AA28" s="45">
        <v>24.8</v>
      </c>
      <c r="AB28" s="45">
        <v>24</v>
      </c>
      <c r="AC28" s="45">
        <v>24</v>
      </c>
      <c r="AD28" s="45">
        <v>24</v>
      </c>
      <c r="AE28" s="45">
        <v>24</v>
      </c>
      <c r="AF28" s="45">
        <v>24</v>
      </c>
      <c r="AG28" s="49">
        <v>23.5</v>
      </c>
      <c r="AH28" s="47">
        <f t="shared" si="2"/>
        <v>24.8</v>
      </c>
      <c r="AI28" s="48">
        <f t="shared" si="3"/>
        <v>24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11</v>
      </c>
      <c r="C29" s="45">
        <v>11</v>
      </c>
      <c r="D29" s="45">
        <v>11</v>
      </c>
      <c r="E29" s="45">
        <v>11</v>
      </c>
      <c r="F29" s="45">
        <v>11</v>
      </c>
      <c r="G29" s="45">
        <v>11</v>
      </c>
      <c r="H29" s="45">
        <v>11</v>
      </c>
      <c r="I29" s="45">
        <v>11</v>
      </c>
      <c r="J29" s="45">
        <v>11</v>
      </c>
      <c r="K29" s="45">
        <v>11</v>
      </c>
      <c r="L29" s="45">
        <v>11</v>
      </c>
      <c r="M29" s="45">
        <v>11</v>
      </c>
      <c r="N29" s="45">
        <v>11</v>
      </c>
      <c r="O29" s="45">
        <v>11</v>
      </c>
      <c r="P29" s="45">
        <v>11</v>
      </c>
      <c r="Q29" s="45">
        <v>11</v>
      </c>
      <c r="R29" s="45">
        <v>11</v>
      </c>
      <c r="S29" s="45">
        <v>11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9">
        <v>22.2</v>
      </c>
      <c r="AH29" s="47">
        <f t="shared" si="2"/>
        <v>11</v>
      </c>
      <c r="AI29" s="48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</v>
      </c>
      <c r="C30" s="45">
        <v>7</v>
      </c>
      <c r="D30" s="45">
        <v>7</v>
      </c>
      <c r="E30" s="45">
        <v>7</v>
      </c>
      <c r="F30" s="45">
        <v>7</v>
      </c>
      <c r="G30" s="45">
        <v>7</v>
      </c>
      <c r="H30" s="45">
        <v>7</v>
      </c>
      <c r="I30" s="45">
        <v>7</v>
      </c>
      <c r="J30" s="45">
        <v>7</v>
      </c>
      <c r="K30" s="45">
        <v>7</v>
      </c>
      <c r="L30" s="45">
        <v>7</v>
      </c>
      <c r="M30" s="45">
        <v>7</v>
      </c>
      <c r="N30" s="45">
        <v>7</v>
      </c>
      <c r="O30" s="45">
        <v>7</v>
      </c>
      <c r="P30" s="45">
        <v>7</v>
      </c>
      <c r="Q30" s="45">
        <v>7</v>
      </c>
      <c r="R30" s="45">
        <v>7</v>
      </c>
      <c r="S30" s="45">
        <v>7</v>
      </c>
      <c r="T30" s="45">
        <v>7</v>
      </c>
      <c r="U30" s="45">
        <v>7</v>
      </c>
      <c r="V30" s="45">
        <v>7</v>
      </c>
      <c r="W30" s="45">
        <v>7</v>
      </c>
      <c r="X30" s="45">
        <v>7</v>
      </c>
      <c r="Y30" s="45">
        <v>7</v>
      </c>
      <c r="Z30" s="45">
        <v>7</v>
      </c>
      <c r="AA30" s="45">
        <v>7</v>
      </c>
      <c r="AB30" s="45">
        <v>7</v>
      </c>
      <c r="AC30" s="45">
        <v>7</v>
      </c>
      <c r="AD30" s="45">
        <v>7</v>
      </c>
      <c r="AE30" s="45">
        <v>7</v>
      </c>
      <c r="AF30" s="45">
        <v>7</v>
      </c>
      <c r="AG30" s="49">
        <v>22.1</v>
      </c>
      <c r="AH30" s="47">
        <f t="shared" si="2"/>
        <v>7</v>
      </c>
      <c r="AI30" s="48">
        <f t="shared" si="3"/>
        <v>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7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10</v>
      </c>
      <c r="V33" s="45">
        <v>10</v>
      </c>
      <c r="W33" s="45">
        <v>10</v>
      </c>
      <c r="X33" s="45">
        <v>5</v>
      </c>
      <c r="Y33" s="45">
        <v>5</v>
      </c>
      <c r="Z33" s="45">
        <v>5</v>
      </c>
      <c r="AA33" s="45">
        <v>10</v>
      </c>
      <c r="AB33" s="45">
        <v>10</v>
      </c>
      <c r="AC33" s="45">
        <v>5</v>
      </c>
      <c r="AD33" s="45">
        <v>5</v>
      </c>
      <c r="AE33" s="45">
        <v>5</v>
      </c>
      <c r="AF33" s="45">
        <v>5</v>
      </c>
      <c r="AG33" s="49">
        <v>20</v>
      </c>
      <c r="AH33" s="47">
        <f t="shared" si="2"/>
        <v>10</v>
      </c>
      <c r="AI33" s="48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3.5</v>
      </c>
      <c r="I34" s="45">
        <v>3.5</v>
      </c>
      <c r="J34" s="45">
        <v>3.5</v>
      </c>
      <c r="K34" s="45">
        <v>3.5</v>
      </c>
      <c r="L34" s="45">
        <v>3.5</v>
      </c>
      <c r="M34" s="45">
        <v>5</v>
      </c>
      <c r="N34" s="45">
        <v>4</v>
      </c>
      <c r="O34" s="45">
        <v>4</v>
      </c>
      <c r="P34" s="45">
        <v>4</v>
      </c>
      <c r="Q34" s="45">
        <v>4</v>
      </c>
      <c r="R34" s="45">
        <v>4</v>
      </c>
      <c r="S34" s="45">
        <v>4</v>
      </c>
      <c r="T34" s="45">
        <v>4</v>
      </c>
      <c r="U34" s="45">
        <v>8</v>
      </c>
      <c r="V34" s="45">
        <v>8</v>
      </c>
      <c r="W34" s="45">
        <v>8</v>
      </c>
      <c r="X34" s="45">
        <v>4</v>
      </c>
      <c r="Y34" s="45">
        <v>4</v>
      </c>
      <c r="Z34" s="45">
        <v>4</v>
      </c>
      <c r="AA34" s="45">
        <v>8</v>
      </c>
      <c r="AB34" s="45">
        <v>8</v>
      </c>
      <c r="AC34" s="45">
        <v>5</v>
      </c>
      <c r="AD34" s="45">
        <v>5</v>
      </c>
      <c r="AE34" s="45">
        <v>5</v>
      </c>
      <c r="AF34" s="45">
        <v>5</v>
      </c>
      <c r="AG34" s="49">
        <v>18</v>
      </c>
      <c r="AH34" s="47">
        <f t="shared" si="2"/>
        <v>8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4</v>
      </c>
      <c r="K39" s="45">
        <v>4</v>
      </c>
      <c r="L39" s="45">
        <v>4</v>
      </c>
      <c r="M39" s="45">
        <v>4</v>
      </c>
      <c r="N39" s="45">
        <v>4</v>
      </c>
      <c r="O39" s="45">
        <v>4</v>
      </c>
      <c r="P39" s="45">
        <v>4</v>
      </c>
      <c r="Q39" s="45">
        <v>4</v>
      </c>
      <c r="R39" s="45">
        <v>4</v>
      </c>
      <c r="S39" s="45">
        <v>4</v>
      </c>
      <c r="T39" s="45">
        <v>4</v>
      </c>
      <c r="U39" s="45">
        <v>4</v>
      </c>
      <c r="V39" s="45">
        <v>4</v>
      </c>
      <c r="W39" s="45">
        <v>4</v>
      </c>
      <c r="X39" s="45">
        <v>4</v>
      </c>
      <c r="Y39" s="45">
        <v>4</v>
      </c>
      <c r="Z39" s="45">
        <v>4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6</v>
      </c>
      <c r="AG39" s="49">
        <v>12</v>
      </c>
      <c r="AH39" s="47">
        <f t="shared" si="2"/>
        <v>6</v>
      </c>
      <c r="AI39" s="48">
        <f t="shared" si="3"/>
        <v>3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5.5</v>
      </c>
      <c r="C40" s="45">
        <v>5.5</v>
      </c>
      <c r="D40" s="45">
        <v>5.5</v>
      </c>
      <c r="E40" s="45">
        <v>5.5</v>
      </c>
      <c r="F40" s="45">
        <v>5.5</v>
      </c>
      <c r="G40" s="45">
        <v>5.5</v>
      </c>
      <c r="H40" s="45">
        <v>5.5</v>
      </c>
      <c r="I40" s="45">
        <v>5.5</v>
      </c>
      <c r="J40" s="45">
        <v>5.5</v>
      </c>
      <c r="K40" s="45">
        <v>5.5</v>
      </c>
      <c r="L40" s="45">
        <v>5.5</v>
      </c>
      <c r="M40" s="45">
        <v>5.5</v>
      </c>
      <c r="N40" s="45">
        <v>5.5</v>
      </c>
      <c r="O40" s="45">
        <v>5.5</v>
      </c>
      <c r="P40" s="45">
        <v>5.5</v>
      </c>
      <c r="Q40" s="45">
        <v>5.5</v>
      </c>
      <c r="R40" s="45">
        <v>5.5</v>
      </c>
      <c r="S40" s="45">
        <v>5.5</v>
      </c>
      <c r="T40" s="45">
        <v>5.5</v>
      </c>
      <c r="U40" s="45">
        <v>5.5</v>
      </c>
      <c r="V40" s="45">
        <v>5.5</v>
      </c>
      <c r="W40" s="45">
        <v>5.5</v>
      </c>
      <c r="X40" s="45">
        <v>5.5</v>
      </c>
      <c r="Y40" s="45">
        <v>5.5</v>
      </c>
      <c r="Z40" s="45">
        <v>5.5</v>
      </c>
      <c r="AA40" s="45">
        <v>5.5</v>
      </c>
      <c r="AB40" s="45">
        <v>5.5</v>
      </c>
      <c r="AC40" s="45">
        <v>5.5</v>
      </c>
      <c r="AD40" s="45">
        <v>5.5</v>
      </c>
      <c r="AE40" s="45">
        <v>5.5</v>
      </c>
      <c r="AF40" s="45">
        <v>5.5</v>
      </c>
      <c r="AG40" s="49">
        <v>12</v>
      </c>
      <c r="AH40" s="47">
        <f t="shared" si="2"/>
        <v>5.5</v>
      </c>
      <c r="AI40" s="48">
        <f t="shared" si="3"/>
        <v>5.5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9">
        <v>12</v>
      </c>
      <c r="AH41" s="47">
        <f t="shared" si="2"/>
        <v>0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0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52">
        <v>22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12</v>
      </c>
      <c r="C43" s="45">
        <v>12</v>
      </c>
      <c r="D43" s="45">
        <v>12</v>
      </c>
      <c r="E43" s="45">
        <v>12</v>
      </c>
      <c r="F43" s="45">
        <v>12</v>
      </c>
      <c r="G43" s="45">
        <v>12</v>
      </c>
      <c r="H43" s="45">
        <v>12</v>
      </c>
      <c r="I43" s="45">
        <v>12</v>
      </c>
      <c r="J43" s="45">
        <v>12</v>
      </c>
      <c r="K43" s="45">
        <v>12</v>
      </c>
      <c r="L43" s="45">
        <v>12</v>
      </c>
      <c r="M43" s="45">
        <v>12</v>
      </c>
      <c r="N43" s="45">
        <v>12</v>
      </c>
      <c r="O43" s="45">
        <v>12</v>
      </c>
      <c r="P43" s="45">
        <v>12</v>
      </c>
      <c r="Q43" s="45">
        <v>12</v>
      </c>
      <c r="R43" s="45">
        <v>12</v>
      </c>
      <c r="S43" s="45">
        <v>12</v>
      </c>
      <c r="T43" s="45">
        <v>12</v>
      </c>
      <c r="U43" s="45">
        <v>12</v>
      </c>
      <c r="V43" s="45">
        <v>12</v>
      </c>
      <c r="W43" s="45">
        <v>12</v>
      </c>
      <c r="X43" s="45">
        <v>12</v>
      </c>
      <c r="Y43" s="45">
        <v>12</v>
      </c>
      <c r="Z43" s="45">
        <v>12</v>
      </c>
      <c r="AA43" s="45">
        <v>12</v>
      </c>
      <c r="AB43" s="45">
        <v>12</v>
      </c>
      <c r="AC43" s="45">
        <v>12</v>
      </c>
      <c r="AD43" s="45">
        <v>12</v>
      </c>
      <c r="AE43" s="45">
        <v>12</v>
      </c>
      <c r="AF43" s="45">
        <v>12</v>
      </c>
      <c r="AG43" s="51">
        <v>11.88</v>
      </c>
      <c r="AH43" s="47">
        <f t="shared" si="2"/>
        <v>12</v>
      </c>
      <c r="AI43" s="48">
        <f t="shared" si="3"/>
        <v>12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</v>
      </c>
      <c r="C44" s="45">
        <v>10</v>
      </c>
      <c r="D44" s="45">
        <v>10</v>
      </c>
      <c r="E44" s="45">
        <v>10</v>
      </c>
      <c r="F44" s="45">
        <v>10</v>
      </c>
      <c r="G44" s="45">
        <v>10</v>
      </c>
      <c r="H44" s="45">
        <v>10</v>
      </c>
      <c r="I44" s="45">
        <v>10</v>
      </c>
      <c r="J44" s="45">
        <v>10</v>
      </c>
      <c r="K44" s="45">
        <v>10</v>
      </c>
      <c r="L44" s="45">
        <v>10</v>
      </c>
      <c r="M44" s="45">
        <v>10</v>
      </c>
      <c r="N44" s="45">
        <v>10</v>
      </c>
      <c r="O44" s="45">
        <v>10</v>
      </c>
      <c r="P44" s="45">
        <v>10</v>
      </c>
      <c r="Q44" s="45">
        <v>10</v>
      </c>
      <c r="R44" s="45">
        <v>10</v>
      </c>
      <c r="S44" s="45">
        <v>10</v>
      </c>
      <c r="T44" s="45">
        <v>10</v>
      </c>
      <c r="U44" s="45">
        <v>10</v>
      </c>
      <c r="V44" s="45">
        <v>10</v>
      </c>
      <c r="W44" s="45">
        <v>10</v>
      </c>
      <c r="X44" s="45">
        <v>10</v>
      </c>
      <c r="Y44" s="45">
        <v>10</v>
      </c>
      <c r="Z44" s="45">
        <v>10</v>
      </c>
      <c r="AA44" s="45">
        <v>10</v>
      </c>
      <c r="AB44" s="45">
        <v>10</v>
      </c>
      <c r="AC44" s="45">
        <v>10</v>
      </c>
      <c r="AD44" s="45">
        <v>10</v>
      </c>
      <c r="AE44" s="45">
        <v>10</v>
      </c>
      <c r="AF44" s="45">
        <v>10</v>
      </c>
      <c r="AG44" s="54">
        <v>11</v>
      </c>
      <c r="AH44" s="47">
        <f t="shared" si="2"/>
        <v>10</v>
      </c>
      <c r="AI44" s="48">
        <f t="shared" si="3"/>
        <v>10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10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9</v>
      </c>
      <c r="C46" s="45">
        <v>9</v>
      </c>
      <c r="D46" s="45">
        <v>9</v>
      </c>
      <c r="E46" s="45">
        <v>9</v>
      </c>
      <c r="F46" s="45">
        <v>9</v>
      </c>
      <c r="G46" s="45">
        <v>9</v>
      </c>
      <c r="H46" s="45">
        <v>9</v>
      </c>
      <c r="I46" s="45">
        <v>9</v>
      </c>
      <c r="J46" s="45">
        <v>9</v>
      </c>
      <c r="K46" s="45">
        <v>9</v>
      </c>
      <c r="L46" s="45">
        <v>9</v>
      </c>
      <c r="M46" s="45">
        <v>9</v>
      </c>
      <c r="N46" s="45">
        <v>9</v>
      </c>
      <c r="O46" s="45">
        <v>9</v>
      </c>
      <c r="P46" s="45">
        <v>9</v>
      </c>
      <c r="Q46" s="45">
        <v>9</v>
      </c>
      <c r="R46" s="45">
        <v>9</v>
      </c>
      <c r="S46" s="45">
        <v>9</v>
      </c>
      <c r="T46" s="45">
        <v>9</v>
      </c>
      <c r="U46" s="45">
        <v>9</v>
      </c>
      <c r="V46" s="45">
        <v>9</v>
      </c>
      <c r="W46" s="45">
        <v>9</v>
      </c>
      <c r="X46" s="45">
        <v>9</v>
      </c>
      <c r="Y46" s="45">
        <v>9</v>
      </c>
      <c r="Z46" s="45">
        <v>9</v>
      </c>
      <c r="AA46" s="45">
        <v>9</v>
      </c>
      <c r="AB46" s="45">
        <v>9</v>
      </c>
      <c r="AC46" s="45">
        <v>9</v>
      </c>
      <c r="AD46" s="45">
        <v>9</v>
      </c>
      <c r="AE46" s="45">
        <v>9</v>
      </c>
      <c r="AF46" s="45">
        <v>9</v>
      </c>
      <c r="AG46" s="54">
        <v>10</v>
      </c>
      <c r="AH46" s="47">
        <f t="shared" si="2"/>
        <v>9</v>
      </c>
      <c r="AI46" s="48">
        <f t="shared" si="3"/>
        <v>9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400</v>
      </c>
      <c r="C48" s="56">
        <v>400</v>
      </c>
      <c r="D48" s="56">
        <v>400</v>
      </c>
      <c r="E48" s="56">
        <v>400</v>
      </c>
      <c r="F48" s="56">
        <v>400</v>
      </c>
      <c r="G48" s="56">
        <v>400</v>
      </c>
      <c r="H48" s="56">
        <v>400</v>
      </c>
      <c r="I48" s="56">
        <v>400</v>
      </c>
      <c r="J48" s="56">
        <v>400</v>
      </c>
      <c r="K48" s="56">
        <v>400</v>
      </c>
      <c r="L48" s="56">
        <v>400</v>
      </c>
      <c r="M48" s="56">
        <v>400</v>
      </c>
      <c r="N48" s="56">
        <v>400</v>
      </c>
      <c r="O48" s="56">
        <v>400</v>
      </c>
      <c r="P48" s="56">
        <v>400</v>
      </c>
      <c r="Q48" s="56">
        <v>400</v>
      </c>
      <c r="R48" s="56">
        <v>400</v>
      </c>
      <c r="S48" s="56">
        <v>400</v>
      </c>
      <c r="T48" s="56">
        <v>400</v>
      </c>
      <c r="U48" s="56">
        <v>400</v>
      </c>
      <c r="V48" s="56">
        <v>400</v>
      </c>
      <c r="W48" s="56">
        <v>400</v>
      </c>
      <c r="X48" s="56">
        <v>400</v>
      </c>
      <c r="Y48" s="56">
        <v>400</v>
      </c>
      <c r="Z48" s="56">
        <v>400</v>
      </c>
      <c r="AA48" s="56">
        <v>400</v>
      </c>
      <c r="AB48" s="56">
        <v>400</v>
      </c>
      <c r="AC48" s="56">
        <v>400</v>
      </c>
      <c r="AD48" s="56">
        <v>400</v>
      </c>
      <c r="AE48" s="56">
        <v>400</v>
      </c>
      <c r="AF48" s="56">
        <v>400</v>
      </c>
      <c r="AG48" s="54">
        <v>85</v>
      </c>
      <c r="AH48" s="47">
        <f t="shared" si="2"/>
        <v>400</v>
      </c>
      <c r="AI48" s="48">
        <f t="shared" si="3"/>
        <v>400</v>
      </c>
      <c r="AK48" s="50"/>
    </row>
    <row r="49" spans="1:41" ht="15.75" thickBot="1" x14ac:dyDescent="0.3">
      <c r="A49" s="57" t="s">
        <v>57</v>
      </c>
      <c r="B49" s="56">
        <v>103</v>
      </c>
      <c r="C49" s="56">
        <v>103</v>
      </c>
      <c r="D49" s="56">
        <v>104</v>
      </c>
      <c r="E49" s="56">
        <v>104</v>
      </c>
      <c r="F49" s="58">
        <f t="shared" ref="F49:AA49" si="4">26.3+78.2</f>
        <v>104.5</v>
      </c>
      <c r="G49" s="58">
        <f t="shared" si="4"/>
        <v>104.5</v>
      </c>
      <c r="H49" s="58">
        <f t="shared" si="4"/>
        <v>104.5</v>
      </c>
      <c r="I49" s="58">
        <f t="shared" si="4"/>
        <v>104.5</v>
      </c>
      <c r="J49" s="58">
        <f t="shared" si="4"/>
        <v>104.5</v>
      </c>
      <c r="K49" s="58">
        <f t="shared" si="4"/>
        <v>104.5</v>
      </c>
      <c r="L49" s="58">
        <f t="shared" si="4"/>
        <v>104.5</v>
      </c>
      <c r="M49" s="58">
        <f t="shared" si="4"/>
        <v>104.5</v>
      </c>
      <c r="N49" s="58">
        <f t="shared" si="4"/>
        <v>104.5</v>
      </c>
      <c r="O49" s="58">
        <f t="shared" si="4"/>
        <v>104.5</v>
      </c>
      <c r="P49" s="58">
        <f t="shared" si="4"/>
        <v>104.5</v>
      </c>
      <c r="Q49" s="58">
        <f t="shared" si="4"/>
        <v>104.5</v>
      </c>
      <c r="R49" s="58">
        <f t="shared" si="4"/>
        <v>104.5</v>
      </c>
      <c r="S49" s="58">
        <f t="shared" si="4"/>
        <v>104.5</v>
      </c>
      <c r="T49" s="58">
        <f t="shared" si="4"/>
        <v>104.5</v>
      </c>
      <c r="U49" s="58">
        <f t="shared" si="4"/>
        <v>104.5</v>
      </c>
      <c r="V49" s="58">
        <f t="shared" si="4"/>
        <v>104.5</v>
      </c>
      <c r="W49" s="58">
        <f t="shared" si="4"/>
        <v>104.5</v>
      </c>
      <c r="X49" s="58">
        <f t="shared" si="4"/>
        <v>104.5</v>
      </c>
      <c r="Y49" s="58">
        <f t="shared" si="4"/>
        <v>104.5</v>
      </c>
      <c r="Z49" s="58">
        <f t="shared" si="4"/>
        <v>104.5</v>
      </c>
      <c r="AA49" s="56">
        <f t="shared" si="4"/>
        <v>104.5</v>
      </c>
      <c r="AB49" s="56">
        <v>95.8</v>
      </c>
      <c r="AC49" s="56">
        <v>95.8</v>
      </c>
      <c r="AD49" s="56">
        <v>95.8</v>
      </c>
      <c r="AE49" s="56">
        <v>95.8</v>
      </c>
      <c r="AF49" s="56">
        <v>95.8</v>
      </c>
      <c r="AG49" s="54">
        <v>240</v>
      </c>
      <c r="AH49" s="47">
        <f t="shared" si="2"/>
        <v>104.5</v>
      </c>
      <c r="AI49" s="48">
        <f t="shared" si="3"/>
        <v>95.8</v>
      </c>
      <c r="AK49" s="50"/>
    </row>
    <row r="50" spans="1:41" ht="15.75" thickBot="1" x14ac:dyDescent="0.3">
      <c r="A50" s="59" t="s">
        <v>58</v>
      </c>
      <c r="B50" s="60">
        <f t="shared" ref="B50:AF50" si="5">SUM(B11:B48)</f>
        <v>1044.0999999999999</v>
      </c>
      <c r="C50" s="60">
        <f t="shared" si="5"/>
        <v>1044.0999999999999</v>
      </c>
      <c r="D50" s="60">
        <f t="shared" si="5"/>
        <v>1041.5</v>
      </c>
      <c r="E50" s="60">
        <f t="shared" si="5"/>
        <v>1041.5</v>
      </c>
      <c r="F50" s="60">
        <f t="shared" si="5"/>
        <v>1037.5</v>
      </c>
      <c r="G50" s="60">
        <f t="shared" si="5"/>
        <v>1037.5</v>
      </c>
      <c r="H50" s="60">
        <f t="shared" si="5"/>
        <v>1038</v>
      </c>
      <c r="I50" s="60">
        <f t="shared" si="5"/>
        <v>1038</v>
      </c>
      <c r="J50" s="60">
        <f t="shared" si="5"/>
        <v>1060.5</v>
      </c>
      <c r="K50" s="60">
        <f t="shared" si="5"/>
        <v>1060.5</v>
      </c>
      <c r="L50" s="60">
        <f t="shared" si="5"/>
        <v>1054.7</v>
      </c>
      <c r="M50" s="60">
        <f t="shared" si="5"/>
        <v>1070.1999999999998</v>
      </c>
      <c r="N50" s="60">
        <f t="shared" si="5"/>
        <v>1073.3</v>
      </c>
      <c r="O50" s="60">
        <f t="shared" si="5"/>
        <v>1073.3</v>
      </c>
      <c r="P50" s="60">
        <f t="shared" si="5"/>
        <v>1087.4000000000001</v>
      </c>
      <c r="Q50" s="60">
        <f t="shared" si="5"/>
        <v>1087.4000000000001</v>
      </c>
      <c r="R50" s="60">
        <f t="shared" si="5"/>
        <v>1088.2</v>
      </c>
      <c r="S50" s="60">
        <f>SUM(S11:S48)</f>
        <v>1066.2</v>
      </c>
      <c r="T50" s="60">
        <f t="shared" si="5"/>
        <v>1055.2</v>
      </c>
      <c r="U50" s="60">
        <f t="shared" si="5"/>
        <v>1064.2</v>
      </c>
      <c r="V50" s="60">
        <f t="shared" si="5"/>
        <v>1064.2</v>
      </c>
      <c r="W50" s="60">
        <f t="shared" si="5"/>
        <v>1064.2</v>
      </c>
      <c r="X50" s="60">
        <f t="shared" si="5"/>
        <v>1055.2</v>
      </c>
      <c r="Y50" s="60">
        <f t="shared" si="5"/>
        <v>1054.8</v>
      </c>
      <c r="Z50" s="60">
        <f t="shared" si="5"/>
        <v>1054.8</v>
      </c>
      <c r="AA50" s="60">
        <f t="shared" ref="AA50" si="6">SUM(AA11:AA48)</f>
        <v>1119.1999999999998</v>
      </c>
      <c r="AB50" s="60">
        <f t="shared" si="5"/>
        <v>1127.3</v>
      </c>
      <c r="AC50" s="60">
        <f t="shared" si="5"/>
        <v>1119.3</v>
      </c>
      <c r="AD50" s="60">
        <f t="shared" si="5"/>
        <v>1119.3</v>
      </c>
      <c r="AE50" s="60">
        <f t="shared" si="5"/>
        <v>1111.5999999999999</v>
      </c>
      <c r="AF50" s="60">
        <f t="shared" si="5"/>
        <v>1075.5999999999999</v>
      </c>
      <c r="AG50" s="61">
        <f>SUM(AG13:AG48)</f>
        <v>922.14</v>
      </c>
      <c r="AH50" s="47">
        <f t="shared" si="2"/>
        <v>1127.3</v>
      </c>
      <c r="AI50" s="48">
        <f t="shared" si="3"/>
        <v>1037.5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175">
        <v>378</v>
      </c>
      <c r="O51" s="175">
        <v>380</v>
      </c>
      <c r="P51" s="175">
        <v>380</v>
      </c>
      <c r="Q51" s="175">
        <v>380</v>
      </c>
      <c r="R51" s="175">
        <v>380</v>
      </c>
      <c r="S51" s="175">
        <v>380</v>
      </c>
      <c r="T51" s="45">
        <v>380</v>
      </c>
      <c r="U51" s="45">
        <v>380</v>
      </c>
      <c r="V51" s="45">
        <v>380</v>
      </c>
      <c r="W51" s="45">
        <v>380</v>
      </c>
      <c r="X51" s="45">
        <v>380</v>
      </c>
      <c r="Y51" s="45">
        <v>380</v>
      </c>
      <c r="Z51" s="45">
        <v>380</v>
      </c>
      <c r="AA51" s="45">
        <v>380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378</v>
      </c>
      <c r="AK51" s="50"/>
    </row>
    <row r="52" spans="1:41" x14ac:dyDescent="0.25">
      <c r="A52" s="63" t="s">
        <v>60</v>
      </c>
      <c r="B52" s="64">
        <v>60</v>
      </c>
      <c r="C52" s="64">
        <v>60</v>
      </c>
      <c r="D52" s="64">
        <v>60</v>
      </c>
      <c r="E52" s="64">
        <v>60</v>
      </c>
      <c r="F52" s="64">
        <v>60</v>
      </c>
      <c r="G52" s="64">
        <v>60</v>
      </c>
      <c r="H52" s="64">
        <v>60</v>
      </c>
      <c r="I52" s="64">
        <v>60</v>
      </c>
      <c r="J52" s="64">
        <v>60</v>
      </c>
      <c r="K52" s="64">
        <v>60</v>
      </c>
      <c r="L52" s="64">
        <v>60</v>
      </c>
      <c r="M52" s="64">
        <v>60</v>
      </c>
      <c r="N52" s="64">
        <v>60</v>
      </c>
      <c r="O52" s="64">
        <v>60</v>
      </c>
      <c r="P52" s="64">
        <v>60</v>
      </c>
      <c r="Q52" s="64">
        <v>60</v>
      </c>
      <c r="R52" s="64">
        <v>60</v>
      </c>
      <c r="S52" s="64">
        <v>60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60</v>
      </c>
      <c r="AF52" s="64">
        <v>60</v>
      </c>
      <c r="AG52" s="54">
        <v>60</v>
      </c>
      <c r="AH52" s="47">
        <f t="shared" si="2"/>
        <v>60</v>
      </c>
      <c r="AI52" s="48">
        <f t="shared" si="3"/>
        <v>60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20.5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20.5</v>
      </c>
      <c r="AK53" s="50"/>
    </row>
    <row r="54" spans="1:41" ht="15.75" thickBot="1" x14ac:dyDescent="0.3">
      <c r="A54" s="68" t="s">
        <v>62</v>
      </c>
      <c r="B54" s="60">
        <f t="shared" ref="B54:AG54" si="7">SUM(B51:B53)</f>
        <v>538.5</v>
      </c>
      <c r="C54" s="60">
        <f t="shared" si="7"/>
        <v>538.5</v>
      </c>
      <c r="D54" s="60">
        <f t="shared" si="7"/>
        <v>538.5</v>
      </c>
      <c r="E54" s="60">
        <f t="shared" si="7"/>
        <v>538.5</v>
      </c>
      <c r="F54" s="60">
        <f t="shared" si="7"/>
        <v>538.5</v>
      </c>
      <c r="G54" s="60">
        <f t="shared" si="7"/>
        <v>538.5</v>
      </c>
      <c r="H54" s="60">
        <f t="shared" si="7"/>
        <v>538.5</v>
      </c>
      <c r="I54" s="60">
        <f t="shared" si="7"/>
        <v>538.5</v>
      </c>
      <c r="J54" s="60">
        <f t="shared" si="7"/>
        <v>538.5</v>
      </c>
      <c r="K54" s="60">
        <f t="shared" si="7"/>
        <v>538.5</v>
      </c>
      <c r="L54" s="60">
        <f t="shared" si="7"/>
        <v>538.5</v>
      </c>
      <c r="M54" s="60">
        <f t="shared" si="7"/>
        <v>538.5</v>
      </c>
      <c r="N54" s="60">
        <f t="shared" si="7"/>
        <v>460.5</v>
      </c>
      <c r="O54" s="60">
        <f t="shared" si="7"/>
        <v>462.5</v>
      </c>
      <c r="P54" s="60">
        <f t="shared" si="7"/>
        <v>462.5</v>
      </c>
      <c r="Q54" s="60">
        <f t="shared" si="7"/>
        <v>462.5</v>
      </c>
      <c r="R54" s="60">
        <f t="shared" si="7"/>
        <v>462.5</v>
      </c>
      <c r="S54" s="60">
        <f t="shared" si="7"/>
        <v>462.5</v>
      </c>
      <c r="T54" s="60">
        <f t="shared" si="7"/>
        <v>462.5</v>
      </c>
      <c r="U54" s="60">
        <f t="shared" si="7"/>
        <v>462.5</v>
      </c>
      <c r="V54" s="60">
        <f t="shared" si="7"/>
        <v>462.5</v>
      </c>
      <c r="W54" s="60">
        <f t="shared" si="7"/>
        <v>462.5</v>
      </c>
      <c r="X54" s="60">
        <f t="shared" si="7"/>
        <v>462.5</v>
      </c>
      <c r="Y54" s="60">
        <f t="shared" si="7"/>
        <v>462.5</v>
      </c>
      <c r="Z54" s="60">
        <f t="shared" si="7"/>
        <v>462.5</v>
      </c>
      <c r="AA54" s="60">
        <f t="shared" ref="AA54" si="8">SUM(AA51:AA53)</f>
        <v>460.5</v>
      </c>
      <c r="AB54" s="60">
        <f t="shared" si="7"/>
        <v>538.5</v>
      </c>
      <c r="AC54" s="60">
        <f t="shared" si="7"/>
        <v>538.5</v>
      </c>
      <c r="AD54" s="60">
        <f t="shared" si="7"/>
        <v>538.5</v>
      </c>
      <c r="AE54" s="60">
        <f t="shared" si="7"/>
        <v>538.5</v>
      </c>
      <c r="AF54" s="60">
        <f t="shared" si="7"/>
        <v>538.5</v>
      </c>
      <c r="AG54" s="61">
        <f t="shared" si="7"/>
        <v>538.1</v>
      </c>
      <c r="AH54" s="47">
        <f t="shared" si="2"/>
        <v>538.5</v>
      </c>
      <c r="AI54" s="48">
        <f t="shared" si="3"/>
        <v>460.5</v>
      </c>
      <c r="AK54" s="50"/>
    </row>
    <row r="55" spans="1:41" x14ac:dyDescent="0.25">
      <c r="A55" s="44" t="s">
        <v>63</v>
      </c>
      <c r="B55" s="45">
        <v>127.6</v>
      </c>
      <c r="C55" s="45">
        <v>127.6</v>
      </c>
      <c r="D55" s="45">
        <v>121.4</v>
      </c>
      <c r="E55" s="45">
        <v>121.6</v>
      </c>
      <c r="F55" s="45">
        <v>121.5</v>
      </c>
      <c r="G55" s="45">
        <v>132.69999999999999</v>
      </c>
      <c r="H55" s="45">
        <v>133.19999999999999</v>
      </c>
      <c r="I55" s="45">
        <v>132.80000000000001</v>
      </c>
      <c r="J55" s="45">
        <v>132.80000000000001</v>
      </c>
      <c r="K55" s="45">
        <v>132.80000000000001</v>
      </c>
      <c r="L55" s="45">
        <v>123.4</v>
      </c>
      <c r="M55" s="45">
        <v>123.4</v>
      </c>
      <c r="N55" s="45">
        <v>123.4</v>
      </c>
      <c r="O55" s="45">
        <v>123.4</v>
      </c>
      <c r="P55" s="45">
        <v>123.4</v>
      </c>
      <c r="Q55" s="45">
        <v>133.5</v>
      </c>
      <c r="R55" s="45">
        <v>133.9</v>
      </c>
      <c r="S55" s="45">
        <v>130</v>
      </c>
      <c r="T55" s="45">
        <v>126.7</v>
      </c>
      <c r="U55" s="45">
        <v>133</v>
      </c>
      <c r="V55" s="45">
        <v>125</v>
      </c>
      <c r="W55" s="45">
        <v>130</v>
      </c>
      <c r="X55" s="45">
        <v>133.4</v>
      </c>
      <c r="Y55" s="45">
        <v>133.4</v>
      </c>
      <c r="Z55" s="45">
        <v>134.6</v>
      </c>
      <c r="AA55" s="45">
        <v>135.1</v>
      </c>
      <c r="AB55" s="45">
        <v>134.9</v>
      </c>
      <c r="AC55" s="45">
        <v>134.9</v>
      </c>
      <c r="AD55" s="45">
        <v>134.9</v>
      </c>
      <c r="AE55" s="45">
        <v>134.9</v>
      </c>
      <c r="AF55" s="45">
        <v>132.69999999999999</v>
      </c>
      <c r="AG55" s="51">
        <v>144</v>
      </c>
      <c r="AH55" s="47">
        <f t="shared" si="2"/>
        <v>135.1</v>
      </c>
      <c r="AI55" s="48">
        <f t="shared" si="3"/>
        <v>121.4</v>
      </c>
      <c r="AK55" s="50"/>
    </row>
    <row r="56" spans="1:41" x14ac:dyDescent="0.25">
      <c r="A56" s="53" t="s">
        <v>64</v>
      </c>
      <c r="B56" s="64">
        <v>60</v>
      </c>
      <c r="C56" s="64">
        <v>60.5</v>
      </c>
      <c r="D56" s="64">
        <v>55.4</v>
      </c>
      <c r="E56" s="64">
        <v>59.7</v>
      </c>
      <c r="F56" s="64">
        <v>55.9</v>
      </c>
      <c r="G56" s="64">
        <v>55.6</v>
      </c>
      <c r="H56" s="64">
        <v>61.1</v>
      </c>
      <c r="I56" s="64">
        <v>69.8</v>
      </c>
      <c r="J56" s="64">
        <v>70</v>
      </c>
      <c r="K56" s="64">
        <v>69.5</v>
      </c>
      <c r="L56" s="64">
        <v>50</v>
      </c>
      <c r="M56" s="64">
        <v>50</v>
      </c>
      <c r="N56" s="64">
        <v>50</v>
      </c>
      <c r="O56" s="64">
        <v>50</v>
      </c>
      <c r="P56" s="64">
        <v>50</v>
      </c>
      <c r="Q56" s="64">
        <v>68.900000000000006</v>
      </c>
      <c r="R56" s="64">
        <v>64.2</v>
      </c>
      <c r="S56" s="64">
        <v>66.900000000000006</v>
      </c>
      <c r="T56" s="45">
        <v>65.900000000000006</v>
      </c>
      <c r="U56" s="45">
        <v>65.900000000000006</v>
      </c>
      <c r="V56" s="45">
        <v>50</v>
      </c>
      <c r="W56" s="45">
        <v>60</v>
      </c>
      <c r="X56" s="45">
        <v>60</v>
      </c>
      <c r="Y56" s="45">
        <v>70</v>
      </c>
      <c r="Z56" s="45">
        <v>70</v>
      </c>
      <c r="AA56" s="45">
        <v>67</v>
      </c>
      <c r="AB56" s="45">
        <v>60.1</v>
      </c>
      <c r="AC56" s="45">
        <v>60.1</v>
      </c>
      <c r="AD56" s="45">
        <v>68</v>
      </c>
      <c r="AE56" s="45">
        <v>68</v>
      </c>
      <c r="AF56" s="45">
        <v>59.4</v>
      </c>
      <c r="AG56" s="54">
        <v>70</v>
      </c>
      <c r="AH56" s="47">
        <f t="shared" si="2"/>
        <v>70</v>
      </c>
      <c r="AI56" s="48">
        <f t="shared" si="3"/>
        <v>50</v>
      </c>
      <c r="AK56" s="50"/>
    </row>
    <row r="57" spans="1:41" x14ac:dyDescent="0.25">
      <c r="A57" s="53" t="s">
        <v>65</v>
      </c>
      <c r="B57" s="64">
        <v>60.9</v>
      </c>
      <c r="C57" s="64">
        <v>61.4</v>
      </c>
      <c r="D57" s="64">
        <v>55.9</v>
      </c>
      <c r="E57" s="64">
        <v>51.9</v>
      </c>
      <c r="F57" s="64">
        <v>53.1</v>
      </c>
      <c r="G57" s="64">
        <v>63.7</v>
      </c>
      <c r="H57" s="64">
        <v>54.4</v>
      </c>
      <c r="I57" s="64">
        <v>63.8</v>
      </c>
      <c r="J57" s="64">
        <v>64</v>
      </c>
      <c r="K57" s="64">
        <v>62.6</v>
      </c>
      <c r="L57" s="64">
        <v>53</v>
      </c>
      <c r="M57" s="64">
        <v>53</v>
      </c>
      <c r="N57" s="64">
        <v>53</v>
      </c>
      <c r="O57" s="64">
        <v>53</v>
      </c>
      <c r="P57" s="64">
        <v>60</v>
      </c>
      <c r="Q57" s="64">
        <v>64</v>
      </c>
      <c r="R57" s="64">
        <v>64.099999999999994</v>
      </c>
      <c r="S57" s="64">
        <v>64.099999999999994</v>
      </c>
      <c r="T57" s="45">
        <v>65.099999999999994</v>
      </c>
      <c r="U57" s="45">
        <v>65.099999999999994</v>
      </c>
      <c r="V57" s="45">
        <v>65.099999999999994</v>
      </c>
      <c r="W57" s="45">
        <v>55</v>
      </c>
      <c r="X57" s="45">
        <v>65.099999999999994</v>
      </c>
      <c r="Y57" s="45">
        <v>65.099999999999994</v>
      </c>
      <c r="Z57" s="45">
        <v>64.8</v>
      </c>
      <c r="AA57" s="45">
        <v>64.400000000000006</v>
      </c>
      <c r="AB57" s="45">
        <v>63.7</v>
      </c>
      <c r="AC57" s="45">
        <v>63.7</v>
      </c>
      <c r="AD57" s="45">
        <v>50.9</v>
      </c>
      <c r="AE57" s="45">
        <v>53.2</v>
      </c>
      <c r="AF57" s="45">
        <v>63.6</v>
      </c>
      <c r="AG57" s="54">
        <v>69</v>
      </c>
      <c r="AH57" s="47">
        <f t="shared" si="2"/>
        <v>65.099999999999994</v>
      </c>
      <c r="AI57" s="48">
        <f t="shared" si="3"/>
        <v>50.9</v>
      </c>
      <c r="AK57" s="50"/>
    </row>
    <row r="58" spans="1:41" x14ac:dyDescent="0.25">
      <c r="A58" s="53" t="s">
        <v>66</v>
      </c>
      <c r="B58" s="64">
        <v>55</v>
      </c>
      <c r="C58" s="64">
        <v>50</v>
      </c>
      <c r="D58" s="64">
        <v>50.2</v>
      </c>
      <c r="E58" s="56">
        <v>50</v>
      </c>
      <c r="F58" s="56">
        <v>45.9</v>
      </c>
      <c r="G58" s="56">
        <v>50.9</v>
      </c>
      <c r="H58" s="56">
        <v>61.2</v>
      </c>
      <c r="I58" s="56">
        <v>60.9</v>
      </c>
      <c r="J58" s="56">
        <v>61.2</v>
      </c>
      <c r="K58" s="56">
        <v>51.9</v>
      </c>
      <c r="L58" s="56">
        <v>50</v>
      </c>
      <c r="M58" s="56">
        <v>50</v>
      </c>
      <c r="N58" s="56">
        <v>50</v>
      </c>
      <c r="O58" s="56">
        <v>50</v>
      </c>
      <c r="P58" s="56">
        <v>50</v>
      </c>
      <c r="Q58" s="56">
        <v>50</v>
      </c>
      <c r="R58" s="56">
        <v>57.4</v>
      </c>
      <c r="S58" s="56">
        <v>57.4</v>
      </c>
      <c r="T58" s="45">
        <v>56.4</v>
      </c>
      <c r="U58" s="45">
        <v>56.4</v>
      </c>
      <c r="V58" s="45">
        <v>56.4</v>
      </c>
      <c r="W58" s="45">
        <v>56.4</v>
      </c>
      <c r="X58" s="45">
        <v>56.4</v>
      </c>
      <c r="Y58" s="45">
        <v>56.4</v>
      </c>
      <c r="Z58" s="45">
        <v>59.4</v>
      </c>
      <c r="AA58" s="45">
        <v>59.5</v>
      </c>
      <c r="AB58" s="45">
        <v>60.6</v>
      </c>
      <c r="AC58" s="45">
        <v>60.6</v>
      </c>
      <c r="AD58" s="45">
        <v>60.6</v>
      </c>
      <c r="AE58" s="45">
        <v>60.6</v>
      </c>
      <c r="AF58" s="45">
        <v>60.6</v>
      </c>
      <c r="AG58" s="54">
        <v>60</v>
      </c>
      <c r="AH58" s="47">
        <f t="shared" si="2"/>
        <v>61.2</v>
      </c>
      <c r="AI58" s="48">
        <f t="shared" si="3"/>
        <v>45.9</v>
      </c>
      <c r="AK58" s="50"/>
    </row>
    <row r="59" spans="1:41" x14ac:dyDescent="0.25">
      <c r="A59" s="53" t="s">
        <v>67</v>
      </c>
      <c r="B59" s="64">
        <v>30</v>
      </c>
      <c r="C59" s="64">
        <v>30</v>
      </c>
      <c r="D59" s="64">
        <v>30</v>
      </c>
      <c r="E59" s="64">
        <v>30</v>
      </c>
      <c r="F59" s="64">
        <v>30</v>
      </c>
      <c r="G59" s="64">
        <v>0</v>
      </c>
      <c r="H59" s="56">
        <v>0</v>
      </c>
      <c r="I59" s="56">
        <v>0</v>
      </c>
      <c r="J59" s="56">
        <v>0</v>
      </c>
      <c r="K59" s="56">
        <v>30</v>
      </c>
      <c r="L59" s="56">
        <v>30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56">
        <v>30</v>
      </c>
      <c r="T59" s="45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1.2</v>
      </c>
      <c r="K60" s="64">
        <v>2</v>
      </c>
      <c r="L60" s="64">
        <v>2.7</v>
      </c>
      <c r="M60" s="64">
        <v>4</v>
      </c>
      <c r="N60" s="64">
        <v>7</v>
      </c>
      <c r="O60" s="64">
        <v>12.8</v>
      </c>
      <c r="P60" s="64">
        <v>10</v>
      </c>
      <c r="Q60" s="64">
        <v>10</v>
      </c>
      <c r="R60" s="64">
        <v>7.4</v>
      </c>
      <c r="S60" s="64">
        <v>7.4</v>
      </c>
      <c r="T60" s="64">
        <v>7.4</v>
      </c>
      <c r="U60" s="64">
        <v>7.4</v>
      </c>
      <c r="V60" s="64">
        <v>7.4</v>
      </c>
      <c r="W60" s="64">
        <v>7.4</v>
      </c>
      <c r="X60" s="64">
        <v>7.4</v>
      </c>
      <c r="Y60" s="64">
        <v>7.4</v>
      </c>
      <c r="Z60" s="64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12.8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50"/>
    </row>
    <row r="62" spans="1:41" x14ac:dyDescent="0.25">
      <c r="A62" s="53" t="s">
        <v>70</v>
      </c>
      <c r="B62" s="64">
        <v>2.2000000000000002</v>
      </c>
      <c r="C62" s="64">
        <v>2.2000000000000002</v>
      </c>
      <c r="D62" s="64">
        <v>2.2000000000000002</v>
      </c>
      <c r="E62" s="64">
        <v>2.2000000000000002</v>
      </c>
      <c r="F62" s="64">
        <v>2.2000000000000002</v>
      </c>
      <c r="G62" s="64">
        <v>2.2000000000000002</v>
      </c>
      <c r="H62" s="64">
        <v>2.2000000000000002</v>
      </c>
      <c r="I62" s="64">
        <v>2.2000000000000002</v>
      </c>
      <c r="J62" s="64">
        <v>2.2000000000000002</v>
      </c>
      <c r="K62" s="64">
        <v>2.2000000000000002</v>
      </c>
      <c r="L62" s="64">
        <v>2.2000000000000002</v>
      </c>
      <c r="M62" s="64">
        <v>2.2000000000000002</v>
      </c>
      <c r="N62" s="64">
        <v>2.2000000000000002</v>
      </c>
      <c r="O62" s="64">
        <v>2.2000000000000002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2.2000000000000002</v>
      </c>
      <c r="AB62" s="64">
        <v>2.2000000000000002</v>
      </c>
      <c r="AC62" s="64">
        <v>2.2000000000000002</v>
      </c>
      <c r="AD62" s="64">
        <v>2.2000000000000002</v>
      </c>
      <c r="AE62" s="64">
        <v>2.2000000000000002</v>
      </c>
      <c r="AF62" s="64">
        <v>2.2000000000000002</v>
      </c>
      <c r="AG62" s="54">
        <v>15</v>
      </c>
      <c r="AH62" s="47">
        <f t="shared" si="2"/>
        <v>2.2000000000000002</v>
      </c>
      <c r="AI62" s="48">
        <f t="shared" si="3"/>
        <v>0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9</v>
      </c>
      <c r="C63" s="64">
        <v>9</v>
      </c>
      <c r="D63" s="64">
        <v>9</v>
      </c>
      <c r="E63" s="64">
        <v>9</v>
      </c>
      <c r="F63" s="64">
        <v>9</v>
      </c>
      <c r="G63" s="64">
        <v>9</v>
      </c>
      <c r="H63" s="64">
        <v>9</v>
      </c>
      <c r="I63" s="64">
        <v>9</v>
      </c>
      <c r="J63" s="64">
        <v>9</v>
      </c>
      <c r="K63" s="64">
        <v>9</v>
      </c>
      <c r="L63" s="64">
        <v>9</v>
      </c>
      <c r="M63" s="64">
        <v>9</v>
      </c>
      <c r="N63" s="64">
        <v>9</v>
      </c>
      <c r="O63" s="64">
        <v>9</v>
      </c>
      <c r="P63" s="64">
        <v>9</v>
      </c>
      <c r="Q63" s="64">
        <v>9</v>
      </c>
      <c r="R63" s="64">
        <v>9</v>
      </c>
      <c r="S63" s="64">
        <v>9</v>
      </c>
      <c r="T63" s="64">
        <v>9</v>
      </c>
      <c r="U63" s="64">
        <v>9</v>
      </c>
      <c r="V63" s="64">
        <v>9</v>
      </c>
      <c r="W63" s="64">
        <v>9</v>
      </c>
      <c r="X63" s="64">
        <v>9</v>
      </c>
      <c r="Y63" s="64">
        <v>9</v>
      </c>
      <c r="Z63" s="64">
        <v>9</v>
      </c>
      <c r="AA63" s="64">
        <v>9</v>
      </c>
      <c r="AB63" s="64">
        <v>9</v>
      </c>
      <c r="AC63" s="64">
        <v>9</v>
      </c>
      <c r="AD63" s="64">
        <v>9</v>
      </c>
      <c r="AE63" s="64">
        <v>9</v>
      </c>
      <c r="AF63" s="64">
        <v>9</v>
      </c>
      <c r="AG63" s="54">
        <v>14.1</v>
      </c>
      <c r="AH63" s="47">
        <f t="shared" si="2"/>
        <v>9</v>
      </c>
      <c r="AI63" s="48">
        <f t="shared" si="3"/>
        <v>9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9.8000000000000007</v>
      </c>
      <c r="C64" s="64">
        <v>9.8000000000000007</v>
      </c>
      <c r="D64" s="64">
        <v>9.8000000000000007</v>
      </c>
      <c r="E64" s="64">
        <v>9.8000000000000007</v>
      </c>
      <c r="F64" s="64">
        <v>9.8000000000000007</v>
      </c>
      <c r="G64" s="64">
        <v>9.8000000000000007</v>
      </c>
      <c r="H64" s="64">
        <v>9.8000000000000007</v>
      </c>
      <c r="I64" s="64">
        <v>9.8000000000000007</v>
      </c>
      <c r="J64" s="64">
        <v>9.8000000000000007</v>
      </c>
      <c r="K64" s="64">
        <v>9.8000000000000007</v>
      </c>
      <c r="L64" s="64">
        <v>9.8000000000000007</v>
      </c>
      <c r="M64" s="64">
        <v>9.8000000000000007</v>
      </c>
      <c r="N64" s="64">
        <v>9.8000000000000007</v>
      </c>
      <c r="O64" s="64">
        <v>7</v>
      </c>
      <c r="P64" s="64">
        <v>7.8</v>
      </c>
      <c r="Q64" s="64">
        <v>7.8</v>
      </c>
      <c r="R64" s="64">
        <v>7.8</v>
      </c>
      <c r="S64" s="64">
        <v>7.8</v>
      </c>
      <c r="T64" s="64">
        <v>7.8</v>
      </c>
      <c r="U64" s="64">
        <v>7.8</v>
      </c>
      <c r="V64" s="64">
        <v>7.8</v>
      </c>
      <c r="W64" s="64">
        <v>7.8</v>
      </c>
      <c r="X64" s="64">
        <v>7.8</v>
      </c>
      <c r="Y64" s="64">
        <v>7.8</v>
      </c>
      <c r="Z64" s="64">
        <v>7.8</v>
      </c>
      <c r="AA64" s="64">
        <v>6</v>
      </c>
      <c r="AB64" s="64">
        <v>6</v>
      </c>
      <c r="AC64" s="64">
        <v>6</v>
      </c>
      <c r="AD64" s="64">
        <v>6</v>
      </c>
      <c r="AE64" s="64">
        <v>6</v>
      </c>
      <c r="AF64" s="64">
        <v>6</v>
      </c>
      <c r="AG64" s="54">
        <v>14</v>
      </c>
      <c r="AH64" s="47">
        <f t="shared" si="2"/>
        <v>9.8000000000000007</v>
      </c>
      <c r="AI64" s="48">
        <f t="shared" si="3"/>
        <v>6</v>
      </c>
      <c r="AK64" s="50"/>
    </row>
    <row r="65" spans="1:40" x14ac:dyDescent="0.25">
      <c r="A65" s="53" t="s">
        <v>73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>
        <v>9</v>
      </c>
      <c r="L65" s="64">
        <v>9</v>
      </c>
      <c r="M65" s="64">
        <v>9</v>
      </c>
      <c r="N65" s="64">
        <v>9</v>
      </c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>
        <v>9</v>
      </c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9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9">SUM(B55:B67)</f>
        <v>388.24</v>
      </c>
      <c r="C68" s="60">
        <f t="shared" si="9"/>
        <v>384.24</v>
      </c>
      <c r="D68" s="60">
        <f t="shared" si="9"/>
        <v>367.64000000000004</v>
      </c>
      <c r="E68" s="60">
        <f t="shared" si="9"/>
        <v>367.94000000000005</v>
      </c>
      <c r="F68" s="60">
        <f t="shared" si="9"/>
        <v>361.14</v>
      </c>
      <c r="G68" s="60">
        <f t="shared" si="9"/>
        <v>357.64</v>
      </c>
      <c r="H68" s="60">
        <f t="shared" si="9"/>
        <v>364.64</v>
      </c>
      <c r="I68" s="60">
        <f t="shared" si="9"/>
        <v>382.04</v>
      </c>
      <c r="J68" s="60">
        <f t="shared" si="9"/>
        <v>383.94</v>
      </c>
      <c r="K68" s="60">
        <f t="shared" si="9"/>
        <v>403.54</v>
      </c>
      <c r="L68" s="60">
        <f t="shared" si="9"/>
        <v>363.84</v>
      </c>
      <c r="M68" s="60">
        <f t="shared" si="9"/>
        <v>365.14</v>
      </c>
      <c r="N68" s="60">
        <f t="shared" si="9"/>
        <v>368.14</v>
      </c>
      <c r="O68" s="60">
        <f t="shared" si="9"/>
        <v>371.14</v>
      </c>
      <c r="P68" s="60">
        <f t="shared" si="9"/>
        <v>373.94</v>
      </c>
      <c r="Q68" s="60">
        <f t="shared" si="9"/>
        <v>406.94</v>
      </c>
      <c r="R68" s="60">
        <f t="shared" si="9"/>
        <v>407.54</v>
      </c>
      <c r="S68" s="60">
        <f t="shared" si="9"/>
        <v>406.34</v>
      </c>
      <c r="T68" s="60">
        <f t="shared" si="9"/>
        <v>402.04</v>
      </c>
      <c r="U68" s="60">
        <f t="shared" si="9"/>
        <v>408.34</v>
      </c>
      <c r="V68" s="60">
        <f t="shared" si="9"/>
        <v>384.44</v>
      </c>
      <c r="W68" s="60">
        <f t="shared" si="9"/>
        <v>389.34</v>
      </c>
      <c r="X68" s="60">
        <f t="shared" si="9"/>
        <v>402.84</v>
      </c>
      <c r="Y68" s="60">
        <f t="shared" si="9"/>
        <v>412.84</v>
      </c>
      <c r="Z68" s="60">
        <f t="shared" si="9"/>
        <v>409.34</v>
      </c>
      <c r="AA68" s="60">
        <f t="shared" ref="AA68" si="10">SUM(AA55:AA67)</f>
        <v>406.94</v>
      </c>
      <c r="AB68" s="60">
        <f t="shared" si="9"/>
        <v>400.24</v>
      </c>
      <c r="AC68" s="60">
        <f t="shared" si="9"/>
        <v>400.24</v>
      </c>
      <c r="AD68" s="60">
        <f t="shared" si="9"/>
        <v>395.34000000000003</v>
      </c>
      <c r="AE68" s="60">
        <f t="shared" si="9"/>
        <v>397.64000000000004</v>
      </c>
      <c r="AF68" s="60">
        <f t="shared" si="9"/>
        <v>397.24</v>
      </c>
      <c r="AG68" s="61">
        <f t="shared" si="9"/>
        <v>489.91</v>
      </c>
      <c r="AH68" s="47">
        <f t="shared" si="2"/>
        <v>412.84</v>
      </c>
      <c r="AI68" s="48">
        <f t="shared" si="3"/>
        <v>357.64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55</v>
      </c>
      <c r="AB69" s="45">
        <v>30.2</v>
      </c>
      <c r="AC69" s="45">
        <v>30.2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55</v>
      </c>
      <c r="AI69" s="48">
        <f t="shared" si="3"/>
        <v>0</v>
      </c>
      <c r="AK69" s="50"/>
    </row>
    <row r="70" spans="1:40" x14ac:dyDescent="0.25">
      <c r="A70" s="53" t="s">
        <v>78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>
        <v>3.8</v>
      </c>
      <c r="N70" s="64">
        <v>3.8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25.4</v>
      </c>
      <c r="AB70" s="64">
        <v>15.2</v>
      </c>
      <c r="AC70" s="64">
        <v>15.2</v>
      </c>
      <c r="AD70" s="45">
        <v>0</v>
      </c>
      <c r="AE70" s="45">
        <v>0</v>
      </c>
      <c r="AF70" s="45">
        <v>0</v>
      </c>
      <c r="AG70" s="54">
        <v>32</v>
      </c>
      <c r="AH70" s="47">
        <f t="shared" si="2"/>
        <v>25.4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>
        <v>1.4</v>
      </c>
      <c r="N71" s="66">
        <v>1.4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9.3000000000000007</v>
      </c>
      <c r="AB71" s="66">
        <v>5.6</v>
      </c>
      <c r="AC71" s="66">
        <v>5.6</v>
      </c>
      <c r="AD71" s="45">
        <v>0</v>
      </c>
      <c r="AE71" s="45">
        <v>0</v>
      </c>
      <c r="AF71" s="45">
        <v>0</v>
      </c>
      <c r="AG71" s="67">
        <v>14</v>
      </c>
      <c r="AH71" s="47">
        <f t="shared" si="2"/>
        <v>9.3000000000000007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1">M69+M70+M71</f>
        <v>5.1999999999999993</v>
      </c>
      <c r="N72" s="60">
        <f t="shared" si="11"/>
        <v>5.1999999999999993</v>
      </c>
      <c r="O72" s="60">
        <f t="shared" si="11"/>
        <v>0</v>
      </c>
      <c r="P72" s="60">
        <f t="shared" si="11"/>
        <v>0</v>
      </c>
      <c r="Q72" s="60">
        <f t="shared" si="11"/>
        <v>0</v>
      </c>
      <c r="R72" s="60">
        <f t="shared" si="11"/>
        <v>0</v>
      </c>
      <c r="S72" s="60">
        <f t="shared" si="11"/>
        <v>0</v>
      </c>
      <c r="T72" s="60">
        <f t="shared" si="11"/>
        <v>0</v>
      </c>
      <c r="U72" s="60">
        <f t="shared" si="11"/>
        <v>0</v>
      </c>
      <c r="V72" s="60">
        <f t="shared" si="11"/>
        <v>0</v>
      </c>
      <c r="W72" s="60">
        <f t="shared" si="11"/>
        <v>0</v>
      </c>
      <c r="X72" s="60">
        <f t="shared" si="11"/>
        <v>0</v>
      </c>
      <c r="Y72" s="60">
        <f t="shared" si="11"/>
        <v>0</v>
      </c>
      <c r="Z72" s="60">
        <f t="shared" si="11"/>
        <v>0</v>
      </c>
      <c r="AA72" s="60">
        <f t="shared" ref="AA72" si="12">SUM(AA69:AA71)</f>
        <v>89.7</v>
      </c>
      <c r="AB72" s="60">
        <f t="shared" si="11"/>
        <v>51</v>
      </c>
      <c r="AC72" s="60">
        <f t="shared" si="11"/>
        <v>51</v>
      </c>
      <c r="AD72" s="60">
        <f t="shared" si="11"/>
        <v>0</v>
      </c>
      <c r="AE72" s="60">
        <f t="shared" si="11"/>
        <v>0</v>
      </c>
      <c r="AF72" s="60">
        <f t="shared" si="11"/>
        <v>0</v>
      </c>
      <c r="AG72" s="61">
        <f>SUM(AG69:AG71)</f>
        <v>106</v>
      </c>
      <c r="AH72" s="47">
        <f t="shared" si="2"/>
        <v>89.7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-1.6</v>
      </c>
      <c r="C73" s="45">
        <v>-2.2000000000000002</v>
      </c>
      <c r="D73" s="45">
        <v>-11.3</v>
      </c>
      <c r="E73" s="45">
        <v>-4.7</v>
      </c>
      <c r="F73" s="45">
        <v>-11.1</v>
      </c>
      <c r="G73" s="45">
        <v>1</v>
      </c>
      <c r="H73" s="45">
        <v>-8.1</v>
      </c>
      <c r="I73" s="45">
        <v>-4.3</v>
      </c>
      <c r="J73" s="45">
        <v>-11.7</v>
      </c>
      <c r="K73" s="45">
        <v>-5.6</v>
      </c>
      <c r="L73" s="45">
        <v>-7.2</v>
      </c>
      <c r="M73" s="45">
        <v>1.7</v>
      </c>
      <c r="N73" s="45">
        <v>-2</v>
      </c>
      <c r="O73" s="45">
        <v>-5</v>
      </c>
      <c r="P73" s="45">
        <v>5</v>
      </c>
      <c r="Q73" s="45">
        <v>-3</v>
      </c>
      <c r="R73" s="45">
        <v>-8.4</v>
      </c>
      <c r="S73" s="45">
        <v>-2.9</v>
      </c>
      <c r="T73" s="45">
        <v>4.3</v>
      </c>
      <c r="U73" s="45">
        <v>6</v>
      </c>
      <c r="V73" s="45">
        <v>6</v>
      </c>
      <c r="W73" s="45">
        <v>6</v>
      </c>
      <c r="X73" s="45">
        <v>6</v>
      </c>
      <c r="Y73" s="45">
        <v>7.7</v>
      </c>
      <c r="Z73" s="45">
        <v>41.7</v>
      </c>
      <c r="AA73" s="45">
        <v>45.8</v>
      </c>
      <c r="AB73" s="45">
        <v>55.2</v>
      </c>
      <c r="AC73" s="45">
        <v>53.2</v>
      </c>
      <c r="AD73" s="45">
        <v>21</v>
      </c>
      <c r="AE73" s="45">
        <v>18.100000000000001</v>
      </c>
      <c r="AF73" s="45">
        <v>9</v>
      </c>
      <c r="AG73" s="51"/>
      <c r="AH73" s="47">
        <f t="shared" si="2"/>
        <v>55.2</v>
      </c>
      <c r="AI73" s="48">
        <f t="shared" si="3"/>
        <v>-11.7</v>
      </c>
      <c r="AK73" s="50" t="s">
        <v>301</v>
      </c>
    </row>
    <row r="74" spans="1:40" x14ac:dyDescent="0.25">
      <c r="A74" s="53" t="s">
        <v>82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-312</v>
      </c>
      <c r="C75" s="64">
        <v>-323.7</v>
      </c>
      <c r="D75" s="64">
        <v>-332.4</v>
      </c>
      <c r="E75" s="64">
        <v>-348.9</v>
      </c>
      <c r="F75" s="64">
        <v>-384.8</v>
      </c>
      <c r="G75" s="64">
        <v>-376.9</v>
      </c>
      <c r="H75" s="64">
        <v>-388.7</v>
      </c>
      <c r="I75" s="64">
        <v>-439</v>
      </c>
      <c r="J75" s="64">
        <v>-440.6</v>
      </c>
      <c r="K75" s="64">
        <v>-436.9</v>
      </c>
      <c r="L75" s="64">
        <v>-334</v>
      </c>
      <c r="M75" s="64">
        <v>-314.5</v>
      </c>
      <c r="N75" s="64">
        <v>-239.2</v>
      </c>
      <c r="O75" s="64">
        <v>-183.5</v>
      </c>
      <c r="P75" s="64">
        <v>-175</v>
      </c>
      <c r="Q75" s="64">
        <v>-177.6</v>
      </c>
      <c r="R75" s="64">
        <v>-178.7</v>
      </c>
      <c r="S75" s="64">
        <v>-167</v>
      </c>
      <c r="T75" s="64">
        <v>-158</v>
      </c>
      <c r="U75" s="64">
        <v>-185</v>
      </c>
      <c r="V75" s="64">
        <v>-275</v>
      </c>
      <c r="W75" s="64">
        <v>-280</v>
      </c>
      <c r="X75" s="64">
        <v>-252</v>
      </c>
      <c r="Y75" s="64">
        <v>-206</v>
      </c>
      <c r="Z75" s="64">
        <v>-217</v>
      </c>
      <c r="AA75" s="64">
        <v>-244</v>
      </c>
      <c r="AB75" s="64">
        <v>-30.9</v>
      </c>
      <c r="AC75" s="64">
        <v>-300</v>
      </c>
      <c r="AD75" s="64">
        <v>-326</v>
      </c>
      <c r="AE75" s="64">
        <v>-332</v>
      </c>
      <c r="AF75" s="64">
        <v>-361</v>
      </c>
      <c r="AG75" s="74"/>
      <c r="AH75" s="47">
        <f t="shared" si="2"/>
        <v>-30.9</v>
      </c>
      <c r="AI75" s="48">
        <f t="shared" si="3"/>
        <v>-440.6</v>
      </c>
      <c r="AK75" s="50"/>
    </row>
    <row r="76" spans="1:40" x14ac:dyDescent="0.25">
      <c r="A76" s="53" t="s">
        <v>84</v>
      </c>
      <c r="B76" s="64"/>
      <c r="C76" s="64"/>
      <c r="D76" s="64"/>
      <c r="E76" s="75"/>
      <c r="F76" s="75"/>
      <c r="G76" s="75"/>
      <c r="H76" s="75"/>
      <c r="I76" s="75"/>
      <c r="J76" s="75"/>
      <c r="K76" s="75"/>
      <c r="L76" s="75"/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45"/>
      <c r="D77" s="64"/>
      <c r="E77" s="45"/>
      <c r="F77" s="45"/>
      <c r="G77" s="45"/>
      <c r="H77" s="45"/>
      <c r="I77" s="45"/>
      <c r="J77" s="45"/>
      <c r="K77" s="45"/>
      <c r="L77" s="45"/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4"/>
      <c r="AH77" s="47">
        <f t="shared" ref="AH77:AH120" si="13">MAX(B77:AF77)</f>
        <v>0</v>
      </c>
      <c r="AI77" s="48">
        <f t="shared" ref="AI77:AI120" si="14">MIN(B77:AF77)</f>
        <v>0</v>
      </c>
      <c r="AK77" s="50"/>
    </row>
    <row r="78" spans="1:40" x14ac:dyDescent="0.25">
      <c r="A78" s="53" t="s">
        <v>86</v>
      </c>
      <c r="B78" s="45"/>
      <c r="C78" s="76"/>
      <c r="D78" s="64"/>
      <c r="E78" s="76"/>
      <c r="F78" s="76"/>
      <c r="G78" s="76"/>
      <c r="H78" s="76"/>
      <c r="I78" s="76"/>
      <c r="J78" s="76"/>
      <c r="K78" s="76"/>
      <c r="L78" s="76"/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74"/>
      <c r="AH78" s="47">
        <f t="shared" si="13"/>
        <v>0</v>
      </c>
      <c r="AI78" s="48">
        <f t="shared" si="14"/>
        <v>0</v>
      </c>
      <c r="AK78" s="50"/>
    </row>
    <row r="79" spans="1:40" ht="15.75" thickBot="1" x14ac:dyDescent="0.3">
      <c r="A79" s="53" t="s">
        <v>87</v>
      </c>
      <c r="B79" s="45"/>
      <c r="C79" s="76"/>
      <c r="D79" s="64"/>
      <c r="E79" s="76"/>
      <c r="F79" s="76"/>
      <c r="G79" s="76"/>
      <c r="H79" s="76"/>
      <c r="I79" s="76"/>
      <c r="J79" s="76"/>
      <c r="K79" s="76"/>
      <c r="L79" s="76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74"/>
      <c r="AH79" s="47">
        <f t="shared" si="13"/>
        <v>0</v>
      </c>
      <c r="AI79" s="48">
        <f t="shared" si="14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/>
      <c r="C80" s="76"/>
      <c r="D80" s="64"/>
      <c r="E80" s="76"/>
      <c r="F80" s="76"/>
      <c r="G80" s="76"/>
      <c r="H80" s="76"/>
      <c r="I80" s="76"/>
      <c r="J80" s="76"/>
      <c r="K80" s="76"/>
      <c r="L80" s="76"/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0</v>
      </c>
      <c r="AB80" s="76">
        <v>0</v>
      </c>
      <c r="AC80" s="76">
        <v>0</v>
      </c>
      <c r="AD80" s="76">
        <v>0</v>
      </c>
      <c r="AE80" s="76">
        <v>0</v>
      </c>
      <c r="AF80" s="76">
        <v>0</v>
      </c>
      <c r="AG80" s="74"/>
      <c r="AH80" s="47">
        <f t="shared" si="13"/>
        <v>0</v>
      </c>
      <c r="AI80" s="48">
        <f t="shared" si="14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/>
      <c r="C81" s="76"/>
      <c r="D81" s="64"/>
      <c r="E81" s="76"/>
      <c r="F81" s="76"/>
      <c r="G81" s="76"/>
      <c r="H81" s="76"/>
      <c r="I81" s="76"/>
      <c r="J81" s="76"/>
      <c r="K81" s="76"/>
      <c r="L81" s="76"/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4"/>
      <c r="AH81" s="47">
        <f t="shared" si="13"/>
        <v>0</v>
      </c>
      <c r="AI81" s="48">
        <f t="shared" si="14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/>
      <c r="C82" s="76"/>
      <c r="D82" s="64"/>
      <c r="E82" s="76"/>
      <c r="F82" s="76"/>
      <c r="G82" s="76"/>
      <c r="H82" s="76"/>
      <c r="I82" s="76"/>
      <c r="J82" s="76"/>
      <c r="K82" s="76"/>
      <c r="L82" s="76"/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0</v>
      </c>
      <c r="Z82" s="76">
        <v>0</v>
      </c>
      <c r="AA82" s="76">
        <v>0</v>
      </c>
      <c r="AB82" s="76">
        <v>0</v>
      </c>
      <c r="AC82" s="76">
        <v>0</v>
      </c>
      <c r="AD82" s="76">
        <v>0</v>
      </c>
      <c r="AE82" s="76">
        <v>0</v>
      </c>
      <c r="AF82" s="76">
        <v>0</v>
      </c>
      <c r="AG82" s="84"/>
      <c r="AH82" s="47">
        <f t="shared" si="13"/>
        <v>0</v>
      </c>
      <c r="AI82" s="48">
        <f t="shared" si="14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/>
      <c r="C83" s="76"/>
      <c r="D83" s="64"/>
      <c r="E83" s="76"/>
      <c r="F83" s="76"/>
      <c r="G83" s="76"/>
      <c r="H83" s="76"/>
      <c r="I83" s="76"/>
      <c r="J83" s="76"/>
      <c r="K83" s="76"/>
      <c r="L83" s="76"/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  <c r="Z83" s="76">
        <v>0</v>
      </c>
      <c r="AA83" s="76">
        <v>0</v>
      </c>
      <c r="AB83" s="76">
        <v>0</v>
      </c>
      <c r="AC83" s="76">
        <v>0</v>
      </c>
      <c r="AD83" s="76">
        <v>0</v>
      </c>
      <c r="AE83" s="76">
        <v>0</v>
      </c>
      <c r="AF83" s="76">
        <v>0</v>
      </c>
      <c r="AG83" s="84"/>
      <c r="AH83" s="47">
        <f t="shared" si="13"/>
        <v>0</v>
      </c>
      <c r="AI83" s="48">
        <f t="shared" si="14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15">SUMIF(B73:B83,"&gt;0")</f>
        <v>0</v>
      </c>
      <c r="C84" s="60">
        <f t="shared" si="15"/>
        <v>0</v>
      </c>
      <c r="D84" s="60">
        <f t="shared" si="15"/>
        <v>0</v>
      </c>
      <c r="E84" s="60">
        <f t="shared" si="15"/>
        <v>0</v>
      </c>
      <c r="F84" s="60">
        <f t="shared" si="15"/>
        <v>0</v>
      </c>
      <c r="G84" s="60">
        <f t="shared" si="15"/>
        <v>1</v>
      </c>
      <c r="H84" s="60">
        <f t="shared" si="15"/>
        <v>0</v>
      </c>
      <c r="I84" s="60">
        <f t="shared" si="15"/>
        <v>0</v>
      </c>
      <c r="J84" s="60">
        <f t="shared" si="15"/>
        <v>0</v>
      </c>
      <c r="K84" s="60">
        <f t="shared" si="15"/>
        <v>0</v>
      </c>
      <c r="L84" s="60">
        <f t="shared" si="15"/>
        <v>0</v>
      </c>
      <c r="M84" s="60">
        <f t="shared" si="15"/>
        <v>1.7</v>
      </c>
      <c r="N84" s="60">
        <f t="shared" si="15"/>
        <v>0</v>
      </c>
      <c r="O84" s="60">
        <f t="shared" si="15"/>
        <v>0</v>
      </c>
      <c r="P84" s="60">
        <f t="shared" si="15"/>
        <v>5</v>
      </c>
      <c r="Q84" s="60">
        <f t="shared" si="15"/>
        <v>0</v>
      </c>
      <c r="R84" s="60">
        <f t="shared" si="15"/>
        <v>0</v>
      </c>
      <c r="S84" s="60">
        <f t="shared" si="15"/>
        <v>0</v>
      </c>
      <c r="T84" s="60">
        <f t="shared" si="15"/>
        <v>4.3</v>
      </c>
      <c r="U84" s="60">
        <f t="shared" si="15"/>
        <v>6</v>
      </c>
      <c r="V84" s="60">
        <f t="shared" si="15"/>
        <v>6</v>
      </c>
      <c r="W84" s="60">
        <f t="shared" si="15"/>
        <v>6</v>
      </c>
      <c r="X84" s="60">
        <f t="shared" si="15"/>
        <v>6</v>
      </c>
      <c r="Y84" s="60">
        <f t="shared" si="15"/>
        <v>7.7</v>
      </c>
      <c r="Z84" s="60">
        <f t="shared" si="15"/>
        <v>41.7</v>
      </c>
      <c r="AA84" s="60">
        <f t="shared" si="15"/>
        <v>45.8</v>
      </c>
      <c r="AB84" s="60">
        <f t="shared" si="15"/>
        <v>55.2</v>
      </c>
      <c r="AC84" s="60">
        <f t="shared" si="15"/>
        <v>53.2</v>
      </c>
      <c r="AD84" s="60">
        <f t="shared" si="15"/>
        <v>21</v>
      </c>
      <c r="AE84" s="60">
        <f t="shared" si="15"/>
        <v>18.100000000000001</v>
      </c>
      <c r="AF84" s="60">
        <f t="shared" si="15"/>
        <v>9</v>
      </c>
      <c r="AG84" s="87">
        <f>SUM(AG73:AG83)</f>
        <v>0</v>
      </c>
      <c r="AH84" s="47">
        <f t="shared" si="13"/>
        <v>55.2</v>
      </c>
      <c r="AI84" s="48">
        <f t="shared" si="14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3"/>
        <v>0</v>
      </c>
      <c r="AI85" s="48">
        <f t="shared" si="14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3"/>
        <v>0</v>
      </c>
      <c r="AI86" s="48">
        <f t="shared" si="14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3"/>
        <v>0</v>
      </c>
      <c r="AI87" s="48">
        <f t="shared" si="14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>
        <f>SUM(AA85:AA87)</f>
        <v>0</v>
      </c>
      <c r="AB88" s="60"/>
      <c r="AC88" s="60"/>
      <c r="AD88" s="60"/>
      <c r="AE88" s="60"/>
      <c r="AF88" s="60"/>
      <c r="AG88" s="87">
        <f>SUM(AG85:AG87)</f>
        <v>55.4</v>
      </c>
      <c r="AH88" s="47">
        <f t="shared" si="13"/>
        <v>0</v>
      </c>
      <c r="AI88" s="48">
        <f t="shared" si="14"/>
        <v>0</v>
      </c>
    </row>
    <row r="89" spans="1:40" ht="15.75" thickBot="1" x14ac:dyDescent="0.3">
      <c r="A89" s="73" t="s">
        <v>100</v>
      </c>
      <c r="B89" s="94">
        <f t="shared" ref="B89:AG89" si="16">B50+B54+B72+B68+B84+B88</f>
        <v>1970.84</v>
      </c>
      <c r="C89" s="94">
        <f t="shared" si="16"/>
        <v>1966.84</v>
      </c>
      <c r="D89" s="94">
        <f t="shared" si="16"/>
        <v>1947.64</v>
      </c>
      <c r="E89" s="94">
        <f t="shared" si="16"/>
        <v>1947.94</v>
      </c>
      <c r="F89" s="94">
        <f t="shared" si="16"/>
        <v>1937.1399999999999</v>
      </c>
      <c r="G89" s="94">
        <f t="shared" si="16"/>
        <v>1934.6399999999999</v>
      </c>
      <c r="H89" s="94">
        <f t="shared" si="16"/>
        <v>1941.1399999999999</v>
      </c>
      <c r="I89" s="94">
        <f t="shared" si="16"/>
        <v>1958.54</v>
      </c>
      <c r="J89" s="94">
        <f t="shared" si="16"/>
        <v>1982.94</v>
      </c>
      <c r="K89" s="94">
        <f t="shared" si="16"/>
        <v>2002.54</v>
      </c>
      <c r="L89" s="94">
        <f t="shared" si="16"/>
        <v>1957.04</v>
      </c>
      <c r="M89" s="94">
        <f t="shared" si="16"/>
        <v>1980.74</v>
      </c>
      <c r="N89" s="94">
        <f t="shared" si="16"/>
        <v>1907.1399999999999</v>
      </c>
      <c r="O89" s="94">
        <f t="shared" si="16"/>
        <v>1906.94</v>
      </c>
      <c r="P89" s="94">
        <f t="shared" si="16"/>
        <v>1928.8400000000001</v>
      </c>
      <c r="Q89" s="94">
        <f t="shared" si="16"/>
        <v>1956.8400000000001</v>
      </c>
      <c r="R89" s="94">
        <f t="shared" si="16"/>
        <v>1958.24</v>
      </c>
      <c r="S89" s="94">
        <f t="shared" si="16"/>
        <v>1935.04</v>
      </c>
      <c r="T89" s="94">
        <f t="shared" si="16"/>
        <v>1924.04</v>
      </c>
      <c r="U89" s="94">
        <f t="shared" si="16"/>
        <v>1941.04</v>
      </c>
      <c r="V89" s="94">
        <f t="shared" si="16"/>
        <v>1917.14</v>
      </c>
      <c r="W89" s="94">
        <f t="shared" si="16"/>
        <v>1922.04</v>
      </c>
      <c r="X89" s="94">
        <f t="shared" si="16"/>
        <v>1926.54</v>
      </c>
      <c r="Y89" s="94">
        <f t="shared" si="16"/>
        <v>1937.84</v>
      </c>
      <c r="Z89" s="94">
        <f t="shared" si="16"/>
        <v>1968.34</v>
      </c>
      <c r="AA89" s="94">
        <f>SUM(AA50,AA54,AA68,AA72,AA84,AA88)</f>
        <v>2122.14</v>
      </c>
      <c r="AB89" s="94">
        <f t="shared" si="16"/>
        <v>2172.2399999999998</v>
      </c>
      <c r="AC89" s="94">
        <f t="shared" si="16"/>
        <v>2162.2399999999998</v>
      </c>
      <c r="AD89" s="94">
        <f t="shared" si="16"/>
        <v>2074.14</v>
      </c>
      <c r="AE89" s="94">
        <f t="shared" si="16"/>
        <v>2065.84</v>
      </c>
      <c r="AF89" s="94">
        <f t="shared" si="16"/>
        <v>2020.34</v>
      </c>
      <c r="AG89" s="61">
        <f t="shared" si="16"/>
        <v>2111.5500000000002</v>
      </c>
      <c r="AH89" s="47">
        <f t="shared" si="13"/>
        <v>2172.2399999999998</v>
      </c>
      <c r="AI89" s="48">
        <f t="shared" si="14"/>
        <v>1906.94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>
        <v>15</v>
      </c>
      <c r="AB90" s="96"/>
      <c r="AC90" s="96"/>
      <c r="AD90" s="96"/>
      <c r="AE90" s="96"/>
      <c r="AF90" s="96"/>
      <c r="AG90" s="87"/>
      <c r="AH90" s="47">
        <f t="shared" si="13"/>
        <v>15</v>
      </c>
      <c r="AI90" s="48">
        <f t="shared" si="14"/>
        <v>15</v>
      </c>
    </row>
    <row r="91" spans="1:40" ht="15.75" thickBot="1" x14ac:dyDescent="0.3">
      <c r="A91" s="73" t="s">
        <v>102</v>
      </c>
      <c r="B91" s="94">
        <f t="shared" ref="B91:AF91" si="17">B89+B90</f>
        <v>1970.84</v>
      </c>
      <c r="C91" s="94">
        <f t="shared" si="17"/>
        <v>1966.84</v>
      </c>
      <c r="D91" s="94">
        <f t="shared" si="17"/>
        <v>1947.64</v>
      </c>
      <c r="E91" s="94">
        <f t="shared" si="17"/>
        <v>1947.94</v>
      </c>
      <c r="F91" s="94">
        <f t="shared" si="17"/>
        <v>1937.1399999999999</v>
      </c>
      <c r="G91" s="94">
        <f t="shared" si="17"/>
        <v>1934.6399999999999</v>
      </c>
      <c r="H91" s="94">
        <f t="shared" si="17"/>
        <v>1941.1399999999999</v>
      </c>
      <c r="I91" s="94">
        <f t="shared" si="17"/>
        <v>1958.54</v>
      </c>
      <c r="J91" s="94">
        <f t="shared" si="17"/>
        <v>1982.94</v>
      </c>
      <c r="K91" s="94">
        <f t="shared" si="17"/>
        <v>2002.54</v>
      </c>
      <c r="L91" s="94">
        <f t="shared" si="17"/>
        <v>1957.04</v>
      </c>
      <c r="M91" s="94">
        <f t="shared" si="17"/>
        <v>1980.74</v>
      </c>
      <c r="N91" s="94">
        <f t="shared" si="17"/>
        <v>1907.1399999999999</v>
      </c>
      <c r="O91" s="94">
        <f t="shared" si="17"/>
        <v>1906.94</v>
      </c>
      <c r="P91" s="94">
        <f t="shared" si="17"/>
        <v>1928.8400000000001</v>
      </c>
      <c r="Q91" s="94">
        <f t="shared" si="17"/>
        <v>1956.8400000000001</v>
      </c>
      <c r="R91" s="94">
        <f t="shared" si="17"/>
        <v>1958.24</v>
      </c>
      <c r="S91" s="94">
        <f t="shared" si="17"/>
        <v>1935.04</v>
      </c>
      <c r="T91" s="94">
        <f t="shared" si="17"/>
        <v>1924.04</v>
      </c>
      <c r="U91" s="94">
        <f t="shared" si="17"/>
        <v>1941.04</v>
      </c>
      <c r="V91" s="94">
        <f t="shared" si="17"/>
        <v>1917.14</v>
      </c>
      <c r="W91" s="94">
        <f t="shared" si="17"/>
        <v>1922.04</v>
      </c>
      <c r="X91" s="94">
        <f t="shared" si="17"/>
        <v>1926.54</v>
      </c>
      <c r="Y91" s="94">
        <f t="shared" si="17"/>
        <v>1937.84</v>
      </c>
      <c r="Z91" s="94">
        <f t="shared" si="17"/>
        <v>1968.34</v>
      </c>
      <c r="AA91" s="94">
        <f>SUM(AA89+AA90)</f>
        <v>2137.14</v>
      </c>
      <c r="AB91" s="94">
        <f t="shared" si="17"/>
        <v>2172.2399999999998</v>
      </c>
      <c r="AC91" s="94">
        <f t="shared" si="17"/>
        <v>2162.2399999999998</v>
      </c>
      <c r="AD91" s="94">
        <f t="shared" si="17"/>
        <v>2074.14</v>
      </c>
      <c r="AE91" s="94">
        <f t="shared" si="17"/>
        <v>2065.84</v>
      </c>
      <c r="AF91" s="94">
        <f t="shared" si="17"/>
        <v>2020.34</v>
      </c>
      <c r="AG91" s="87">
        <f>AG88+AG84+AG72+AG68+AG50+AG90</f>
        <v>1573.45</v>
      </c>
      <c r="AH91" s="47">
        <f t="shared" si="13"/>
        <v>2172.2399999999998</v>
      </c>
      <c r="AI91" s="48">
        <f t="shared" si="14"/>
        <v>1906.94</v>
      </c>
    </row>
    <row r="92" spans="1:40" ht="15.75" thickBot="1" x14ac:dyDescent="0.3">
      <c r="A92" s="73" t="s">
        <v>103</v>
      </c>
      <c r="B92" s="94">
        <f t="shared" ref="B92:AF92" si="18">B91-B99</f>
        <v>1970.84</v>
      </c>
      <c r="C92" s="94">
        <f t="shared" si="18"/>
        <v>1966.84</v>
      </c>
      <c r="D92" s="94">
        <f t="shared" si="18"/>
        <v>1947.64</v>
      </c>
      <c r="E92" s="94">
        <f t="shared" si="18"/>
        <v>1947.94</v>
      </c>
      <c r="F92" s="94">
        <f t="shared" si="18"/>
        <v>1937.1399999999999</v>
      </c>
      <c r="G92" s="94">
        <f t="shared" si="18"/>
        <v>1934.6399999999999</v>
      </c>
      <c r="H92" s="94">
        <f t="shared" si="18"/>
        <v>1941.1399999999999</v>
      </c>
      <c r="I92" s="94">
        <f t="shared" si="18"/>
        <v>1958.54</v>
      </c>
      <c r="J92" s="94">
        <f t="shared" si="18"/>
        <v>1982.94</v>
      </c>
      <c r="K92" s="94">
        <f t="shared" si="18"/>
        <v>2002.54</v>
      </c>
      <c r="L92" s="94">
        <f t="shared" si="18"/>
        <v>1957.04</v>
      </c>
      <c r="M92" s="94">
        <f t="shared" si="18"/>
        <v>1980.74</v>
      </c>
      <c r="N92" s="94">
        <f t="shared" si="18"/>
        <v>1907.1399999999999</v>
      </c>
      <c r="O92" s="94">
        <f t="shared" si="18"/>
        <v>1906.94</v>
      </c>
      <c r="P92" s="94">
        <f t="shared" si="18"/>
        <v>1928.8400000000001</v>
      </c>
      <c r="Q92" s="94">
        <f t="shared" si="18"/>
        <v>1956.8400000000001</v>
      </c>
      <c r="R92" s="94">
        <f t="shared" si="18"/>
        <v>1958.24</v>
      </c>
      <c r="S92" s="94">
        <f t="shared" si="18"/>
        <v>1935.04</v>
      </c>
      <c r="T92" s="94">
        <f t="shared" si="18"/>
        <v>1924.04</v>
      </c>
      <c r="U92" s="94">
        <f t="shared" si="18"/>
        <v>1941.04</v>
      </c>
      <c r="V92" s="94">
        <f t="shared" si="18"/>
        <v>1917.14</v>
      </c>
      <c r="W92" s="94">
        <f t="shared" si="18"/>
        <v>1922.04</v>
      </c>
      <c r="X92" s="94">
        <f t="shared" si="18"/>
        <v>1926.54</v>
      </c>
      <c r="Y92" s="94">
        <f t="shared" si="18"/>
        <v>1937.84</v>
      </c>
      <c r="Z92" s="94">
        <f t="shared" si="18"/>
        <v>1968.34</v>
      </c>
      <c r="AA92" s="94">
        <f>AA91-AA99</f>
        <v>1893.1399999999999</v>
      </c>
      <c r="AB92" s="94">
        <f t="shared" si="18"/>
        <v>2172.2399999999998</v>
      </c>
      <c r="AC92" s="94">
        <f t="shared" si="18"/>
        <v>2162.2399999999998</v>
      </c>
      <c r="AD92" s="94">
        <f t="shared" si="18"/>
        <v>2074.14</v>
      </c>
      <c r="AE92" s="94">
        <f t="shared" si="18"/>
        <v>2065.84</v>
      </c>
      <c r="AF92" s="94">
        <f t="shared" si="18"/>
        <v>2020.34</v>
      </c>
      <c r="AG92" s="87"/>
      <c r="AH92" s="47">
        <f t="shared" si="13"/>
        <v>2172.2399999999998</v>
      </c>
      <c r="AI92" s="48">
        <f t="shared" si="14"/>
        <v>1893.1399999999999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3"/>
        <v>0</v>
      </c>
      <c r="AI93" s="48">
        <f t="shared" si="14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3"/>
        <v>0</v>
      </c>
      <c r="AI94" s="48">
        <f t="shared" si="14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3"/>
        <v>0</v>
      </c>
      <c r="AI95" s="48">
        <f t="shared" si="14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3"/>
        <v>0</v>
      </c>
      <c r="AI96" s="48">
        <f t="shared" si="14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3"/>
        <v>0</v>
      </c>
      <c r="AI97" s="48">
        <f t="shared" si="14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3"/>
        <v>0</v>
      </c>
      <c r="AI98" s="48">
        <f t="shared" si="14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f>-AA75</f>
        <v>244</v>
      </c>
      <c r="AB99" s="60"/>
      <c r="AC99" s="60"/>
      <c r="AD99" s="60"/>
      <c r="AE99" s="60"/>
      <c r="AF99" s="60"/>
      <c r="AG99" s="87"/>
      <c r="AH99" s="47">
        <f t="shared" si="13"/>
        <v>244</v>
      </c>
      <c r="AI99" s="48">
        <f t="shared" si="14"/>
        <v>244</v>
      </c>
      <c r="AK99" s="50"/>
    </row>
    <row r="100" spans="1:37" ht="15.75" thickBot="1" x14ac:dyDescent="0.3">
      <c r="A100" s="73" t="s">
        <v>108</v>
      </c>
      <c r="B100" s="60">
        <f t="shared" ref="B100:AF100" si="19">B84-B99</f>
        <v>0</v>
      </c>
      <c r="C100" s="60">
        <f t="shared" si="19"/>
        <v>0</v>
      </c>
      <c r="D100" s="60">
        <f t="shared" si="19"/>
        <v>0</v>
      </c>
      <c r="E100" s="60">
        <f t="shared" si="19"/>
        <v>0</v>
      </c>
      <c r="F100" s="60">
        <f t="shared" si="19"/>
        <v>0</v>
      </c>
      <c r="G100" s="60">
        <f t="shared" si="19"/>
        <v>1</v>
      </c>
      <c r="H100" s="60">
        <f t="shared" si="19"/>
        <v>0</v>
      </c>
      <c r="I100" s="60">
        <f t="shared" si="19"/>
        <v>0</v>
      </c>
      <c r="J100" s="60">
        <f t="shared" si="19"/>
        <v>0</v>
      </c>
      <c r="K100" s="60">
        <f t="shared" si="19"/>
        <v>0</v>
      </c>
      <c r="L100" s="60">
        <f t="shared" si="19"/>
        <v>0</v>
      </c>
      <c r="M100" s="60">
        <f t="shared" si="19"/>
        <v>1.7</v>
      </c>
      <c r="N100" s="60">
        <f t="shared" si="19"/>
        <v>0</v>
      </c>
      <c r="O100" s="60">
        <f t="shared" si="19"/>
        <v>0</v>
      </c>
      <c r="P100" s="60">
        <f t="shared" si="19"/>
        <v>5</v>
      </c>
      <c r="Q100" s="60">
        <f t="shared" si="19"/>
        <v>0</v>
      </c>
      <c r="R100" s="60">
        <f t="shared" si="19"/>
        <v>0</v>
      </c>
      <c r="S100" s="60">
        <f t="shared" si="19"/>
        <v>0</v>
      </c>
      <c r="T100" s="60">
        <f t="shared" si="19"/>
        <v>4.3</v>
      </c>
      <c r="U100" s="60">
        <f t="shared" si="19"/>
        <v>6</v>
      </c>
      <c r="V100" s="60">
        <f t="shared" si="19"/>
        <v>6</v>
      </c>
      <c r="W100" s="60">
        <f t="shared" si="19"/>
        <v>6</v>
      </c>
      <c r="X100" s="60">
        <f t="shared" si="19"/>
        <v>6</v>
      </c>
      <c r="Y100" s="60">
        <f t="shared" si="19"/>
        <v>7.7</v>
      </c>
      <c r="Z100" s="60">
        <f t="shared" si="19"/>
        <v>41.7</v>
      </c>
      <c r="AA100" s="60"/>
      <c r="AB100" s="60">
        <f t="shared" si="19"/>
        <v>55.2</v>
      </c>
      <c r="AC100" s="60">
        <f t="shared" si="19"/>
        <v>53.2</v>
      </c>
      <c r="AD100" s="60">
        <f t="shared" si="19"/>
        <v>21</v>
      </c>
      <c r="AE100" s="60">
        <f t="shared" si="19"/>
        <v>18.100000000000001</v>
      </c>
      <c r="AF100" s="60">
        <f t="shared" si="19"/>
        <v>9</v>
      </c>
      <c r="AG100" s="87"/>
      <c r="AH100" s="47">
        <f t="shared" si="13"/>
        <v>55.2</v>
      </c>
      <c r="AI100" s="48">
        <f t="shared" si="14"/>
        <v>0</v>
      </c>
    </row>
    <row r="101" spans="1:37" x14ac:dyDescent="0.25">
      <c r="A101" s="99" t="s">
        <v>109</v>
      </c>
      <c r="B101" s="100">
        <v>50.04</v>
      </c>
      <c r="C101" s="100">
        <v>50.036999999999999</v>
      </c>
      <c r="D101" s="100">
        <v>49.993000000000002</v>
      </c>
      <c r="E101" s="100">
        <v>49.984000000000002</v>
      </c>
      <c r="F101" s="100">
        <v>49.965000000000003</v>
      </c>
      <c r="G101" s="100">
        <v>49.9863</v>
      </c>
      <c r="H101" s="100">
        <v>49.924999999999997</v>
      </c>
      <c r="I101" s="100">
        <v>50.027999999999999</v>
      </c>
      <c r="J101" s="100">
        <v>49.962000000000003</v>
      </c>
      <c r="K101" s="100">
        <v>49.970999999999997</v>
      </c>
      <c r="L101" s="100">
        <v>50.01</v>
      </c>
      <c r="M101" s="100">
        <v>50.030999999999999</v>
      </c>
      <c r="N101" s="100">
        <v>49.945</v>
      </c>
      <c r="O101" s="100">
        <v>49.935000000000002</v>
      </c>
      <c r="P101" s="100">
        <v>50.033000000000001</v>
      </c>
      <c r="Q101" s="100">
        <v>49.987000000000002</v>
      </c>
      <c r="R101" s="100">
        <v>50.067999999999998</v>
      </c>
      <c r="S101" s="100">
        <v>49.89</v>
      </c>
      <c r="T101" s="100">
        <v>49.93</v>
      </c>
      <c r="U101" s="100">
        <v>49.94</v>
      </c>
      <c r="V101" s="100">
        <v>50.02</v>
      </c>
      <c r="W101" s="100">
        <v>50.01</v>
      </c>
      <c r="X101" s="100">
        <v>50.03</v>
      </c>
      <c r="Y101" s="100">
        <v>50.05</v>
      </c>
      <c r="Z101" s="100">
        <v>49.96</v>
      </c>
      <c r="AA101" s="100">
        <v>49.94</v>
      </c>
      <c r="AB101" s="100">
        <v>49.94</v>
      </c>
      <c r="AC101" s="100">
        <v>50.064</v>
      </c>
      <c r="AD101" s="100">
        <v>49.994</v>
      </c>
      <c r="AE101" s="100">
        <v>50.033999999999999</v>
      </c>
      <c r="AF101" s="100">
        <v>50.061999999999998</v>
      </c>
      <c r="AG101" s="101"/>
      <c r="AH101" s="47">
        <f t="shared" si="13"/>
        <v>50.067999999999998</v>
      </c>
      <c r="AI101" s="48">
        <f t="shared" si="14"/>
        <v>49.89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3"/>
        <v>0</v>
      </c>
      <c r="AI102" s="48">
        <f t="shared" si="14"/>
        <v>0</v>
      </c>
    </row>
    <row r="103" spans="1:37" x14ac:dyDescent="0.25">
      <c r="A103" s="102" t="s">
        <v>111</v>
      </c>
      <c r="B103" s="64">
        <v>129.5</v>
      </c>
      <c r="C103" s="64">
        <v>129.5</v>
      </c>
      <c r="D103" s="64">
        <v>130.6</v>
      </c>
      <c r="E103" s="64">
        <v>129.80000000000001</v>
      </c>
      <c r="F103" s="64">
        <v>130.6</v>
      </c>
      <c r="G103" s="64">
        <v>130</v>
      </c>
      <c r="H103" s="64">
        <v>128.6</v>
      </c>
      <c r="I103" s="64">
        <v>129</v>
      </c>
      <c r="J103" s="64">
        <v>128.5</v>
      </c>
      <c r="K103" s="64">
        <v>127.3</v>
      </c>
      <c r="L103" s="64">
        <v>127.8</v>
      </c>
      <c r="M103" s="64">
        <v>127.6</v>
      </c>
      <c r="N103" s="64">
        <v>125.5</v>
      </c>
      <c r="O103" s="64">
        <v>125.8</v>
      </c>
      <c r="P103" s="64">
        <v>125.6</v>
      </c>
      <c r="Q103" s="64">
        <v>126.3</v>
      </c>
      <c r="R103" s="64">
        <v>125.3</v>
      </c>
      <c r="S103" s="64">
        <v>126.2</v>
      </c>
      <c r="T103" s="64">
        <v>125</v>
      </c>
      <c r="U103" s="64">
        <v>127</v>
      </c>
      <c r="V103" s="64">
        <v>127</v>
      </c>
      <c r="W103" s="64">
        <v>127</v>
      </c>
      <c r="X103" s="64">
        <v>127</v>
      </c>
      <c r="Y103" s="64">
        <v>127.2</v>
      </c>
      <c r="Z103" s="64">
        <v>127.1</v>
      </c>
      <c r="AA103" s="64">
        <v>128.5</v>
      </c>
      <c r="AB103" s="64">
        <v>128.5</v>
      </c>
      <c r="AC103" s="64">
        <v>129.1</v>
      </c>
      <c r="AD103" s="64">
        <v>128.19999999999999</v>
      </c>
      <c r="AE103" s="64">
        <v>129.19999999999999</v>
      </c>
      <c r="AF103" s="64">
        <v>129.19999999999999</v>
      </c>
      <c r="AG103" s="103"/>
      <c r="AH103" s="47">
        <f t="shared" si="13"/>
        <v>130.6</v>
      </c>
      <c r="AI103" s="48">
        <f t="shared" si="14"/>
        <v>125</v>
      </c>
    </row>
    <row r="104" spans="1:37" x14ac:dyDescent="0.25">
      <c r="A104" s="102" t="s">
        <v>112</v>
      </c>
      <c r="B104" s="64">
        <v>126.8</v>
      </c>
      <c r="C104" s="64">
        <v>126.8</v>
      </c>
      <c r="D104" s="64">
        <v>128.4</v>
      </c>
      <c r="E104" s="64">
        <v>129.19999999999999</v>
      </c>
      <c r="F104" s="64">
        <v>129</v>
      </c>
      <c r="G104" s="64">
        <v>131.19999999999999</v>
      </c>
      <c r="H104" s="64">
        <v>130.69999999999999</v>
      </c>
      <c r="I104" s="64">
        <v>130.69999999999999</v>
      </c>
      <c r="J104" s="64">
        <v>128.5</v>
      </c>
      <c r="K104" s="64">
        <v>128.5</v>
      </c>
      <c r="L104" s="64">
        <v>128.4</v>
      </c>
      <c r="M104" s="64">
        <v>127.4</v>
      </c>
      <c r="N104" s="64">
        <v>125.6</v>
      </c>
      <c r="O104" s="64">
        <v>123</v>
      </c>
      <c r="P104" s="64">
        <v>124.6</v>
      </c>
      <c r="Q104" s="64">
        <v>129.69999999999999</v>
      </c>
      <c r="R104" s="64">
        <v>125.5</v>
      </c>
      <c r="S104" s="64">
        <v>128</v>
      </c>
      <c r="T104" s="64">
        <v>126.2</v>
      </c>
      <c r="U104" s="64">
        <v>125.5</v>
      </c>
      <c r="V104" s="64">
        <v>125.5</v>
      </c>
      <c r="W104" s="64">
        <v>125.5</v>
      </c>
      <c r="X104" s="64">
        <v>125.5</v>
      </c>
      <c r="Y104" s="64">
        <v>128.5</v>
      </c>
      <c r="Z104" s="64">
        <v>127</v>
      </c>
      <c r="AA104" s="64">
        <v>129.6</v>
      </c>
      <c r="AB104" s="64">
        <v>129.6</v>
      </c>
      <c r="AC104" s="64">
        <v>127.4</v>
      </c>
      <c r="AD104" s="64">
        <v>128.5</v>
      </c>
      <c r="AE104" s="64">
        <v>128.19999999999999</v>
      </c>
      <c r="AF104" s="64">
        <v>128.6</v>
      </c>
      <c r="AG104" s="103"/>
      <c r="AH104" s="47">
        <f t="shared" si="13"/>
        <v>131.19999999999999</v>
      </c>
      <c r="AI104" s="48">
        <f t="shared" si="14"/>
        <v>123</v>
      </c>
    </row>
    <row r="105" spans="1:37" x14ac:dyDescent="0.25">
      <c r="A105" s="104" t="s">
        <v>113</v>
      </c>
      <c r="B105" s="64">
        <v>128.9</v>
      </c>
      <c r="C105" s="64">
        <v>128.9</v>
      </c>
      <c r="D105" s="64">
        <v>132.4</v>
      </c>
      <c r="E105" s="64">
        <v>132.80000000000001</v>
      </c>
      <c r="F105" s="64">
        <v>132.4</v>
      </c>
      <c r="G105" s="64">
        <v>134.4</v>
      </c>
      <c r="H105" s="64">
        <v>134.19999999999999</v>
      </c>
      <c r="I105" s="64">
        <v>134.1</v>
      </c>
      <c r="J105" s="64">
        <v>131.80000000000001</v>
      </c>
      <c r="K105" s="64">
        <v>132.1</v>
      </c>
      <c r="L105" s="64">
        <v>131.69999999999999</v>
      </c>
      <c r="M105" s="64">
        <v>130</v>
      </c>
      <c r="N105" s="64">
        <v>127.5</v>
      </c>
      <c r="O105" s="64">
        <v>129.69999999999999</v>
      </c>
      <c r="P105" s="64"/>
      <c r="Q105" s="64"/>
      <c r="R105" s="64"/>
      <c r="S105" s="64"/>
      <c r="T105" s="64"/>
      <c r="U105" s="64">
        <v>127.6</v>
      </c>
      <c r="V105" s="64">
        <v>127.6</v>
      </c>
      <c r="W105" s="64">
        <v>127.6</v>
      </c>
      <c r="X105" s="64">
        <v>127.6</v>
      </c>
      <c r="Y105" s="64">
        <v>130.19999999999999</v>
      </c>
      <c r="Z105" s="64">
        <v>128.1</v>
      </c>
      <c r="AA105" s="64">
        <v>131</v>
      </c>
      <c r="AB105" s="64">
        <v>131</v>
      </c>
      <c r="AC105" s="64">
        <v>130</v>
      </c>
      <c r="AD105" s="64">
        <v>131.19999999999999</v>
      </c>
      <c r="AE105" s="64">
        <v>131.80000000000001</v>
      </c>
      <c r="AF105" s="64">
        <v>132.9</v>
      </c>
      <c r="AG105" s="103"/>
      <c r="AH105" s="47">
        <f t="shared" si="13"/>
        <v>134.4</v>
      </c>
      <c r="AI105" s="48">
        <f t="shared" si="14"/>
        <v>127.5</v>
      </c>
    </row>
    <row r="106" spans="1:37" x14ac:dyDescent="0.25">
      <c r="A106" s="104" t="s">
        <v>114</v>
      </c>
      <c r="B106" s="105">
        <v>132.5</v>
      </c>
      <c r="C106" s="105">
        <v>132.5</v>
      </c>
      <c r="D106" s="105">
        <v>133.6</v>
      </c>
      <c r="E106" s="105">
        <v>132.9</v>
      </c>
      <c r="F106" s="105">
        <v>133.69999999999999</v>
      </c>
      <c r="G106" s="105">
        <v>130.9</v>
      </c>
      <c r="H106" s="105">
        <v>129.9</v>
      </c>
      <c r="I106" s="105">
        <v>131.1</v>
      </c>
      <c r="J106" s="105">
        <v>131.19999999999999</v>
      </c>
      <c r="K106" s="105">
        <v>132.19999999999999</v>
      </c>
      <c r="L106" s="105">
        <v>132.30000000000001</v>
      </c>
      <c r="M106" s="105">
        <v>133.80000000000001</v>
      </c>
      <c r="N106" s="105">
        <v>131.6</v>
      </c>
      <c r="O106" s="105">
        <v>129.80000000000001</v>
      </c>
      <c r="P106" s="105">
        <v>131.1</v>
      </c>
      <c r="Q106" s="105">
        <v>128.5</v>
      </c>
      <c r="R106" s="105">
        <v>128.6</v>
      </c>
      <c r="S106" s="105">
        <v>129.30000000000001</v>
      </c>
      <c r="T106" s="105">
        <v>129.9</v>
      </c>
      <c r="U106" s="105">
        <v>134</v>
      </c>
      <c r="V106" s="105">
        <v>134</v>
      </c>
      <c r="W106" s="105">
        <v>134</v>
      </c>
      <c r="X106" s="105">
        <v>134</v>
      </c>
      <c r="Y106" s="105">
        <v>130.19999999999999</v>
      </c>
      <c r="Z106" s="105">
        <v>130.9</v>
      </c>
      <c r="AA106" s="105">
        <v>131.6</v>
      </c>
      <c r="AB106" s="105">
        <v>131.6</v>
      </c>
      <c r="AC106" s="105">
        <v>131.30000000000001</v>
      </c>
      <c r="AD106" s="105">
        <v>130.6</v>
      </c>
      <c r="AE106" s="105">
        <v>130.9</v>
      </c>
      <c r="AF106" s="105">
        <v>132.69999999999999</v>
      </c>
      <c r="AG106" s="106"/>
      <c r="AH106" s="47">
        <f t="shared" si="13"/>
        <v>134</v>
      </c>
      <c r="AI106" s="48">
        <f t="shared" si="14"/>
        <v>128.5</v>
      </c>
    </row>
    <row r="107" spans="1:37" x14ac:dyDescent="0.25">
      <c r="A107" s="102" t="s">
        <v>115</v>
      </c>
      <c r="B107" s="64">
        <v>125</v>
      </c>
      <c r="C107" s="64">
        <v>125</v>
      </c>
      <c r="D107" s="64">
        <v>130.6</v>
      </c>
      <c r="E107" s="64">
        <v>132.9</v>
      </c>
      <c r="F107" s="64">
        <v>134.80000000000001</v>
      </c>
      <c r="G107" s="64">
        <v>134.19999999999999</v>
      </c>
      <c r="H107" s="64">
        <v>128</v>
      </c>
      <c r="I107" s="64">
        <v>128.80000000000001</v>
      </c>
      <c r="J107" s="64">
        <v>128</v>
      </c>
      <c r="K107" s="64">
        <v>128.4</v>
      </c>
      <c r="L107" s="64">
        <v>131.1</v>
      </c>
      <c r="M107" s="64">
        <v>130.69999999999999</v>
      </c>
      <c r="N107" s="64">
        <v>133.1</v>
      </c>
      <c r="O107" s="64">
        <v>132</v>
      </c>
      <c r="P107" s="64">
        <v>128</v>
      </c>
      <c r="Q107" s="64"/>
      <c r="R107" s="64">
        <v>131.19999999999999</v>
      </c>
      <c r="S107" s="64">
        <v>124.4</v>
      </c>
      <c r="T107" s="64">
        <v>126.9</v>
      </c>
      <c r="U107" s="64">
        <v>130</v>
      </c>
      <c r="V107" s="64">
        <v>130</v>
      </c>
      <c r="W107" s="64">
        <v>130</v>
      </c>
      <c r="X107" s="64">
        <v>130</v>
      </c>
      <c r="Y107" s="64">
        <v>133</v>
      </c>
      <c r="Z107" s="64">
        <v>128.80000000000001</v>
      </c>
      <c r="AA107" s="64">
        <v>132</v>
      </c>
      <c r="AB107" s="64">
        <v>132</v>
      </c>
      <c r="AC107" s="64">
        <v>130</v>
      </c>
      <c r="AD107" s="64">
        <v>124.5</v>
      </c>
      <c r="AE107" s="64">
        <v>126.7</v>
      </c>
      <c r="AF107" s="64">
        <v>124.9</v>
      </c>
      <c r="AG107" s="103"/>
      <c r="AH107" s="47">
        <f t="shared" si="13"/>
        <v>134.80000000000001</v>
      </c>
      <c r="AI107" s="48">
        <f t="shared" si="14"/>
        <v>124.4</v>
      </c>
    </row>
    <row r="108" spans="1:37" ht="15.75" thickBot="1" x14ac:dyDescent="0.3">
      <c r="A108" s="102" t="s">
        <v>116</v>
      </c>
      <c r="B108" s="91">
        <v>65.2</v>
      </c>
      <c r="C108" s="91">
        <v>65.2</v>
      </c>
      <c r="D108" s="91">
        <v>65.599999999999994</v>
      </c>
      <c r="E108" s="91">
        <v>65.2</v>
      </c>
      <c r="F108" s="91">
        <v>65.599999999999994</v>
      </c>
      <c r="G108" s="91">
        <v>65.2</v>
      </c>
      <c r="H108" s="91">
        <v>64.400000000000006</v>
      </c>
      <c r="I108" s="91">
        <v>64.8</v>
      </c>
      <c r="J108" s="91">
        <v>64.3</v>
      </c>
      <c r="K108" s="91">
        <v>63.7</v>
      </c>
      <c r="L108" s="91">
        <v>64.2</v>
      </c>
      <c r="M108" s="91">
        <v>63.7</v>
      </c>
      <c r="N108" s="91">
        <v>63</v>
      </c>
      <c r="O108" s="91">
        <v>62.9</v>
      </c>
      <c r="P108" s="91">
        <v>62.9</v>
      </c>
      <c r="Q108" s="91">
        <v>63</v>
      </c>
      <c r="R108" s="91">
        <v>62.6</v>
      </c>
      <c r="S108" s="91">
        <v>63.1</v>
      </c>
      <c r="T108" s="91">
        <v>62.5</v>
      </c>
      <c r="U108" s="91">
        <v>63.7</v>
      </c>
      <c r="V108" s="91">
        <v>63.7</v>
      </c>
      <c r="W108" s="91">
        <v>63.7</v>
      </c>
      <c r="X108" s="91">
        <v>63.7</v>
      </c>
      <c r="Y108" s="91">
        <v>64.3</v>
      </c>
      <c r="Z108" s="91">
        <v>64.3</v>
      </c>
      <c r="AA108" s="91">
        <v>64.8</v>
      </c>
      <c r="AB108" s="91">
        <v>64.8</v>
      </c>
      <c r="AC108" s="91">
        <v>65</v>
      </c>
      <c r="AD108" s="91">
        <v>64.599999999999994</v>
      </c>
      <c r="AE108" s="91">
        <v>65.2</v>
      </c>
      <c r="AF108" s="91">
        <v>64.900000000000006</v>
      </c>
      <c r="AG108" s="107"/>
      <c r="AH108" s="47">
        <f t="shared" si="13"/>
        <v>65.599999999999994</v>
      </c>
      <c r="AI108" s="48">
        <f t="shared" si="14"/>
        <v>62.5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 t="str">
        <f>IF(AA92=MAX($B$93:$F$93),"PN","")</f>
        <v/>
      </c>
      <c r="AB109" s="91"/>
      <c r="AC109" s="91"/>
      <c r="AD109" s="91"/>
      <c r="AE109" s="91"/>
      <c r="AF109" s="91"/>
      <c r="AG109" s="107"/>
      <c r="AH109" s="47">
        <f t="shared" si="13"/>
        <v>0</v>
      </c>
      <c r="AI109" s="48">
        <f t="shared" si="14"/>
        <v>0</v>
      </c>
    </row>
    <row r="110" spans="1:37" ht="15.75" thickBot="1" x14ac:dyDescent="0.3">
      <c r="A110" s="109" t="s">
        <v>118</v>
      </c>
      <c r="B110" s="110">
        <f t="shared" ref="B110:O110" si="20">SUM(B20,B26,B29:B30,B58,B60:B61,B63,B65,B111:B115,B138,B144,B150,B159,B161,B173,B180,B183:B184,B191,B193,B195,B199:B201,B203:B205,B210,B216:B217,B219:B221,B229,B234)</f>
        <v>84.200000000000017</v>
      </c>
      <c r="C110" s="110">
        <f t="shared" si="20"/>
        <v>71.94</v>
      </c>
      <c r="D110" s="110">
        <f t="shared" si="20"/>
        <v>69.939999999999984</v>
      </c>
      <c r="E110" s="110">
        <f t="shared" si="20"/>
        <v>62.940000000000019</v>
      </c>
      <c r="F110" s="110">
        <f t="shared" si="20"/>
        <v>58.940000000000012</v>
      </c>
      <c r="G110" s="110">
        <f t="shared" si="20"/>
        <v>72.94</v>
      </c>
      <c r="H110" s="110">
        <f t="shared" si="20"/>
        <v>97.440000000000012</v>
      </c>
      <c r="I110" s="110">
        <f t="shared" si="20"/>
        <v>125.63999999999999</v>
      </c>
      <c r="J110" s="110">
        <f t="shared" si="20"/>
        <v>170.64</v>
      </c>
      <c r="K110" s="110">
        <f t="shared" si="20"/>
        <v>198.23999999999995</v>
      </c>
      <c r="L110" s="110">
        <f t="shared" si="20"/>
        <v>224.54</v>
      </c>
      <c r="M110" s="110">
        <f t="shared" si="20"/>
        <v>194.44</v>
      </c>
      <c r="N110" s="110">
        <f t="shared" si="20"/>
        <v>197.44</v>
      </c>
      <c r="O110" s="110">
        <f t="shared" si="20"/>
        <v>212.14</v>
      </c>
      <c r="P110" s="110">
        <v>42</v>
      </c>
      <c r="Q110" s="110">
        <f t="shared" ref="Q110:AF110" si="21">SUM(Q20,Q26,Q29:Q30,Q58,Q60:Q61,Q63,Q65,Q111:Q115,Q138,Q144,Q150,Q159,Q161,Q173,Q180,Q183:Q184,Q191,Q193,Q195,Q199:Q201,Q203:Q205,Q210,Q216:Q217,Q219:Q221,Q229,Q234)</f>
        <v>183.89999999999998</v>
      </c>
      <c r="R110" s="110">
        <f>SUM(R20,R26,R29:R30,R58,R60:R61,R63,R65,R111:R115,R138,R144,R150,R159,R161,R173,R180,R183:R184,R191,R193,R195,R199:R201,R203:R205,R210,R216:R217,R219:R221,R229,R234)</f>
        <v>182.9</v>
      </c>
      <c r="S110" s="110">
        <f>SUM(S20,S26,S29:S30,S58,S60:S61,S63,S65,S111:S115,S138,S144,S150,S159,S161,S173,S180,S183:S184,S191,S193,S195,S199:S201,S203:S205,S210,S216:S217,S219:S221,S229,S234)</f>
        <v>193.4</v>
      </c>
      <c r="T110" s="110">
        <f t="shared" si="21"/>
        <v>170.49999999999997</v>
      </c>
      <c r="U110" s="110">
        <f t="shared" si="21"/>
        <v>187.6</v>
      </c>
      <c r="V110" s="110">
        <f t="shared" si="21"/>
        <v>187.6</v>
      </c>
      <c r="W110" s="110">
        <f t="shared" si="21"/>
        <v>193.79999999999998</v>
      </c>
      <c r="X110" s="110">
        <f t="shared" si="21"/>
        <v>203.70000000000002</v>
      </c>
      <c r="Y110" s="110">
        <f t="shared" si="21"/>
        <v>237.39999999999998</v>
      </c>
      <c r="Z110" s="110">
        <f t="shared" si="21"/>
        <v>250.60000000000002</v>
      </c>
      <c r="AA110" s="110">
        <f>SUM(AA155,AA111:AA115,AA14,AA23,AA29,AA37,AA40,AA58,AA60:AA61,AA63,AA65)</f>
        <v>236</v>
      </c>
      <c r="AB110" s="110">
        <f t="shared" si="21"/>
        <v>195.70000000000002</v>
      </c>
      <c r="AC110" s="110">
        <f t="shared" si="21"/>
        <v>197.3</v>
      </c>
      <c r="AD110" s="110"/>
      <c r="AE110" s="110">
        <f t="shared" si="21"/>
        <v>108.1</v>
      </c>
      <c r="AF110" s="110">
        <f t="shared" si="21"/>
        <v>101.79999999999998</v>
      </c>
      <c r="AG110" s="111"/>
      <c r="AH110" s="47">
        <f t="shared" si="13"/>
        <v>250.60000000000002</v>
      </c>
      <c r="AI110" s="48">
        <f t="shared" si="14"/>
        <v>42</v>
      </c>
    </row>
    <row r="111" spans="1:37" x14ac:dyDescent="0.25">
      <c r="A111" s="99" t="s">
        <v>119</v>
      </c>
      <c r="B111" s="112">
        <v>23.3</v>
      </c>
      <c r="C111" s="112">
        <v>22</v>
      </c>
      <c r="D111" s="112">
        <v>20.6</v>
      </c>
      <c r="E111" s="112">
        <v>18.399999999999999</v>
      </c>
      <c r="F111" s="112">
        <v>22</v>
      </c>
      <c r="G111" s="112">
        <v>22.8</v>
      </c>
      <c r="H111" s="112">
        <v>27.1</v>
      </c>
      <c r="I111" s="112">
        <v>34.5</v>
      </c>
      <c r="J111" s="112">
        <v>38.5</v>
      </c>
      <c r="K111" s="112">
        <v>46.5</v>
      </c>
      <c r="L111" s="112">
        <v>41.1</v>
      </c>
      <c r="M111" s="112">
        <v>34</v>
      </c>
      <c r="N111" s="112">
        <v>34</v>
      </c>
      <c r="O111" s="112">
        <v>41.3</v>
      </c>
      <c r="P111" s="112">
        <v>40.200000000000003</v>
      </c>
      <c r="Q111" s="112">
        <v>36.700000000000003</v>
      </c>
      <c r="R111" s="112">
        <v>36.9</v>
      </c>
      <c r="S111" s="112">
        <v>37.1</v>
      </c>
      <c r="T111" s="112">
        <v>35.799999999999997</v>
      </c>
      <c r="U111" s="112">
        <v>33.200000000000003</v>
      </c>
      <c r="V111" s="112">
        <v>33.200000000000003</v>
      </c>
      <c r="W111" s="112">
        <v>35.6</v>
      </c>
      <c r="X111" s="112">
        <v>40</v>
      </c>
      <c r="Y111" s="112">
        <v>42.4</v>
      </c>
      <c r="Z111" s="112">
        <v>45.5</v>
      </c>
      <c r="AA111" s="112">
        <v>43</v>
      </c>
      <c r="AB111" s="112">
        <v>41.9</v>
      </c>
      <c r="AC111" s="112">
        <v>39.1</v>
      </c>
      <c r="AD111" s="112">
        <v>34.1</v>
      </c>
      <c r="AE111" s="112">
        <v>28.6</v>
      </c>
      <c r="AF111" s="112">
        <v>28.1</v>
      </c>
      <c r="AG111" s="113">
        <v>75</v>
      </c>
      <c r="AH111" s="47">
        <f t="shared" si="13"/>
        <v>46.5</v>
      </c>
      <c r="AI111" s="48">
        <f t="shared" si="14"/>
        <v>18.399999999999999</v>
      </c>
    </row>
    <row r="112" spans="1:37" x14ac:dyDescent="0.25">
      <c r="A112" s="102" t="s">
        <v>120</v>
      </c>
      <c r="B112" s="114">
        <v>33.5</v>
      </c>
      <c r="C112" s="114">
        <v>32.1</v>
      </c>
      <c r="D112" s="114">
        <v>28.1</v>
      </c>
      <c r="E112" s="114">
        <v>26.8</v>
      </c>
      <c r="F112" s="114">
        <v>30.9</v>
      </c>
      <c r="G112" s="114">
        <v>32.5</v>
      </c>
      <c r="H112" s="114">
        <v>37.9</v>
      </c>
      <c r="I112" s="114">
        <v>47.5</v>
      </c>
      <c r="J112" s="114">
        <v>53.8</v>
      </c>
      <c r="K112" s="114">
        <v>64.2</v>
      </c>
      <c r="L112" s="114">
        <v>53.6</v>
      </c>
      <c r="M112" s="114">
        <v>42.8</v>
      </c>
      <c r="N112" s="114">
        <v>42.8</v>
      </c>
      <c r="O112" s="114">
        <v>53.7</v>
      </c>
      <c r="P112" s="114">
        <v>52.5</v>
      </c>
      <c r="Q112" s="114">
        <v>49.2</v>
      </c>
      <c r="R112" s="114">
        <v>48.3</v>
      </c>
      <c r="S112" s="114">
        <v>49.3</v>
      </c>
      <c r="T112" s="114">
        <v>47.5</v>
      </c>
      <c r="U112" s="114">
        <v>45</v>
      </c>
      <c r="V112" s="114">
        <v>45</v>
      </c>
      <c r="W112" s="114">
        <v>48</v>
      </c>
      <c r="X112" s="114">
        <v>51.2</v>
      </c>
      <c r="Y112" s="114">
        <v>56.6</v>
      </c>
      <c r="Z112" s="114">
        <v>66</v>
      </c>
      <c r="AA112" s="114">
        <v>61.4</v>
      </c>
      <c r="AB112" s="114">
        <v>60.1</v>
      </c>
      <c r="AC112" s="114">
        <v>56.9</v>
      </c>
      <c r="AD112" s="114">
        <v>52</v>
      </c>
      <c r="AE112" s="114">
        <v>42.3</v>
      </c>
      <c r="AF112" s="114">
        <v>44.1</v>
      </c>
      <c r="AG112" s="113">
        <v>240</v>
      </c>
      <c r="AH112" s="47">
        <f t="shared" si="13"/>
        <v>66</v>
      </c>
      <c r="AI112" s="48">
        <f t="shared" si="14"/>
        <v>26.8</v>
      </c>
    </row>
    <row r="113" spans="1:37" x14ac:dyDescent="0.25">
      <c r="A113" s="102" t="s">
        <v>121</v>
      </c>
      <c r="B113" s="114">
        <v>-140</v>
      </c>
      <c r="C113" s="114">
        <v>-143</v>
      </c>
      <c r="D113" s="114">
        <v>-141</v>
      </c>
      <c r="E113" s="114">
        <f>-65-67.9</f>
        <v>-132.9</v>
      </c>
      <c r="F113" s="114">
        <f>-67.6-71.8</f>
        <v>-139.39999999999998</v>
      </c>
      <c r="G113" s="114">
        <f>-65.2-68.8</f>
        <v>-134</v>
      </c>
      <c r="H113" s="114">
        <f>-62.6-67.6</f>
        <v>-130.19999999999999</v>
      </c>
      <c r="I113" s="114">
        <f>-60-64.5</f>
        <v>-124.5</v>
      </c>
      <c r="J113" s="114">
        <f>-54-58.8</f>
        <v>-112.8</v>
      </c>
      <c r="K113" s="114">
        <f>-50.2-54.2</f>
        <v>-104.4</v>
      </c>
      <c r="L113" s="114">
        <f>-20-22.5</f>
        <v>-42.5</v>
      </c>
      <c r="M113" s="114">
        <v>-52</v>
      </c>
      <c r="N113" s="114">
        <v>-52</v>
      </c>
      <c r="O113" s="114">
        <v>-56</v>
      </c>
      <c r="P113" s="114">
        <v>-52</v>
      </c>
      <c r="Q113" s="114">
        <v>-67</v>
      </c>
      <c r="R113" s="114">
        <v>-63</v>
      </c>
      <c r="S113" s="114">
        <f>-28.5-31.6</f>
        <v>-60.1</v>
      </c>
      <c r="T113" s="114">
        <f>-30.6-33.5</f>
        <v>-64.099999999999994</v>
      </c>
      <c r="U113" s="114">
        <f>-26.1-28.8</f>
        <v>-54.900000000000006</v>
      </c>
      <c r="V113" s="114">
        <f t="shared" ref="V113:X113" si="22">-26.1-28.8</f>
        <v>-54.900000000000006</v>
      </c>
      <c r="W113" s="114">
        <f t="shared" si="22"/>
        <v>-54.900000000000006</v>
      </c>
      <c r="X113" s="114">
        <f t="shared" si="22"/>
        <v>-54.900000000000006</v>
      </c>
      <c r="Y113" s="114">
        <f>-18.4-20.4</f>
        <v>-38.799999999999997</v>
      </c>
      <c r="Z113" s="114">
        <f>-29.5-29.6</f>
        <v>-59.1</v>
      </c>
      <c r="AA113" s="114">
        <f>-63-37.8</f>
        <v>-100.8</v>
      </c>
      <c r="AB113" s="114">
        <v>-97.1</v>
      </c>
      <c r="AC113" s="114">
        <v>-89</v>
      </c>
      <c r="AD113" s="114">
        <v>-116</v>
      </c>
      <c r="AE113" s="114">
        <v>-120</v>
      </c>
      <c r="AF113" s="114">
        <v>-125</v>
      </c>
      <c r="AG113" s="113">
        <v>240</v>
      </c>
      <c r="AH113" s="47">
        <f t="shared" si="13"/>
        <v>-38.799999999999997</v>
      </c>
      <c r="AI113" s="48">
        <f t="shared" si="14"/>
        <v>-143</v>
      </c>
    </row>
    <row r="114" spans="1:37" x14ac:dyDescent="0.25">
      <c r="A114" s="102" t="s">
        <v>122</v>
      </c>
      <c r="B114" s="114">
        <v>-10.5</v>
      </c>
      <c r="C114" s="114">
        <v>-12.9</v>
      </c>
      <c r="D114" s="114">
        <v>-11.3</v>
      </c>
      <c r="E114" s="114">
        <v>-12</v>
      </c>
      <c r="F114" s="114">
        <v>-13.5</v>
      </c>
      <c r="G114" s="114">
        <v>-12.1</v>
      </c>
      <c r="H114" s="114">
        <v>-11.3</v>
      </c>
      <c r="I114" s="114">
        <v>-4.9000000000000004</v>
      </c>
      <c r="J114" s="114">
        <v>-0.7</v>
      </c>
      <c r="K114" s="114">
        <v>1.7</v>
      </c>
      <c r="L114" s="114">
        <v>8.8000000000000007</v>
      </c>
      <c r="M114" s="114">
        <v>5.0999999999999996</v>
      </c>
      <c r="N114" s="114">
        <v>5.0999999999999996</v>
      </c>
      <c r="O114" s="114">
        <v>4.2</v>
      </c>
      <c r="P114" s="114">
        <v>3.6</v>
      </c>
      <c r="Q114" s="114">
        <v>0</v>
      </c>
      <c r="R114" s="114">
        <v>-10.4</v>
      </c>
      <c r="S114" s="114">
        <v>-8.1</v>
      </c>
      <c r="T114" s="114">
        <v>-12.5</v>
      </c>
      <c r="U114" s="114">
        <v>3.7</v>
      </c>
      <c r="V114" s="114">
        <v>3.7</v>
      </c>
      <c r="W114" s="114">
        <v>4.5</v>
      </c>
      <c r="X114" s="114">
        <v>6.8</v>
      </c>
      <c r="Y114" s="114">
        <v>9.6999999999999993</v>
      </c>
      <c r="Z114" s="114">
        <v>36.1</v>
      </c>
      <c r="AA114" s="114">
        <v>44.2</v>
      </c>
      <c r="AB114" s="114">
        <v>24.5</v>
      </c>
      <c r="AC114" s="114">
        <v>22.3</v>
      </c>
      <c r="AD114" s="114">
        <v>-2.9</v>
      </c>
      <c r="AE114" s="114">
        <v>-4.7</v>
      </c>
      <c r="AF114" s="114">
        <v>-9.6</v>
      </c>
      <c r="AG114" s="113">
        <v>60</v>
      </c>
      <c r="AH114" s="47">
        <f t="shared" si="13"/>
        <v>44.2</v>
      </c>
      <c r="AI114" s="48">
        <f t="shared" si="14"/>
        <v>-13.5</v>
      </c>
    </row>
    <row r="115" spans="1:37" x14ac:dyDescent="0.25">
      <c r="A115" s="115" t="s">
        <v>123</v>
      </c>
      <c r="B115" s="116">
        <v>41.5</v>
      </c>
      <c r="C115" s="116">
        <v>41.4</v>
      </c>
      <c r="D115" s="116">
        <v>40.6</v>
      </c>
      <c r="E115" s="116">
        <v>29.9</v>
      </c>
      <c r="F115" s="116">
        <v>30.3</v>
      </c>
      <c r="G115" s="116">
        <v>30.1</v>
      </c>
      <c r="H115" s="116">
        <v>30</v>
      </c>
      <c r="I115" s="116">
        <v>29.4</v>
      </c>
      <c r="J115" s="116">
        <v>41.7</v>
      </c>
      <c r="K115" s="116">
        <v>48.6</v>
      </c>
      <c r="L115" s="116">
        <v>28.9</v>
      </c>
      <c r="M115" s="116">
        <v>28.6</v>
      </c>
      <c r="N115" s="116">
        <v>28.6</v>
      </c>
      <c r="O115" s="116">
        <v>24.2</v>
      </c>
      <c r="P115" s="116">
        <v>24.7</v>
      </c>
      <c r="Q115" s="116">
        <v>24</v>
      </c>
      <c r="R115" s="116">
        <v>24.5</v>
      </c>
      <c r="S115" s="116">
        <v>28.6</v>
      </c>
      <c r="T115" s="116">
        <v>29.2</v>
      </c>
      <c r="U115" s="116">
        <v>26</v>
      </c>
      <c r="V115" s="116">
        <v>26</v>
      </c>
      <c r="W115" s="116">
        <v>26</v>
      </c>
      <c r="X115" s="116">
        <v>26</v>
      </c>
      <c r="Y115" s="116">
        <v>22.8</v>
      </c>
      <c r="Z115" s="116">
        <v>21.8</v>
      </c>
      <c r="AA115" s="116">
        <v>19.8</v>
      </c>
      <c r="AB115" s="116">
        <v>20</v>
      </c>
      <c r="AC115" s="116">
        <v>21.7</v>
      </c>
      <c r="AD115" s="116">
        <v>25.6</v>
      </c>
      <c r="AE115" s="116">
        <v>23.3</v>
      </c>
      <c r="AF115" s="116">
        <v>25.6</v>
      </c>
      <c r="AG115" s="117">
        <v>120</v>
      </c>
      <c r="AH115" s="47">
        <f t="shared" si="13"/>
        <v>48.6</v>
      </c>
      <c r="AI115" s="48">
        <f t="shared" si="14"/>
        <v>19.8</v>
      </c>
    </row>
    <row r="116" spans="1:37" x14ac:dyDescent="0.25">
      <c r="A116" s="115" t="s">
        <v>124</v>
      </c>
      <c r="B116" s="116">
        <v>28.8</v>
      </c>
      <c r="C116" s="116">
        <v>32.9</v>
      </c>
      <c r="D116" s="116">
        <v>32.799999999999997</v>
      </c>
      <c r="E116" s="116">
        <v>43.3</v>
      </c>
      <c r="F116" s="116">
        <v>29.9</v>
      </c>
      <c r="G116" s="116">
        <v>37.6</v>
      </c>
      <c r="H116" s="116">
        <v>32.9</v>
      </c>
      <c r="I116" s="116">
        <v>23.5</v>
      </c>
      <c r="J116" s="116">
        <v>19.5</v>
      </c>
      <c r="K116" s="116">
        <v>19.399999999999999</v>
      </c>
      <c r="L116" s="116">
        <v>73.7</v>
      </c>
      <c r="M116" s="116">
        <v>72.7</v>
      </c>
      <c r="N116" s="116">
        <v>72.7</v>
      </c>
      <c r="O116" s="116">
        <v>67.3</v>
      </c>
      <c r="P116" s="116">
        <v>87.9</v>
      </c>
      <c r="Q116" s="116">
        <v>98.5</v>
      </c>
      <c r="R116" s="116">
        <v>80.900000000000006</v>
      </c>
      <c r="S116" s="116">
        <v>89.3</v>
      </c>
      <c r="T116" s="116">
        <v>88.8</v>
      </c>
      <c r="U116" s="116">
        <v>56.9</v>
      </c>
      <c r="V116" s="116">
        <v>58.32</v>
      </c>
      <c r="W116" s="116">
        <v>56.9</v>
      </c>
      <c r="X116" s="116">
        <v>60.3</v>
      </c>
      <c r="Y116" s="116">
        <v>63.5</v>
      </c>
      <c r="Z116" s="116">
        <v>44.1</v>
      </c>
      <c r="AA116" s="116">
        <v>36.6</v>
      </c>
      <c r="AB116" s="116">
        <v>39.299999999999997</v>
      </c>
      <c r="AC116" s="116">
        <v>33.6</v>
      </c>
      <c r="AD116" s="116">
        <v>27.1</v>
      </c>
      <c r="AE116" s="116">
        <v>37.299999999999997</v>
      </c>
      <c r="AF116" s="116">
        <v>33.299999999999997</v>
      </c>
      <c r="AG116" s="117"/>
      <c r="AH116" s="47">
        <f t="shared" si="13"/>
        <v>98.5</v>
      </c>
      <c r="AI116" s="48">
        <f t="shared" si="14"/>
        <v>19.399999999999999</v>
      </c>
    </row>
    <row r="117" spans="1:37" x14ac:dyDescent="0.25">
      <c r="A117" s="115" t="s">
        <v>125</v>
      </c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8"/>
      <c r="AH117" s="47">
        <f t="shared" si="13"/>
        <v>0</v>
      </c>
      <c r="AI117" s="48">
        <f t="shared" si="14"/>
        <v>0</v>
      </c>
    </row>
    <row r="118" spans="1:37" x14ac:dyDescent="0.25">
      <c r="A118" s="119" t="s">
        <v>126</v>
      </c>
      <c r="B118" s="105">
        <v>23.1</v>
      </c>
      <c r="C118" s="105">
        <v>25.3</v>
      </c>
      <c r="D118" s="105">
        <v>37.1</v>
      </c>
      <c r="E118" s="105">
        <v>37.4</v>
      </c>
      <c r="F118" s="105">
        <v>37.5</v>
      </c>
      <c r="G118" s="105">
        <v>41.6</v>
      </c>
      <c r="H118" s="105">
        <v>47.5</v>
      </c>
      <c r="I118" s="105">
        <v>47.5</v>
      </c>
      <c r="J118" s="105">
        <v>43</v>
      </c>
      <c r="K118" s="105">
        <v>43.4</v>
      </c>
      <c r="L118" s="105">
        <v>40.9</v>
      </c>
      <c r="M118" s="105">
        <v>30</v>
      </c>
      <c r="N118" s="105">
        <v>30</v>
      </c>
      <c r="O118" s="105">
        <v>25</v>
      </c>
      <c r="P118" s="105">
        <v>19.399999999999999</v>
      </c>
      <c r="Q118" s="105">
        <v>25.3</v>
      </c>
      <c r="R118" s="105">
        <v>27.5</v>
      </c>
      <c r="S118" s="105">
        <v>11.9</v>
      </c>
      <c r="T118" s="105">
        <v>20.5</v>
      </c>
      <c r="U118" s="105">
        <v>25.1</v>
      </c>
      <c r="V118" s="105">
        <v>24.6</v>
      </c>
      <c r="W118" s="105">
        <v>18.899999999999999</v>
      </c>
      <c r="X118" s="105">
        <v>10.4</v>
      </c>
      <c r="Y118" s="105">
        <v>6.6</v>
      </c>
      <c r="Z118" s="105">
        <v>0</v>
      </c>
      <c r="AA118" s="105">
        <v>2.7</v>
      </c>
      <c r="AB118" s="105">
        <v>5.0999999999999996</v>
      </c>
      <c r="AC118" s="105">
        <v>6.9</v>
      </c>
      <c r="AD118" s="105">
        <v>11.9</v>
      </c>
      <c r="AE118" s="105">
        <v>16.399999999999999</v>
      </c>
      <c r="AF118" s="105">
        <v>29.3</v>
      </c>
      <c r="AG118" s="118"/>
      <c r="AH118" s="47">
        <f t="shared" si="13"/>
        <v>47.5</v>
      </c>
      <c r="AI118" s="48">
        <f t="shared" si="14"/>
        <v>0</v>
      </c>
    </row>
    <row r="119" spans="1:37" x14ac:dyDescent="0.25">
      <c r="A119" s="120" t="s">
        <v>127</v>
      </c>
      <c r="B119" s="105">
        <v>97</v>
      </c>
      <c r="C119" s="105">
        <v>98</v>
      </c>
      <c r="D119" s="105">
        <v>97.5</v>
      </c>
      <c r="E119" s="105">
        <v>90.1</v>
      </c>
      <c r="F119" s="105">
        <v>99.5</v>
      </c>
      <c r="G119" s="105">
        <v>92.6</v>
      </c>
      <c r="H119" s="105">
        <v>91.9</v>
      </c>
      <c r="I119" s="105">
        <v>95.2</v>
      </c>
      <c r="J119" s="105">
        <v>90.1</v>
      </c>
      <c r="K119" s="105">
        <v>88.6</v>
      </c>
      <c r="L119" s="105">
        <v>85</v>
      </c>
      <c r="M119" s="105">
        <v>67.3</v>
      </c>
      <c r="N119" s="105">
        <v>67.3</v>
      </c>
      <c r="O119" s="105">
        <v>95</v>
      </c>
      <c r="P119" s="105">
        <v>76.7</v>
      </c>
      <c r="Q119" s="105">
        <v>87.8</v>
      </c>
      <c r="R119" s="105">
        <v>82.5</v>
      </c>
      <c r="S119" s="105">
        <v>69.599999999999994</v>
      </c>
      <c r="T119" s="105">
        <v>69.7</v>
      </c>
      <c r="U119" s="105">
        <v>75.5</v>
      </c>
      <c r="V119" s="105">
        <v>75.5</v>
      </c>
      <c r="W119" s="105">
        <v>81</v>
      </c>
      <c r="X119" s="105">
        <v>82</v>
      </c>
      <c r="Y119" s="105">
        <v>59</v>
      </c>
      <c r="Z119" s="105">
        <v>55.1</v>
      </c>
      <c r="AA119" s="105">
        <v>73.900000000000006</v>
      </c>
      <c r="AB119" s="105">
        <v>75.5</v>
      </c>
      <c r="AC119" s="105">
        <v>81.400000000000006</v>
      </c>
      <c r="AD119" s="105">
        <v>82.8</v>
      </c>
      <c r="AE119" s="105">
        <v>81.5</v>
      </c>
      <c r="AF119" s="105">
        <v>91.3</v>
      </c>
      <c r="AG119" s="118"/>
      <c r="AH119" s="47">
        <f t="shared" si="13"/>
        <v>99.5</v>
      </c>
      <c r="AI119" s="48">
        <f t="shared" si="14"/>
        <v>55.1</v>
      </c>
    </row>
    <row r="120" spans="1:37" ht="15.75" thickBot="1" x14ac:dyDescent="0.3">
      <c r="A120" s="119" t="s">
        <v>128</v>
      </c>
      <c r="B120" s="105">
        <v>59.2</v>
      </c>
      <c r="C120" s="105">
        <v>48.6</v>
      </c>
      <c r="D120" s="105">
        <v>46.7</v>
      </c>
      <c r="E120" s="105">
        <v>32.700000000000003</v>
      </c>
      <c r="F120" s="105">
        <v>24.8</v>
      </c>
      <c r="G120" s="105">
        <v>24.1</v>
      </c>
      <c r="H120" s="105">
        <v>24.5</v>
      </c>
      <c r="I120" s="105">
        <v>10.6</v>
      </c>
      <c r="J120" s="105">
        <v>14.9</v>
      </c>
      <c r="K120" s="105">
        <v>21.8</v>
      </c>
      <c r="L120" s="105">
        <v>28.7</v>
      </c>
      <c r="M120" s="105">
        <v>42.9</v>
      </c>
      <c r="N120" s="105">
        <v>42.9</v>
      </c>
      <c r="O120" s="105">
        <v>59.1</v>
      </c>
      <c r="P120" s="105">
        <v>58.9</v>
      </c>
      <c r="Q120" s="105">
        <v>48.4</v>
      </c>
      <c r="R120" s="105">
        <v>52.7</v>
      </c>
      <c r="S120" s="105">
        <v>57.3</v>
      </c>
      <c r="T120" s="105">
        <v>55.6</v>
      </c>
      <c r="U120" s="105">
        <v>24.9</v>
      </c>
      <c r="V120" s="105">
        <v>24.9</v>
      </c>
      <c r="W120" s="105">
        <v>24.9</v>
      </c>
      <c r="X120" s="105">
        <v>24.9</v>
      </c>
      <c r="Y120" s="105">
        <v>54.9</v>
      </c>
      <c r="Z120" s="105">
        <v>58.8</v>
      </c>
      <c r="AA120" s="105">
        <v>56.1</v>
      </c>
      <c r="AB120" s="105">
        <v>57.1</v>
      </c>
      <c r="AC120" s="105">
        <v>58.4</v>
      </c>
      <c r="AD120" s="105">
        <v>54.2</v>
      </c>
      <c r="AE120" s="105">
        <v>48.3</v>
      </c>
      <c r="AF120" s="105">
        <v>41.9</v>
      </c>
      <c r="AG120" s="118"/>
      <c r="AH120" s="47">
        <f t="shared" si="13"/>
        <v>59.2</v>
      </c>
      <c r="AI120" s="48">
        <f t="shared" si="14"/>
        <v>10.6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23">SUM(B122:B226)</f>
        <v>0</v>
      </c>
      <c r="C227" s="136">
        <f t="shared" si="23"/>
        <v>0</v>
      </c>
      <c r="D227" s="136">
        <f t="shared" si="23"/>
        <v>0</v>
      </c>
      <c r="E227" s="136">
        <f t="shared" si="23"/>
        <v>0</v>
      </c>
      <c r="F227" s="136">
        <f t="shared" si="23"/>
        <v>0</v>
      </c>
      <c r="G227" s="136">
        <f t="shared" si="23"/>
        <v>0</v>
      </c>
      <c r="H227" s="136">
        <f t="shared" si="23"/>
        <v>0</v>
      </c>
      <c r="I227" s="136">
        <f t="shared" si="23"/>
        <v>0</v>
      </c>
      <c r="J227" s="136">
        <f t="shared" si="23"/>
        <v>0</v>
      </c>
      <c r="K227" s="136">
        <f t="shared" si="23"/>
        <v>0</v>
      </c>
      <c r="L227" s="136">
        <f t="shared" si="23"/>
        <v>0</v>
      </c>
      <c r="M227" s="136">
        <f t="shared" si="23"/>
        <v>0</v>
      </c>
      <c r="N227" s="136">
        <f t="shared" si="23"/>
        <v>0</v>
      </c>
      <c r="O227" s="136">
        <f t="shared" si="23"/>
        <v>0</v>
      </c>
      <c r="P227" s="136">
        <f t="shared" si="23"/>
        <v>0</v>
      </c>
      <c r="Q227" s="136">
        <f t="shared" si="23"/>
        <v>0</v>
      </c>
      <c r="R227" s="136">
        <f t="shared" si="23"/>
        <v>0</v>
      </c>
      <c r="S227" s="136">
        <f t="shared" si="23"/>
        <v>0</v>
      </c>
      <c r="T227" s="136">
        <f t="shared" si="23"/>
        <v>0</v>
      </c>
      <c r="U227" s="136">
        <f t="shared" si="23"/>
        <v>0</v>
      </c>
      <c r="V227" s="136">
        <f t="shared" si="23"/>
        <v>0</v>
      </c>
      <c r="W227" s="136">
        <f t="shared" si="23"/>
        <v>0</v>
      </c>
      <c r="X227" s="136">
        <f t="shared" si="23"/>
        <v>0</v>
      </c>
      <c r="Y227" s="136">
        <f t="shared" si="23"/>
        <v>0</v>
      </c>
      <c r="Z227" s="136">
        <f t="shared" si="23"/>
        <v>0</v>
      </c>
      <c r="AA227" s="136">
        <f t="shared" si="23"/>
        <v>0</v>
      </c>
      <c r="AB227" s="136">
        <f t="shared" si="23"/>
        <v>0</v>
      </c>
      <c r="AC227" s="136">
        <f t="shared" si="23"/>
        <v>0</v>
      </c>
      <c r="AD227" s="136">
        <f t="shared" si="23"/>
        <v>0</v>
      </c>
      <c r="AE227" s="136">
        <f t="shared" si="23"/>
        <v>0</v>
      </c>
      <c r="AF227" s="137">
        <f t="shared" si="23"/>
        <v>0</v>
      </c>
      <c r="AG227" s="138">
        <f t="shared" si="23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24">AF229</f>
        <v>0</v>
      </c>
      <c r="C229" s="140">
        <v>0.3</v>
      </c>
      <c r="D229" s="140">
        <f t="shared" ref="D229:P234" si="25">C229</f>
        <v>0.3</v>
      </c>
      <c r="E229" s="140">
        <f t="shared" si="25"/>
        <v>0.3</v>
      </c>
      <c r="F229" s="140">
        <f t="shared" si="25"/>
        <v>0.3</v>
      </c>
      <c r="G229" s="140">
        <f t="shared" si="25"/>
        <v>0.3</v>
      </c>
      <c r="H229" s="140">
        <f t="shared" si="25"/>
        <v>0.3</v>
      </c>
      <c r="I229" s="140">
        <f t="shared" si="25"/>
        <v>0.3</v>
      </c>
      <c r="J229" s="140">
        <f t="shared" si="25"/>
        <v>0.3</v>
      </c>
      <c r="K229" s="140">
        <f t="shared" si="25"/>
        <v>0.3</v>
      </c>
      <c r="L229" s="140">
        <f t="shared" si="25"/>
        <v>0.3</v>
      </c>
      <c r="M229" s="140">
        <f t="shared" si="25"/>
        <v>0.3</v>
      </c>
      <c r="N229" s="140">
        <f t="shared" si="25"/>
        <v>0.3</v>
      </c>
      <c r="O229" s="140">
        <f t="shared" si="25"/>
        <v>0.3</v>
      </c>
      <c r="P229" s="140">
        <f t="shared" si="25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24"/>
        <v>0</v>
      </c>
      <c r="C230" s="128">
        <v>0.4</v>
      </c>
      <c r="D230" s="128">
        <f t="shared" si="25"/>
        <v>0.4</v>
      </c>
      <c r="E230" s="128">
        <f t="shared" si="25"/>
        <v>0.4</v>
      </c>
      <c r="F230" s="128">
        <f t="shared" si="25"/>
        <v>0.4</v>
      </c>
      <c r="G230" s="128">
        <f t="shared" si="25"/>
        <v>0.4</v>
      </c>
      <c r="H230" s="128">
        <f t="shared" si="25"/>
        <v>0.4</v>
      </c>
      <c r="I230" s="128">
        <f t="shared" si="25"/>
        <v>0.4</v>
      </c>
      <c r="J230" s="128">
        <f t="shared" si="25"/>
        <v>0.4</v>
      </c>
      <c r="K230" s="128">
        <f t="shared" si="25"/>
        <v>0.4</v>
      </c>
      <c r="L230" s="128">
        <f t="shared" si="25"/>
        <v>0.4</v>
      </c>
      <c r="M230" s="128">
        <f t="shared" si="25"/>
        <v>0.4</v>
      </c>
      <c r="N230" s="128">
        <f t="shared" si="25"/>
        <v>0.4</v>
      </c>
      <c r="O230" s="128">
        <f t="shared" si="25"/>
        <v>0.4</v>
      </c>
      <c r="P230" s="128">
        <f t="shared" si="25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24"/>
        <v>0</v>
      </c>
      <c r="C231" s="128">
        <v>1.5</v>
      </c>
      <c r="D231" s="128">
        <f t="shared" si="25"/>
        <v>1.5</v>
      </c>
      <c r="E231" s="128">
        <f t="shared" si="25"/>
        <v>1.5</v>
      </c>
      <c r="F231" s="128">
        <f t="shared" si="25"/>
        <v>1.5</v>
      </c>
      <c r="G231" s="128">
        <f t="shared" si="25"/>
        <v>1.5</v>
      </c>
      <c r="H231" s="128">
        <f t="shared" si="25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25"/>
        <v>123.21900000000009</v>
      </c>
      <c r="K231" s="128">
        <f t="shared" ca="1" si="25"/>
        <v>123.21900000000009</v>
      </c>
      <c r="L231" s="128">
        <f t="shared" ca="1" si="25"/>
        <v>123.21900000000009</v>
      </c>
      <c r="M231" s="128">
        <f t="shared" ca="1" si="25"/>
        <v>119.19900000000008</v>
      </c>
      <c r="N231" s="128">
        <f t="shared" ca="1" si="25"/>
        <v>119.19900000000008</v>
      </c>
      <c r="O231" s="128">
        <f t="shared" ca="1" si="25"/>
        <v>119.19900000000008</v>
      </c>
      <c r="P231" s="128">
        <f t="shared" ca="1" si="25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24"/>
        <v>0</v>
      </c>
      <c r="C232" s="128">
        <v>0.3</v>
      </c>
      <c r="D232" s="128">
        <f t="shared" si="25"/>
        <v>0.3</v>
      </c>
      <c r="E232" s="128">
        <f t="shared" si="25"/>
        <v>0.3</v>
      </c>
      <c r="F232" s="128">
        <f t="shared" si="25"/>
        <v>0.3</v>
      </c>
      <c r="G232" s="128">
        <f t="shared" si="25"/>
        <v>0.3</v>
      </c>
      <c r="H232" s="128">
        <f t="shared" si="25"/>
        <v>0.3</v>
      </c>
      <c r="I232" s="128">
        <f t="shared" si="25"/>
        <v>0.3</v>
      </c>
      <c r="J232" s="128">
        <f t="shared" si="25"/>
        <v>0.3</v>
      </c>
      <c r="K232" s="128">
        <f t="shared" si="25"/>
        <v>0.3</v>
      </c>
      <c r="L232" s="128">
        <f t="shared" si="25"/>
        <v>0.3</v>
      </c>
      <c r="M232" s="128">
        <f t="shared" si="25"/>
        <v>0.3</v>
      </c>
      <c r="N232" s="128">
        <f t="shared" si="25"/>
        <v>0.3</v>
      </c>
      <c r="O232" s="128">
        <f t="shared" si="25"/>
        <v>0.3</v>
      </c>
      <c r="P232" s="128">
        <f t="shared" si="25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24"/>
        <v>0</v>
      </c>
      <c r="C233" s="128">
        <v>0.4</v>
      </c>
      <c r="D233" s="128">
        <f t="shared" si="25"/>
        <v>0.4</v>
      </c>
      <c r="E233" s="128">
        <f t="shared" si="25"/>
        <v>0.4</v>
      </c>
      <c r="F233" s="128">
        <f t="shared" si="25"/>
        <v>0.4</v>
      </c>
      <c r="G233" s="128">
        <f t="shared" si="25"/>
        <v>0.4</v>
      </c>
      <c r="H233" s="128">
        <f t="shared" si="25"/>
        <v>0.4</v>
      </c>
      <c r="I233" s="128">
        <f t="shared" si="25"/>
        <v>0.4</v>
      </c>
      <c r="J233" s="128">
        <f t="shared" si="25"/>
        <v>0.4</v>
      </c>
      <c r="K233" s="128">
        <f t="shared" si="25"/>
        <v>0.4</v>
      </c>
      <c r="L233" s="128">
        <f t="shared" si="25"/>
        <v>0.4</v>
      </c>
      <c r="M233" s="128">
        <f t="shared" si="25"/>
        <v>0.4</v>
      </c>
      <c r="N233" s="128">
        <f t="shared" si="25"/>
        <v>0.4</v>
      </c>
      <c r="O233" s="128">
        <f t="shared" si="25"/>
        <v>0.4</v>
      </c>
      <c r="P233" s="128">
        <f t="shared" si="25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24"/>
        <v>0</v>
      </c>
      <c r="C234" s="132">
        <v>0.64</v>
      </c>
      <c r="D234" s="132">
        <f t="shared" si="25"/>
        <v>0.64</v>
      </c>
      <c r="E234" s="132">
        <f t="shared" si="25"/>
        <v>0.64</v>
      </c>
      <c r="F234" s="132">
        <f t="shared" si="25"/>
        <v>0.64</v>
      </c>
      <c r="G234" s="132">
        <f t="shared" si="25"/>
        <v>0.64</v>
      </c>
      <c r="H234" s="132">
        <f t="shared" si="25"/>
        <v>0.64</v>
      </c>
      <c r="I234" s="132">
        <f t="shared" si="25"/>
        <v>0.64</v>
      </c>
      <c r="J234" s="132">
        <f t="shared" si="25"/>
        <v>0.64</v>
      </c>
      <c r="K234" s="132">
        <f t="shared" si="25"/>
        <v>0.64</v>
      </c>
      <c r="L234" s="132">
        <f t="shared" si="25"/>
        <v>0.64</v>
      </c>
      <c r="M234" s="132">
        <f t="shared" si="25"/>
        <v>0.64</v>
      </c>
      <c r="N234" s="132">
        <f t="shared" si="25"/>
        <v>0.64</v>
      </c>
      <c r="O234" s="132">
        <f t="shared" si="25"/>
        <v>0.64</v>
      </c>
      <c r="P234" s="132">
        <f t="shared" si="25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26">SUM(B229:B234)</f>
        <v>0</v>
      </c>
      <c r="C235" s="136">
        <f t="shared" si="26"/>
        <v>3.54</v>
      </c>
      <c r="D235" s="136">
        <f t="shared" si="26"/>
        <v>3.54</v>
      </c>
      <c r="E235" s="136">
        <f t="shared" si="26"/>
        <v>3.54</v>
      </c>
      <c r="F235" s="136">
        <f t="shared" si="26"/>
        <v>3.54</v>
      </c>
      <c r="G235" s="136">
        <f t="shared" si="26"/>
        <v>3.54</v>
      </c>
      <c r="H235" s="136">
        <f t="shared" si="26"/>
        <v>3.54</v>
      </c>
      <c r="I235" s="136">
        <f t="shared" ca="1" si="26"/>
        <v>121.23900000000009</v>
      </c>
      <c r="J235" s="136">
        <f t="shared" ca="1" si="26"/>
        <v>121.23900000000009</v>
      </c>
      <c r="K235" s="136">
        <f t="shared" ca="1" si="26"/>
        <v>121.23900000000009</v>
      </c>
      <c r="L235" s="136">
        <f t="shared" ca="1" si="26"/>
        <v>125.2590000000001</v>
      </c>
      <c r="M235" s="136">
        <f t="shared" ca="1" si="26"/>
        <v>121.23900000000009</v>
      </c>
      <c r="N235" s="136">
        <f t="shared" ca="1" si="26"/>
        <v>121.23900000000009</v>
      </c>
      <c r="O235" s="136">
        <f t="shared" ca="1" si="26"/>
        <v>121.23900000000009</v>
      </c>
      <c r="P235" s="136">
        <f t="shared" ca="1" si="26"/>
        <v>121.23900000000009</v>
      </c>
      <c r="Q235" s="136">
        <f t="shared" si="26"/>
        <v>0</v>
      </c>
      <c r="R235" s="136">
        <f t="shared" si="26"/>
        <v>0</v>
      </c>
      <c r="S235" s="136">
        <f t="shared" si="26"/>
        <v>0</v>
      </c>
      <c r="T235" s="136">
        <f t="shared" si="26"/>
        <v>0</v>
      </c>
      <c r="U235" s="136">
        <f t="shared" si="26"/>
        <v>0</v>
      </c>
      <c r="V235" s="136">
        <f t="shared" si="26"/>
        <v>0</v>
      </c>
      <c r="W235" s="136">
        <f t="shared" si="26"/>
        <v>0</v>
      </c>
      <c r="X235" s="136">
        <f t="shared" si="26"/>
        <v>0</v>
      </c>
      <c r="Y235" s="136">
        <f t="shared" si="26"/>
        <v>0</v>
      </c>
      <c r="Z235" s="136">
        <f t="shared" si="26"/>
        <v>0</v>
      </c>
      <c r="AA235" s="136">
        <f t="shared" si="26"/>
        <v>0</v>
      </c>
      <c r="AB235" s="136">
        <f t="shared" si="26"/>
        <v>0</v>
      </c>
      <c r="AC235" s="136">
        <f t="shared" si="26"/>
        <v>0</v>
      </c>
      <c r="AD235" s="136">
        <f t="shared" si="26"/>
        <v>0</v>
      </c>
      <c r="AE235" s="136">
        <f t="shared" si="26"/>
        <v>0</v>
      </c>
      <c r="AF235" s="136">
        <f t="shared" si="26"/>
        <v>0</v>
      </c>
      <c r="AG235" s="145">
        <f t="shared" si="26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2002.54</v>
      </c>
      <c r="C244" s="161">
        <f>INDEX(G9:N9,1,MATCH(MAX(G91:N91),G91:N91,0))</f>
        <v>0.29166666666666669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31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2080/04/31)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2080/04/31)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27">B91</f>
        <v>1970.84</v>
      </c>
      <c r="U249" s="170">
        <f t="shared" si="27"/>
        <v>1966.84</v>
      </c>
      <c r="V249" s="170">
        <f t="shared" si="27"/>
        <v>1947.64</v>
      </c>
      <c r="W249" s="170">
        <f t="shared" si="27"/>
        <v>1947.94</v>
      </c>
      <c r="X249" s="170">
        <f t="shared" si="27"/>
        <v>1937.1399999999999</v>
      </c>
      <c r="Y249" s="170">
        <f t="shared" si="27"/>
        <v>1934.6399999999999</v>
      </c>
      <c r="Z249" s="170">
        <f t="shared" si="27"/>
        <v>1941.1399999999999</v>
      </c>
      <c r="AA249" s="170">
        <f t="shared" si="27"/>
        <v>1958.54</v>
      </c>
      <c r="AB249" s="170">
        <f t="shared" si="27"/>
        <v>1982.94</v>
      </c>
      <c r="AC249" s="170">
        <f t="shared" si="27"/>
        <v>2002.54</v>
      </c>
      <c r="AD249" s="170">
        <f t="shared" si="27"/>
        <v>1957.04</v>
      </c>
      <c r="AE249" s="170">
        <f t="shared" si="27"/>
        <v>1980.74</v>
      </c>
      <c r="AF249" s="170">
        <f t="shared" si="27"/>
        <v>1907.1399999999999</v>
      </c>
      <c r="AG249" s="170">
        <f t="shared" si="27"/>
        <v>1906.94</v>
      </c>
      <c r="AH249" s="170">
        <f t="shared" si="27"/>
        <v>1928.8400000000001</v>
      </c>
      <c r="AI249" s="170">
        <f t="shared" si="27"/>
        <v>1956.8400000000001</v>
      </c>
      <c r="AJ249" s="170">
        <f t="shared" si="27"/>
        <v>1958.24</v>
      </c>
      <c r="AK249" s="170">
        <f t="shared" si="27"/>
        <v>1935.04</v>
      </c>
      <c r="AL249" s="170">
        <f t="shared" si="27"/>
        <v>1924.04</v>
      </c>
      <c r="AM249" s="170">
        <f t="shared" si="27"/>
        <v>1941.04</v>
      </c>
      <c r="AN249" s="170">
        <f t="shared" si="27"/>
        <v>1917.14</v>
      </c>
      <c r="AO249" s="170">
        <f t="shared" si="27"/>
        <v>1922.04</v>
      </c>
      <c r="AP249" s="170">
        <f t="shared" si="27"/>
        <v>1926.54</v>
      </c>
      <c r="AQ249" s="170">
        <f t="shared" si="27"/>
        <v>1937.84</v>
      </c>
      <c r="AR249" s="170">
        <f t="shared" si="27"/>
        <v>1968.34</v>
      </c>
      <c r="AS249" s="170">
        <f t="shared" si="27"/>
        <v>2137.14</v>
      </c>
      <c r="AT249" s="170">
        <f t="shared" si="27"/>
        <v>2172.2399999999998</v>
      </c>
      <c r="AU249" s="170">
        <f t="shared" si="27"/>
        <v>2162.2399999999998</v>
      </c>
      <c r="AV249" s="170">
        <f t="shared" si="27"/>
        <v>2074.14</v>
      </c>
      <c r="AW249" s="170">
        <f t="shared" si="27"/>
        <v>2065.84</v>
      </c>
      <c r="AX249" s="170">
        <f t="shared" si="27"/>
        <v>2020.34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28">C234</f>
        <v>0.64</v>
      </c>
      <c r="C270" s="173">
        <f t="shared" si="28"/>
        <v>0.64</v>
      </c>
      <c r="D270" s="173">
        <f t="shared" si="28"/>
        <v>0.64</v>
      </c>
      <c r="E270" s="173">
        <f t="shared" si="28"/>
        <v>0.64</v>
      </c>
      <c r="F270" s="173">
        <f t="shared" si="28"/>
        <v>0.64</v>
      </c>
      <c r="G270" s="173">
        <f t="shared" si="28"/>
        <v>0.64</v>
      </c>
      <c r="H270" s="173">
        <f t="shared" si="28"/>
        <v>0.64</v>
      </c>
      <c r="I270" s="173">
        <f t="shared" si="28"/>
        <v>0.64</v>
      </c>
      <c r="J270" s="173">
        <f t="shared" si="28"/>
        <v>0.64</v>
      </c>
      <c r="K270" s="173">
        <f t="shared" si="28"/>
        <v>0.64</v>
      </c>
      <c r="L270" s="173">
        <f t="shared" si="28"/>
        <v>0.64</v>
      </c>
      <c r="M270" s="173">
        <f t="shared" si="28"/>
        <v>0.64</v>
      </c>
      <c r="N270" s="173">
        <f t="shared" si="28"/>
        <v>0.64</v>
      </c>
      <c r="O270" s="173">
        <f t="shared" si="28"/>
        <v>0.64</v>
      </c>
      <c r="P270" s="173">
        <f t="shared" si="28"/>
        <v>0</v>
      </c>
      <c r="Q270" s="173">
        <f t="shared" si="28"/>
        <v>0</v>
      </c>
      <c r="R270" s="173">
        <f t="shared" si="28"/>
        <v>0</v>
      </c>
      <c r="S270" s="173">
        <f t="shared" si="28"/>
        <v>0</v>
      </c>
      <c r="T270" s="173">
        <f t="shared" si="28"/>
        <v>0</v>
      </c>
      <c r="U270" s="173">
        <f t="shared" si="28"/>
        <v>0</v>
      </c>
      <c r="V270" s="173">
        <f t="shared" si="28"/>
        <v>0</v>
      </c>
      <c r="W270" s="173">
        <f t="shared" si="28"/>
        <v>0</v>
      </c>
      <c r="X270" s="173">
        <f t="shared" si="28"/>
        <v>0</v>
      </c>
      <c r="Y270" s="173">
        <f t="shared" si="28"/>
        <v>0</v>
      </c>
      <c r="Z270" s="173">
        <f t="shared" si="28"/>
        <v>0</v>
      </c>
      <c r="AA270" s="173">
        <f t="shared" si="28"/>
        <v>0</v>
      </c>
      <c r="AB270" s="173">
        <f t="shared" si="28"/>
        <v>0</v>
      </c>
      <c r="AC270" s="173">
        <f t="shared" si="28"/>
        <v>0</v>
      </c>
      <c r="AD270" s="173">
        <f t="shared" si="28"/>
        <v>0</v>
      </c>
      <c r="AE270" s="173">
        <f t="shared" si="28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9">IF(B238&lt;100,"",B238-520)</f>
        <v/>
      </c>
      <c r="C271" s="174" t="str">
        <f t="shared" si="29"/>
        <v/>
      </c>
      <c r="D271" s="174" t="str">
        <f t="shared" si="29"/>
        <v/>
      </c>
      <c r="E271" s="174" t="str">
        <f t="shared" si="29"/>
        <v/>
      </c>
      <c r="F271" s="174" t="str">
        <f t="shared" si="29"/>
        <v/>
      </c>
      <c r="G271" s="174" t="str">
        <f t="shared" si="29"/>
        <v/>
      </c>
      <c r="H271" s="174" t="str">
        <f t="shared" si="29"/>
        <v/>
      </c>
      <c r="I271" s="174" t="str">
        <f t="shared" si="29"/>
        <v/>
      </c>
      <c r="J271" s="174" t="str">
        <f t="shared" si="29"/>
        <v/>
      </c>
      <c r="K271" s="174" t="str">
        <f t="shared" si="29"/>
        <v/>
      </c>
      <c r="L271" s="174" t="str">
        <f t="shared" si="29"/>
        <v/>
      </c>
      <c r="M271" s="174" t="str">
        <f t="shared" si="29"/>
        <v/>
      </c>
      <c r="N271" s="174" t="str">
        <f t="shared" si="29"/>
        <v/>
      </c>
      <c r="O271" s="174" t="str">
        <f t="shared" si="29"/>
        <v/>
      </c>
      <c r="P271" s="174" t="str">
        <f t="shared" si="29"/>
        <v/>
      </c>
      <c r="Q271" s="174" t="str">
        <f t="shared" si="29"/>
        <v/>
      </c>
      <c r="R271" s="174" t="str">
        <f t="shared" si="29"/>
        <v/>
      </c>
      <c r="S271" s="174" t="str">
        <f t="shared" si="29"/>
        <v/>
      </c>
      <c r="T271" s="174" t="str">
        <f t="shared" si="29"/>
        <v/>
      </c>
      <c r="U271" s="174" t="str">
        <f t="shared" si="29"/>
        <v/>
      </c>
      <c r="V271" s="174" t="str">
        <f t="shared" si="29"/>
        <v/>
      </c>
      <c r="W271" s="174" t="str">
        <f t="shared" si="29"/>
        <v/>
      </c>
      <c r="X271" s="174" t="str">
        <f t="shared" si="29"/>
        <v/>
      </c>
      <c r="Y271" s="174" t="str">
        <f t="shared" si="29"/>
        <v/>
      </c>
      <c r="Z271" s="174" t="str">
        <f t="shared" si="29"/>
        <v/>
      </c>
      <c r="AA271" s="174" t="str">
        <f t="shared" si="29"/>
        <v/>
      </c>
      <c r="AB271" s="174" t="str">
        <f t="shared" si="29"/>
        <v/>
      </c>
      <c r="AC271" s="174" t="str">
        <f t="shared" si="29"/>
        <v/>
      </c>
      <c r="AD271" s="174" t="str">
        <f t="shared" si="29"/>
        <v/>
      </c>
      <c r="AE271" s="174" t="str">
        <f t="shared" si="29"/>
        <v/>
      </c>
      <c r="AF271" s="174" t="str">
        <f t="shared" si="29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30">IF(B239&lt;100,"",B239-620)</f>
        <v/>
      </c>
      <c r="C272" s="174" t="str">
        <f t="shared" si="30"/>
        <v/>
      </c>
      <c r="D272" s="174" t="str">
        <f t="shared" si="30"/>
        <v/>
      </c>
      <c r="E272" s="174" t="str">
        <f t="shared" si="30"/>
        <v/>
      </c>
      <c r="F272" s="174" t="str">
        <f t="shared" si="30"/>
        <v/>
      </c>
      <c r="G272" s="174" t="str">
        <f t="shared" si="30"/>
        <v/>
      </c>
      <c r="H272" s="174" t="str">
        <f t="shared" si="30"/>
        <v/>
      </c>
      <c r="I272" s="174" t="str">
        <f t="shared" si="30"/>
        <v/>
      </c>
      <c r="J272" s="174" t="str">
        <f t="shared" si="30"/>
        <v/>
      </c>
      <c r="K272" s="174" t="str">
        <f t="shared" si="30"/>
        <v/>
      </c>
      <c r="L272" s="174" t="str">
        <f t="shared" si="30"/>
        <v/>
      </c>
      <c r="M272" s="174" t="str">
        <f t="shared" si="30"/>
        <v/>
      </c>
      <c r="N272" s="174" t="str">
        <f t="shared" si="30"/>
        <v/>
      </c>
      <c r="O272" s="174" t="str">
        <f t="shared" si="30"/>
        <v/>
      </c>
      <c r="P272" s="174" t="str">
        <f t="shared" si="30"/>
        <v/>
      </c>
      <c r="Q272" s="174" t="str">
        <f t="shared" si="30"/>
        <v/>
      </c>
      <c r="R272" s="174" t="str">
        <f t="shared" si="30"/>
        <v/>
      </c>
      <c r="S272" s="174" t="str">
        <f t="shared" si="30"/>
        <v/>
      </c>
      <c r="T272" s="174" t="str">
        <f t="shared" si="30"/>
        <v/>
      </c>
      <c r="U272" s="174" t="str">
        <f t="shared" si="30"/>
        <v/>
      </c>
      <c r="V272" s="174" t="str">
        <f t="shared" si="30"/>
        <v/>
      </c>
      <c r="W272" s="174" t="str">
        <f t="shared" si="30"/>
        <v/>
      </c>
      <c r="X272" s="174" t="str">
        <f t="shared" si="30"/>
        <v/>
      </c>
      <c r="Y272" s="174" t="str">
        <f t="shared" si="30"/>
        <v/>
      </c>
      <c r="Z272" s="174" t="str">
        <f t="shared" si="30"/>
        <v/>
      </c>
      <c r="AA272" s="174" t="str">
        <f t="shared" si="30"/>
        <v/>
      </c>
      <c r="AB272" s="174" t="str">
        <f t="shared" si="30"/>
        <v/>
      </c>
      <c r="AC272" s="174" t="str">
        <f t="shared" si="30"/>
        <v/>
      </c>
      <c r="AD272" s="174" t="str">
        <f t="shared" si="30"/>
        <v/>
      </c>
      <c r="AE272" s="174" t="str">
        <f t="shared" si="30"/>
        <v/>
      </c>
      <c r="AF272" s="174" t="str">
        <f t="shared" si="30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31">IF(B240&lt;100,"",B240-330)</f>
        <v/>
      </c>
      <c r="C273" s="174" t="str">
        <f t="shared" si="31"/>
        <v/>
      </c>
      <c r="D273" s="174" t="str">
        <f t="shared" si="31"/>
        <v/>
      </c>
      <c r="E273" s="174" t="str">
        <f t="shared" si="31"/>
        <v/>
      </c>
      <c r="F273" s="174" t="str">
        <f t="shared" si="31"/>
        <v/>
      </c>
      <c r="G273" s="174" t="str">
        <f t="shared" si="31"/>
        <v/>
      </c>
      <c r="H273" s="174" t="str">
        <f t="shared" si="31"/>
        <v/>
      </c>
      <c r="I273" s="174" t="str">
        <f t="shared" si="31"/>
        <v/>
      </c>
      <c r="J273" s="174" t="str">
        <f t="shared" si="31"/>
        <v/>
      </c>
      <c r="K273" s="174" t="str">
        <f t="shared" si="31"/>
        <v/>
      </c>
      <c r="L273" s="174" t="str">
        <f t="shared" si="31"/>
        <v/>
      </c>
      <c r="M273" s="174" t="str">
        <f t="shared" si="31"/>
        <v/>
      </c>
      <c r="N273" s="174" t="str">
        <f t="shared" si="31"/>
        <v/>
      </c>
      <c r="O273" s="174" t="str">
        <f t="shared" si="31"/>
        <v/>
      </c>
      <c r="P273" s="174" t="str">
        <f t="shared" si="31"/>
        <v/>
      </c>
      <c r="Q273" s="174" t="str">
        <f t="shared" si="31"/>
        <v/>
      </c>
      <c r="R273" s="174" t="str">
        <f t="shared" si="31"/>
        <v/>
      </c>
      <c r="S273" s="174" t="str">
        <f t="shared" si="31"/>
        <v/>
      </c>
      <c r="T273" s="174" t="str">
        <f t="shared" si="31"/>
        <v/>
      </c>
      <c r="U273" s="174" t="str">
        <f t="shared" si="31"/>
        <v/>
      </c>
      <c r="V273" s="174" t="str">
        <f t="shared" si="31"/>
        <v/>
      </c>
      <c r="W273" s="174" t="str">
        <f t="shared" si="31"/>
        <v/>
      </c>
      <c r="X273" s="174" t="str">
        <f t="shared" si="31"/>
        <v/>
      </c>
      <c r="Y273" s="174" t="str">
        <f t="shared" si="31"/>
        <v/>
      </c>
      <c r="Z273" s="174" t="str">
        <f t="shared" si="31"/>
        <v/>
      </c>
      <c r="AA273" s="174" t="str">
        <f t="shared" si="31"/>
        <v/>
      </c>
      <c r="AB273" s="174" t="str">
        <f t="shared" si="31"/>
        <v/>
      </c>
      <c r="AC273" s="174" t="str">
        <f t="shared" si="31"/>
        <v/>
      </c>
      <c r="AD273" s="174" t="str">
        <f t="shared" si="31"/>
        <v/>
      </c>
      <c r="AE273" s="174" t="str">
        <f t="shared" si="31"/>
        <v/>
      </c>
      <c r="AF273" s="174" t="str">
        <f t="shared" si="31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32">IF(B241&lt;100,"",B241-1500)</f>
        <v/>
      </c>
      <c r="C274" s="174" t="str">
        <f t="shared" si="32"/>
        <v/>
      </c>
      <c r="D274" s="174" t="str">
        <f t="shared" si="32"/>
        <v/>
      </c>
      <c r="E274" s="174" t="str">
        <f t="shared" si="32"/>
        <v/>
      </c>
      <c r="F274" s="174" t="str">
        <f t="shared" si="32"/>
        <v/>
      </c>
      <c r="G274" s="174" t="str">
        <f t="shared" si="32"/>
        <v/>
      </c>
      <c r="H274" s="174" t="str">
        <f t="shared" si="32"/>
        <v/>
      </c>
      <c r="I274" s="174" t="str">
        <f t="shared" si="32"/>
        <v/>
      </c>
      <c r="J274" s="174" t="str">
        <f t="shared" si="32"/>
        <v/>
      </c>
      <c r="K274" s="174" t="str">
        <f t="shared" si="32"/>
        <v/>
      </c>
      <c r="L274" s="174" t="str">
        <f t="shared" si="32"/>
        <v/>
      </c>
      <c r="M274" s="174" t="str">
        <f t="shared" si="32"/>
        <v/>
      </c>
      <c r="N274" s="174" t="str">
        <f t="shared" si="32"/>
        <v/>
      </c>
      <c r="O274" s="174" t="str">
        <f t="shared" si="32"/>
        <v/>
      </c>
      <c r="P274" s="174" t="str">
        <f t="shared" si="32"/>
        <v/>
      </c>
      <c r="Q274" s="174" t="str">
        <f t="shared" si="32"/>
        <v/>
      </c>
      <c r="R274" s="174" t="str">
        <f t="shared" si="32"/>
        <v/>
      </c>
      <c r="S274" s="174" t="str">
        <f t="shared" si="32"/>
        <v/>
      </c>
      <c r="T274" s="174" t="str">
        <f t="shared" si="32"/>
        <v/>
      </c>
      <c r="U274" s="174" t="str">
        <f t="shared" si="32"/>
        <v/>
      </c>
      <c r="V274" s="174" t="str">
        <f t="shared" si="32"/>
        <v/>
      </c>
      <c r="W274" s="174" t="str">
        <f t="shared" si="32"/>
        <v/>
      </c>
      <c r="X274" s="174" t="str">
        <f t="shared" si="32"/>
        <v/>
      </c>
      <c r="Y274" s="174" t="str">
        <f t="shared" si="32"/>
        <v/>
      </c>
      <c r="Z274" s="174" t="str">
        <f t="shared" si="32"/>
        <v/>
      </c>
      <c r="AA274" s="174" t="str">
        <f t="shared" si="32"/>
        <v/>
      </c>
      <c r="AB274" s="174" t="str">
        <f t="shared" si="32"/>
        <v/>
      </c>
      <c r="AC274" s="174" t="str">
        <f t="shared" si="32"/>
        <v/>
      </c>
      <c r="AD274" s="174" t="str">
        <f t="shared" si="32"/>
        <v/>
      </c>
      <c r="AE274" s="174" t="str">
        <f t="shared" si="32"/>
        <v/>
      </c>
      <c r="AF274" s="174" t="str">
        <f t="shared" si="32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3612" priority="64">
      <formula>$AH11=0</formula>
    </cfRule>
  </conditionalFormatting>
  <conditionalFormatting sqref="B8 M8 S8 AB8">
    <cfRule type="expression" dxfId="3611" priority="115">
      <formula>AND(C$9&gt;=14/24,C$9&lt;20/24)</formula>
    </cfRule>
    <cfRule type="expression" dxfId="3610" priority="116">
      <formula>AND(C$9&gt;=8/24,C$9&lt;14/24)</formula>
    </cfRule>
    <cfRule type="expression" dxfId="3609" priority="117">
      <formula>C$9&lt;8/24</formula>
    </cfRule>
  </conditionalFormatting>
  <conditionalFormatting sqref="B54:C54">
    <cfRule type="expression" dxfId="3608" priority="38">
      <formula>B$9&gt;=20/24</formula>
    </cfRule>
    <cfRule type="expression" dxfId="3607" priority="39">
      <formula>AND(B$9&gt;=14/24,B$9&lt;20/24)</formula>
    </cfRule>
    <cfRule type="expression" dxfId="3606" priority="40">
      <formula>AND(B$9&gt;=8/24,B$9&lt;14/24)</formula>
    </cfRule>
    <cfRule type="expression" dxfId="3605" priority="41">
      <formula>B$9&lt;8/24</formula>
    </cfRule>
  </conditionalFormatting>
  <conditionalFormatting sqref="B54:C66 C61:Z66">
    <cfRule type="expression" dxfId="3604" priority="33">
      <formula>B54&gt;$AG54</formula>
    </cfRule>
  </conditionalFormatting>
  <conditionalFormatting sqref="B55:D59 E59:G59">
    <cfRule type="expression" dxfId="3603" priority="60">
      <formula>B$9&gt;=20/24</formula>
    </cfRule>
    <cfRule type="expression" dxfId="3602" priority="61">
      <formula>AND(B$9&gt;=14/24,B$9&lt;20/24)</formula>
    </cfRule>
    <cfRule type="expression" dxfId="3601" priority="62">
      <formula>AND(B$9&gt;=8/24,B$9&lt;14/24)</formula>
    </cfRule>
    <cfRule type="expression" dxfId="3600" priority="63">
      <formula>B$9&lt;8/24</formula>
    </cfRule>
  </conditionalFormatting>
  <conditionalFormatting sqref="B60:Z60">
    <cfRule type="expression" dxfId="3599" priority="51">
      <formula>B$9&gt;=20/24</formula>
    </cfRule>
    <cfRule type="expression" dxfId="3598" priority="52">
      <formula>AND(B$9&gt;=14/24,B$9&lt;20/24)</formula>
    </cfRule>
    <cfRule type="expression" dxfId="3597" priority="53">
      <formula>AND(B$9&gt;=8/24,B$9&lt;14/24)</formula>
    </cfRule>
    <cfRule type="expression" dxfId="3596" priority="54">
      <formula>B$9&lt;8/24</formula>
    </cfRule>
  </conditionalFormatting>
  <conditionalFormatting sqref="B61:AF66">
    <cfRule type="expression" dxfId="3595" priority="34">
      <formula>B$9&gt;=20/24</formula>
    </cfRule>
    <cfRule type="expression" dxfId="3594" priority="35">
      <formula>AND(B$9&gt;=14/24,B$9&lt;20/24)</formula>
    </cfRule>
    <cfRule type="expression" dxfId="3593" priority="36">
      <formula>AND(B$9&gt;=8/24,B$9&lt;14/24)</formula>
    </cfRule>
    <cfRule type="expression" dxfId="3592" priority="37">
      <formula>B$9&lt;8/24</formula>
    </cfRule>
  </conditionalFormatting>
  <conditionalFormatting sqref="B9:AF45">
    <cfRule type="expression" dxfId="3591" priority="23">
      <formula>B$9&gt;=20/24</formula>
    </cfRule>
    <cfRule type="expression" dxfId="3590" priority="24">
      <formula>AND(B$9&gt;=14/24,B$9&lt;20/24)</formula>
    </cfRule>
    <cfRule type="expression" dxfId="3589" priority="25">
      <formula>AND(B$9&gt;=8/24,B$9&lt;14/24)</formula>
    </cfRule>
    <cfRule type="expression" dxfId="3588" priority="26">
      <formula>B$9&lt;8/24</formula>
    </cfRule>
  </conditionalFormatting>
  <conditionalFormatting sqref="B11:AF46">
    <cfRule type="expression" dxfId="3587" priority="22">
      <formula>B11&gt;$AG11</formula>
    </cfRule>
  </conditionalFormatting>
  <conditionalFormatting sqref="B46:AF46">
    <cfRule type="expression" dxfId="3586" priority="18">
      <formula>B$9&gt;=20/24</formula>
    </cfRule>
    <cfRule type="expression" dxfId="3585" priority="19">
      <formula>AND(B$9&gt;=14/24,B$9&lt;20/24)</formula>
    </cfRule>
    <cfRule type="expression" dxfId="3584" priority="20">
      <formula>AND(B$9&gt;=8/24,B$9&lt;14/24)</formula>
    </cfRule>
    <cfRule type="expression" dxfId="3583" priority="21">
      <formula>B$9&lt;8/24</formula>
    </cfRule>
  </conditionalFormatting>
  <conditionalFormatting sqref="B47:AF47">
    <cfRule type="expression" dxfId="3582" priority="32">
      <formula>B47&gt;$AG47</formula>
    </cfRule>
  </conditionalFormatting>
  <conditionalFormatting sqref="B47:AF49">
    <cfRule type="expression" dxfId="3581" priority="28">
      <formula>B$9&gt;=20/24</formula>
    </cfRule>
    <cfRule type="expression" dxfId="3580" priority="29">
      <formula>AND(B$9&gt;=14/24,B$9&lt;20/24)</formula>
    </cfRule>
    <cfRule type="expression" dxfId="3579" priority="30">
      <formula>AND(B$9&gt;=8/24,B$9&lt;14/24)</formula>
    </cfRule>
    <cfRule type="expression" dxfId="3578" priority="31">
      <formula>B$9&lt;8/24</formula>
    </cfRule>
  </conditionalFormatting>
  <conditionalFormatting sqref="B48:AF53">
    <cfRule type="expression" dxfId="3577" priority="27">
      <formula>B48&gt;$AG48</formula>
    </cfRule>
  </conditionalFormatting>
  <conditionalFormatting sqref="B51:AF53">
    <cfRule type="expression" dxfId="3576" priority="47">
      <formula>B$9&gt;=20/24</formula>
    </cfRule>
    <cfRule type="expression" dxfId="3575" priority="48">
      <formula>AND(B$9&gt;=14/24,B$9&lt;20/24)</formula>
    </cfRule>
    <cfRule type="expression" dxfId="3574" priority="49">
      <formula>AND(B$9&gt;=8/24,B$9&lt;14/24)</formula>
    </cfRule>
    <cfRule type="expression" dxfId="3573" priority="50">
      <formula>B$9&lt;8/24</formula>
    </cfRule>
  </conditionalFormatting>
  <conditionalFormatting sqref="B69:AF71">
    <cfRule type="expression" dxfId="3572" priority="55">
      <formula>B69&gt;$AG69</formula>
    </cfRule>
    <cfRule type="expression" dxfId="3571" priority="56">
      <formula>B$9&gt;=20/24</formula>
    </cfRule>
    <cfRule type="expression" dxfId="3570" priority="57">
      <formula>AND(B$9&gt;=14/24,B$9&lt;20/24)</formula>
    </cfRule>
    <cfRule type="expression" dxfId="3569" priority="58">
      <formula>AND(B$9&gt;=8/24,B$9&lt;14/24)</formula>
    </cfRule>
    <cfRule type="expression" dxfId="3568" priority="59">
      <formula>B$9&lt;8/24</formula>
    </cfRule>
  </conditionalFormatting>
  <conditionalFormatting sqref="B73:AF91">
    <cfRule type="expression" dxfId="3567" priority="1">
      <formula>B$9&gt;=20/24</formula>
    </cfRule>
    <cfRule type="expression" dxfId="3566" priority="2">
      <formula>AND(B$9&gt;=14/24,B$9&lt;20/24)</formula>
    </cfRule>
    <cfRule type="expression" dxfId="3565" priority="3">
      <formula>AND(B$9&gt;=8/24,B$9&lt;14/24)</formula>
    </cfRule>
    <cfRule type="expression" dxfId="3564" priority="4">
      <formula>B$9&lt;8/24</formula>
    </cfRule>
  </conditionalFormatting>
  <conditionalFormatting sqref="B111:AF120">
    <cfRule type="expression" dxfId="3563" priority="14">
      <formula>B$9&gt;=20/24</formula>
    </cfRule>
    <cfRule type="expression" dxfId="3562" priority="15">
      <formula>AND(B$9&gt;=14/24,B$9&lt;20/24)</formula>
    </cfRule>
    <cfRule type="expression" dxfId="3561" priority="16">
      <formula>AND(B$9&gt;=8/24,B$9&lt;14/24)</formula>
    </cfRule>
    <cfRule type="expression" dxfId="3560" priority="17">
      <formula>B$9&lt;8/24</formula>
    </cfRule>
  </conditionalFormatting>
  <conditionalFormatting sqref="B227:AF227 D229:AF230 B229:B235 D231:H231 J231:AF231 D232:AF235 U248:AF248">
    <cfRule type="expression" dxfId="3559" priority="108">
      <formula>B$9&gt;=20/24</formula>
    </cfRule>
    <cfRule type="expression" dxfId="3558" priority="109">
      <formula>AND(B$9&gt;=14/24,B$9&lt;20/24)</formula>
    </cfRule>
    <cfRule type="expression" dxfId="3557" priority="110">
      <formula>AND(B$9&gt;=8/24,B$9&lt;14/24)</formula>
    </cfRule>
    <cfRule type="expression" dxfId="3556" priority="111">
      <formula>B$9&lt;8/24</formula>
    </cfRule>
  </conditionalFormatting>
  <conditionalFormatting sqref="B67:AG68 B72:AG72">
    <cfRule type="expression" dxfId="3555" priority="42">
      <formula>B67&gt;$AG67</formula>
    </cfRule>
  </conditionalFormatting>
  <conditionalFormatting sqref="B72:AG72 B93:AF109">
    <cfRule type="expression" dxfId="3554" priority="43">
      <formula>B$9&gt;=20/24</formula>
    </cfRule>
    <cfRule type="expression" dxfId="3553" priority="44">
      <formula>AND(B$9&gt;=14/24,B$9&lt;20/24)</formula>
    </cfRule>
    <cfRule type="expression" dxfId="3552" priority="45">
      <formula>AND(B$9&gt;=8/24,B$9&lt;14/24)</formula>
    </cfRule>
    <cfRule type="expression" dxfId="3551" priority="46">
      <formula>B$9&lt;8/24</formula>
    </cfRule>
  </conditionalFormatting>
  <conditionalFormatting sqref="D55:AF66">
    <cfRule type="expression" dxfId="3550" priority="5">
      <formula>D55&gt;$AG55</formula>
    </cfRule>
  </conditionalFormatting>
  <conditionalFormatting sqref="D54:AG54">
    <cfRule type="expression" dxfId="3549" priority="76">
      <formula>D54&gt;$AG54</formula>
    </cfRule>
    <cfRule type="expression" dxfId="3548" priority="77">
      <formula>D$9&gt;=20/24</formula>
    </cfRule>
    <cfRule type="expression" dxfId="3547" priority="78">
      <formula>AND(D$9&gt;=14/24,D$9&lt;20/24)</formula>
    </cfRule>
    <cfRule type="expression" dxfId="3546" priority="79">
      <formula>AND(D$9&gt;=8/24,D$9&lt;14/24)</formula>
    </cfRule>
    <cfRule type="expression" dxfId="3545" priority="80">
      <formula>D$9&lt;8/24</formula>
    </cfRule>
  </conditionalFormatting>
  <conditionalFormatting sqref="E55:S57">
    <cfRule type="expression" dxfId="3544" priority="89">
      <formula>E$9&gt;=20/24</formula>
    </cfRule>
    <cfRule type="expression" dxfId="3543" priority="90">
      <formula>AND(E$9&gt;=14/24,E$9&lt;20/24)</formula>
    </cfRule>
    <cfRule type="expression" dxfId="3542" priority="91">
      <formula>AND(E$9&gt;=8/24,E$9&lt;14/24)</formula>
    </cfRule>
    <cfRule type="expression" dxfId="3541" priority="92">
      <formula>E$9&lt;8/24</formula>
    </cfRule>
  </conditionalFormatting>
  <conditionalFormatting sqref="M55:S59">
    <cfRule type="expression" dxfId="3540" priority="93">
      <formula>M$9&gt;=20/24</formula>
    </cfRule>
    <cfRule type="expression" dxfId="3539" priority="94">
      <formula>AND(M$9&gt;=14/24,M$9&lt;20/24)</formula>
    </cfRule>
    <cfRule type="expression" dxfId="3538" priority="95">
      <formula>AND(M$9&gt;=8/24,M$9&lt;14/24)</formula>
    </cfRule>
    <cfRule type="expression" dxfId="3537" priority="96">
      <formula>M$9&lt;8/24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536" priority="114">
      <formula>C$9&gt;=20/24</formula>
    </cfRule>
  </conditionalFormatting>
  <conditionalFormatting sqref="S8">
    <cfRule type="expression" dxfId="3535" priority="101">
      <formula>U$9&gt;=20/24</formula>
    </cfRule>
    <cfRule type="expression" dxfId="3534" priority="102">
      <formula>AND(U$9&gt;=14/24,U$9&lt;20/24)</formula>
    </cfRule>
    <cfRule type="expression" dxfId="3533" priority="103">
      <formula>AND(U$9&gt;=8/24,U$9&lt;14/24)</formula>
    </cfRule>
    <cfRule type="expression" dxfId="3532" priority="104">
      <formula>U$9&lt;8/24</formula>
    </cfRule>
  </conditionalFormatting>
  <conditionalFormatting sqref="S55:AF60">
    <cfRule type="expression" dxfId="3531" priority="10">
      <formula>S$9&gt;=20/24</formula>
    </cfRule>
    <cfRule type="expression" dxfId="3530" priority="11">
      <formula>AND(S$9&gt;=14/24,S$9&lt;20/24)</formula>
    </cfRule>
    <cfRule type="expression" dxfId="3529" priority="12">
      <formula>AND(S$9&gt;=8/24,S$9&lt;14/24)</formula>
    </cfRule>
    <cfRule type="expression" dxfId="3528" priority="13">
      <formula>S$9&lt;8/24</formula>
    </cfRule>
  </conditionalFormatting>
  <conditionalFormatting sqref="T248">
    <cfRule type="expression" dxfId="3527" priority="126">
      <formula>AX$9&gt;=20/24</formula>
    </cfRule>
    <cfRule type="expression" dxfId="3526" priority="127">
      <formula>AND(AX$9&gt;=14/24,AX$9&lt;20/24)</formula>
    </cfRule>
    <cfRule type="expression" dxfId="3525" priority="128">
      <formula>AND(AX$9&gt;=8/24,AX$9&lt;14/24)</formula>
    </cfRule>
    <cfRule type="expression" dxfId="3524" priority="129">
      <formula>AX$9&lt;8/24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523" priority="97">
      <formula>AD$9&gt;=20/24</formula>
    </cfRule>
    <cfRule type="expression" dxfId="3522" priority="98">
      <formula>AND(AD$9&gt;=14/24,AD$9&lt;20/24)</formula>
    </cfRule>
    <cfRule type="expression" dxfId="3521" priority="99">
      <formula>AND(AD$9&gt;=8/24,AD$9&lt;14/24)</formula>
    </cfRule>
    <cfRule type="expression" dxfId="3520" priority="100">
      <formula>AD$9&lt;8/24</formula>
    </cfRule>
  </conditionalFormatting>
  <conditionalFormatting sqref="AE61:AF66">
    <cfRule type="expression" dxfId="3519" priority="6">
      <formula>AE$9&gt;=20/24</formula>
    </cfRule>
    <cfRule type="expression" dxfId="3518" priority="7">
      <formula>AND(AE$9&gt;=14/24,AE$9&lt;20/24)</formula>
    </cfRule>
    <cfRule type="expression" dxfId="3517" priority="8">
      <formula>AND(AE$9&gt;=8/24,AE$9&lt;14/24)</formula>
    </cfRule>
    <cfRule type="expression" dxfId="3516" priority="9">
      <formula>AE$9&lt;8/24</formula>
    </cfRule>
  </conditionalFormatting>
  <conditionalFormatting sqref="AG50">
    <cfRule type="expression" dxfId="3515" priority="84">
      <formula>AG50&gt;$AG50</formula>
    </cfRule>
  </conditionalFormatting>
  <conditionalFormatting sqref="AG89">
    <cfRule type="expression" dxfId="3514" priority="85">
      <formula>AG$9&gt;=20/24</formula>
    </cfRule>
    <cfRule type="expression" dxfId="3513" priority="86">
      <formula>AND(AG$9&gt;=14/24,AG$9&lt;20/24)</formula>
    </cfRule>
    <cfRule type="expression" dxfId="3512" priority="87">
      <formula>AND(AG$9&gt;=8/24,AG$9&lt;14/24)</formula>
    </cfRule>
    <cfRule type="expression" dxfId="3511" priority="88">
      <formula>AG$9&lt;8/24</formula>
    </cfRule>
  </conditionalFormatting>
  <conditionalFormatting sqref="AG248">
    <cfRule type="expression" dxfId="3510" priority="118">
      <formula>B$9&gt;=20/24</formula>
    </cfRule>
    <cfRule type="expression" dxfId="3509" priority="119">
      <formula>AND(B$9&gt;=14/24,B$9&lt;20/24)</formula>
    </cfRule>
    <cfRule type="expression" dxfId="3508" priority="120">
      <formula>AND(B$9&gt;=8/24,B$9&lt;14/24)</formula>
    </cfRule>
    <cfRule type="expression" dxfId="3507" priority="121">
      <formula>B$9&lt;8/24</formula>
    </cfRule>
  </conditionalFormatting>
  <conditionalFormatting sqref="AH248:AX248">
    <cfRule type="expression" dxfId="3506" priority="122">
      <formula>AG$9&gt;=20/24</formula>
    </cfRule>
    <cfRule type="expression" dxfId="3505" priority="123">
      <formula>AND(AG$9&gt;=14/24,AG$9&lt;20/24)</formula>
    </cfRule>
    <cfRule type="expression" dxfId="3504" priority="124">
      <formula>AND(AG$9&gt;=8/24,AG$9&lt;14/24)</formula>
    </cfRule>
    <cfRule type="expression" dxfId="3503" priority="125">
      <formula>AG$9&lt;8/24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502" priority="131">
      <formula>AJ$9&gt;=20/24</formula>
    </cfRule>
    <cfRule type="expression" dxfId="3501" priority="132">
      <formula>AND(AJ$9&gt;=14/24,AJ$9&lt;20/24)</formula>
    </cfRule>
    <cfRule type="expression" dxfId="3500" priority="133">
      <formula>AND(AJ$9&gt;=8/24,AJ$9&lt;14/24)</formula>
    </cfRule>
    <cfRule type="expression" dxfId="3499" priority="134">
      <formula>AJ$9&lt;8/24</formula>
    </cfRule>
  </conditionalFormatting>
  <conditionalFormatting sqref="AL80:AN80 AL86:AN86">
    <cfRule type="expression" dxfId="3498" priority="72">
      <formula>AL$9&gt;=20/24</formula>
    </cfRule>
    <cfRule type="expression" dxfId="3497" priority="73">
      <formula>AND(AL$9&gt;=14/24,AL$9&lt;20/24)</formula>
    </cfRule>
    <cfRule type="expression" dxfId="3496" priority="74">
      <formula>AND(AL$9&gt;=8/24,AL$9&lt;14/24)</formula>
    </cfRule>
    <cfRule type="expression" dxfId="3495" priority="75">
      <formula>AL$9&lt;8/24</formula>
    </cfRule>
  </conditionalFormatting>
  <conditionalFormatting sqref="AN81:AN84">
    <cfRule type="expression" dxfId="3494" priority="68">
      <formula>AN$9&gt;=20/24</formula>
    </cfRule>
    <cfRule type="expression" dxfId="3493" priority="69">
      <formula>AND(AN$9&gt;=14/24,AN$9&lt;20/24)</formula>
    </cfRule>
    <cfRule type="expression" dxfId="3492" priority="70">
      <formula>AND(AN$9&gt;=8/24,AN$9&lt;14/24)</formula>
    </cfRule>
    <cfRule type="expression" dxfId="3491" priority="71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1357-9DE0-471A-B023-68D34BE539E4}">
  <dimension ref="A1:CJ281"/>
  <sheetViews>
    <sheetView workbookViewId="0">
      <pane xSplit="1" ySplit="10" topLeftCell="B47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B59" sqref="AB59:AF5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str">
        <f ca="1">"2080/"&amp;"04/"&amp;INT(MID(CELL("filename",D6),FIND("]",CELL("filename",D6))+1,200))</f>
        <v>2080/04/32</v>
      </c>
      <c r="C4" s="203"/>
      <c r="D4" s="203"/>
      <c r="E4" s="204" t="str">
        <f ca="1">"2079/"&amp;"12/"&amp;INT(MID(CELL("filename",G6),FIND("]",CELL("filename",G6))+1,200))</f>
        <v>2079/12/32</v>
      </c>
      <c r="F4" s="204"/>
      <c r="G4" s="204"/>
      <c r="H4" s="204" t="str">
        <f ca="1">TEXT(E4,"dddd")</f>
        <v>2079/12/32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11.4</v>
      </c>
      <c r="C5" s="30">
        <f t="shared" si="0"/>
        <v>22.4</v>
      </c>
      <c r="D5" s="30">
        <f t="shared" si="0"/>
        <v>11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6.4</v>
      </c>
      <c r="Z5" s="30">
        <f t="shared" si="0"/>
        <v>36</v>
      </c>
      <c r="AA5" s="30">
        <f t="shared" si="0"/>
        <v>40</v>
      </c>
      <c r="AB5" s="30">
        <f t="shared" si="0"/>
        <v>40</v>
      </c>
      <c r="AC5" s="30">
        <f t="shared" si="0"/>
        <v>30</v>
      </c>
      <c r="AD5" s="30">
        <f t="shared" si="0"/>
        <v>8</v>
      </c>
      <c r="AE5" s="30">
        <f t="shared" si="0"/>
        <v>2</v>
      </c>
      <c r="AF5" s="30">
        <f>B84</f>
        <v>3.6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1908MW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Load=1815</v>
      </c>
      <c r="B7" s="35">
        <f t="shared" ref="B7:AF7" si="1">B91</f>
        <v>1972.04</v>
      </c>
      <c r="C7" s="35">
        <f t="shared" si="1"/>
        <v>1869.44</v>
      </c>
      <c r="D7" s="35">
        <f t="shared" si="1"/>
        <v>1850.44</v>
      </c>
      <c r="E7" s="35">
        <f t="shared" si="1"/>
        <v>1870.84</v>
      </c>
      <c r="F7" s="35">
        <f t="shared" si="1"/>
        <v>1860.34</v>
      </c>
      <c r="G7" s="35">
        <f t="shared" si="1"/>
        <v>1877.34</v>
      </c>
      <c r="H7" s="35">
        <f t="shared" si="1"/>
        <v>1866.64</v>
      </c>
      <c r="I7" s="35">
        <f t="shared" si="1"/>
        <v>1865.8400000000001</v>
      </c>
      <c r="J7" s="35">
        <f t="shared" si="1"/>
        <v>1860.14</v>
      </c>
      <c r="K7" s="35">
        <f t="shared" si="1"/>
        <v>1907.14</v>
      </c>
      <c r="L7" s="35">
        <f t="shared" si="1"/>
        <v>1908.04</v>
      </c>
      <c r="M7" s="35">
        <f t="shared" si="1"/>
        <v>1899.84</v>
      </c>
      <c r="N7" s="35">
        <f>N91</f>
        <v>1832.34</v>
      </c>
      <c r="O7" s="35">
        <f t="shared" si="1"/>
        <v>1894.3400000000001</v>
      </c>
      <c r="P7" s="35">
        <f t="shared" si="1"/>
        <v>1845.44</v>
      </c>
      <c r="Q7" s="35">
        <f t="shared" si="1"/>
        <v>1867.3400000000001</v>
      </c>
      <c r="R7" s="35">
        <f t="shared" si="1"/>
        <v>1868.34</v>
      </c>
      <c r="S7" s="35">
        <f t="shared" si="1"/>
        <v>1867.1399999999999</v>
      </c>
      <c r="T7" s="35">
        <f t="shared" si="1"/>
        <v>1815.44</v>
      </c>
      <c r="U7" s="35">
        <f t="shared" si="1"/>
        <v>1821.8400000000001</v>
      </c>
      <c r="V7" s="35">
        <f t="shared" si="1"/>
        <v>1831.94</v>
      </c>
      <c r="W7" s="35">
        <f t="shared" si="1"/>
        <v>1830.8400000000001</v>
      </c>
      <c r="X7" s="35">
        <f t="shared" si="1"/>
        <v>1954.5400000000002</v>
      </c>
      <c r="Y7" s="35">
        <f t="shared" si="1"/>
        <v>1953.1400000000003</v>
      </c>
      <c r="Z7" s="35">
        <f t="shared" si="1"/>
        <v>2061.04</v>
      </c>
      <c r="AA7" s="35">
        <f t="shared" si="1"/>
        <v>2090.64</v>
      </c>
      <c r="AB7" s="35">
        <f t="shared" si="1"/>
        <v>2028.44</v>
      </c>
      <c r="AC7" s="35">
        <f t="shared" si="1"/>
        <v>2054.14</v>
      </c>
      <c r="AD7" s="35">
        <f t="shared" si="1"/>
        <v>2022.1399999999999</v>
      </c>
      <c r="AE7" s="35">
        <f t="shared" si="1"/>
        <v>2000.1399999999999</v>
      </c>
      <c r="AF7" s="35">
        <f t="shared" si="1"/>
        <v>1994.1399999999999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90.6</v>
      </c>
      <c r="C11" s="45">
        <v>61</v>
      </c>
      <c r="D11" s="45">
        <v>61</v>
      </c>
      <c r="E11" s="45">
        <v>61</v>
      </c>
      <c r="F11" s="45">
        <v>61.3</v>
      </c>
      <c r="G11" s="45">
        <v>82.6</v>
      </c>
      <c r="H11" s="45">
        <v>82.5</v>
      </c>
      <c r="I11" s="45">
        <v>82.5</v>
      </c>
      <c r="J11" s="45">
        <v>83.1</v>
      </c>
      <c r="K11" s="45">
        <v>83.1</v>
      </c>
      <c r="L11" s="45">
        <v>84</v>
      </c>
      <c r="M11" s="45">
        <v>84</v>
      </c>
      <c r="N11" s="45">
        <v>90</v>
      </c>
      <c r="O11" s="45">
        <v>90</v>
      </c>
      <c r="P11" s="45">
        <v>60.4</v>
      </c>
      <c r="Q11" s="45">
        <v>60.4</v>
      </c>
      <c r="R11" s="45">
        <v>60.5</v>
      </c>
      <c r="S11" s="45">
        <v>60.5</v>
      </c>
      <c r="T11" s="45">
        <v>30.2</v>
      </c>
      <c r="U11" s="45">
        <v>60.3</v>
      </c>
      <c r="V11" s="45">
        <v>60.3</v>
      </c>
      <c r="W11" s="45">
        <v>60.3</v>
      </c>
      <c r="X11" s="45">
        <v>60.3</v>
      </c>
      <c r="Y11" s="45">
        <v>60.3</v>
      </c>
      <c r="Z11" s="45">
        <v>60.3</v>
      </c>
      <c r="AA11" s="45">
        <v>60.3</v>
      </c>
      <c r="AB11" s="45">
        <v>60.3</v>
      </c>
      <c r="AC11" s="45">
        <v>86</v>
      </c>
      <c r="AD11" s="45">
        <v>90</v>
      </c>
      <c r="AE11" s="45">
        <v>90</v>
      </c>
      <c r="AF11" s="45">
        <v>90</v>
      </c>
      <c r="AG11" s="46">
        <v>86</v>
      </c>
      <c r="AH11" s="47">
        <f t="shared" ref="AH11:AH76" si="2">MAX(B11:AF11)</f>
        <v>90.6</v>
      </c>
      <c r="AI11" s="48">
        <f t="shared" ref="AI11:AI76" si="3">MIN(B11:AF11)</f>
        <v>30.2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8</v>
      </c>
      <c r="C12" s="45">
        <v>8</v>
      </c>
      <c r="D12" s="45">
        <v>8</v>
      </c>
      <c r="E12" s="45">
        <v>8</v>
      </c>
      <c r="F12" s="45">
        <v>8</v>
      </c>
      <c r="G12" s="45">
        <v>8</v>
      </c>
      <c r="H12" s="45">
        <v>8</v>
      </c>
      <c r="I12" s="45">
        <v>8</v>
      </c>
      <c r="J12" s="45">
        <v>8</v>
      </c>
      <c r="K12" s="45">
        <v>8</v>
      </c>
      <c r="L12" s="45">
        <v>8</v>
      </c>
      <c r="M12" s="45">
        <v>8</v>
      </c>
      <c r="N12" s="45">
        <v>12</v>
      </c>
      <c r="O12" s="45">
        <v>9</v>
      </c>
      <c r="P12" s="45">
        <v>9</v>
      </c>
      <c r="Q12" s="45">
        <v>9</v>
      </c>
      <c r="R12" s="45">
        <v>9</v>
      </c>
      <c r="S12" s="45">
        <v>9</v>
      </c>
      <c r="T12" s="45">
        <v>13</v>
      </c>
      <c r="U12" s="45">
        <v>9</v>
      </c>
      <c r="V12" s="45">
        <v>9</v>
      </c>
      <c r="W12" s="45">
        <v>9</v>
      </c>
      <c r="X12" s="45">
        <v>13</v>
      </c>
      <c r="Y12" s="45">
        <v>13</v>
      </c>
      <c r="Z12" s="45">
        <v>13</v>
      </c>
      <c r="AA12" s="45">
        <v>13</v>
      </c>
      <c r="AB12" s="45">
        <v>13</v>
      </c>
      <c r="AC12" s="45">
        <v>13</v>
      </c>
      <c r="AD12" s="45">
        <v>13</v>
      </c>
      <c r="AE12" s="45">
        <v>13</v>
      </c>
      <c r="AF12" s="45">
        <v>13</v>
      </c>
      <c r="AG12" s="49">
        <v>54</v>
      </c>
      <c r="AH12" s="47">
        <f t="shared" si="2"/>
        <v>13</v>
      </c>
      <c r="AI12" s="48">
        <f t="shared" si="3"/>
        <v>8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54.7</v>
      </c>
      <c r="C13" s="45">
        <v>30</v>
      </c>
      <c r="D13" s="45">
        <v>0</v>
      </c>
      <c r="E13" s="45">
        <v>54.8</v>
      </c>
      <c r="F13" s="45">
        <v>54.7</v>
      </c>
      <c r="G13" s="45">
        <v>54.7</v>
      </c>
      <c r="H13" s="45">
        <v>54.7</v>
      </c>
      <c r="I13" s="45">
        <v>54.7</v>
      </c>
      <c r="J13" s="45">
        <v>54.7</v>
      </c>
      <c r="K13" s="45">
        <v>54.7</v>
      </c>
      <c r="L13" s="45">
        <v>54.7</v>
      </c>
      <c r="M13" s="45">
        <v>54.7</v>
      </c>
      <c r="N13" s="45">
        <v>54.7</v>
      </c>
      <c r="O13" s="45">
        <v>54.7</v>
      </c>
      <c r="P13" s="45">
        <v>54.7</v>
      </c>
      <c r="Q13" s="45">
        <v>54.7</v>
      </c>
      <c r="R13" s="45">
        <v>54.8</v>
      </c>
      <c r="S13" s="45">
        <v>54.8</v>
      </c>
      <c r="T13" s="45">
        <v>54.8</v>
      </c>
      <c r="U13" s="45">
        <v>54.8</v>
      </c>
      <c r="V13" s="45">
        <v>54.8</v>
      </c>
      <c r="W13" s="45">
        <v>54.8</v>
      </c>
      <c r="X13" s="45">
        <v>54.8</v>
      </c>
      <c r="Y13" s="45">
        <v>54.8</v>
      </c>
      <c r="Z13" s="45">
        <v>54.8</v>
      </c>
      <c r="AA13" s="45">
        <v>54.8</v>
      </c>
      <c r="AB13" s="45">
        <v>54.8</v>
      </c>
      <c r="AC13" s="45">
        <v>54.8</v>
      </c>
      <c r="AD13" s="45">
        <v>54.8</v>
      </c>
      <c r="AE13" s="45">
        <v>54.8</v>
      </c>
      <c r="AF13" s="45">
        <v>54.8</v>
      </c>
      <c r="AG13" s="46">
        <v>52.4</v>
      </c>
      <c r="AH13" s="47">
        <f t="shared" si="2"/>
        <v>54.8</v>
      </c>
      <c r="AI13" s="48">
        <f t="shared" si="3"/>
        <v>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50.6</v>
      </c>
      <c r="C14" s="58">
        <v>50.6</v>
      </c>
      <c r="D14" s="58">
        <v>50.6</v>
      </c>
      <c r="E14" s="58">
        <v>50.6</v>
      </c>
      <c r="F14" s="58">
        <v>50.6</v>
      </c>
      <c r="G14" s="58">
        <v>50.6</v>
      </c>
      <c r="H14" s="58">
        <v>50.6</v>
      </c>
      <c r="I14" s="58">
        <v>50.6</v>
      </c>
      <c r="J14" s="58">
        <v>50.6</v>
      </c>
      <c r="K14" s="58">
        <v>50.6</v>
      </c>
      <c r="L14" s="58">
        <v>50.6</v>
      </c>
      <c r="M14" s="58">
        <v>50.6</v>
      </c>
      <c r="N14" s="58">
        <v>50.6</v>
      </c>
      <c r="O14" s="58">
        <v>50.6</v>
      </c>
      <c r="P14" s="58">
        <v>50.6</v>
      </c>
      <c r="Q14" s="58">
        <v>50.6</v>
      </c>
      <c r="R14" s="58">
        <v>50.4</v>
      </c>
      <c r="S14" s="58">
        <v>50.4</v>
      </c>
      <c r="T14" s="58">
        <v>50.4</v>
      </c>
      <c r="U14" s="58">
        <v>50.4</v>
      </c>
      <c r="V14" s="58">
        <v>50.4</v>
      </c>
      <c r="W14" s="58">
        <v>50.4</v>
      </c>
      <c r="X14" s="58">
        <v>50.4</v>
      </c>
      <c r="Y14" s="58">
        <v>50.4</v>
      </c>
      <c r="Z14" s="58">
        <v>50.4</v>
      </c>
      <c r="AA14" s="58">
        <v>50.4</v>
      </c>
      <c r="AB14" s="58">
        <v>50.4</v>
      </c>
      <c r="AC14" s="58">
        <v>50.4</v>
      </c>
      <c r="AD14" s="58">
        <v>50.4</v>
      </c>
      <c r="AE14" s="58">
        <v>50.4</v>
      </c>
      <c r="AF14" s="58">
        <v>50.4</v>
      </c>
      <c r="AG14" s="49">
        <v>50</v>
      </c>
      <c r="AH14" s="47">
        <f t="shared" si="2"/>
        <v>50.6</v>
      </c>
      <c r="AI14" s="48">
        <f t="shared" si="3"/>
        <v>50.4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46</v>
      </c>
      <c r="C15" s="45">
        <v>46</v>
      </c>
      <c r="D15" s="45">
        <v>46</v>
      </c>
      <c r="E15" s="45">
        <v>46</v>
      </c>
      <c r="F15" s="45">
        <v>46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45.8</v>
      </c>
      <c r="P15" s="45">
        <v>45.8</v>
      </c>
      <c r="Q15" s="45">
        <v>45.8</v>
      </c>
      <c r="R15" s="45">
        <v>45.8</v>
      </c>
      <c r="S15" s="45">
        <v>45.8</v>
      </c>
      <c r="T15" s="45">
        <v>45.8</v>
      </c>
      <c r="U15" s="45">
        <v>45.8</v>
      </c>
      <c r="V15" s="45">
        <v>45.8</v>
      </c>
      <c r="W15" s="45">
        <v>45.8</v>
      </c>
      <c r="X15" s="45">
        <v>45.8</v>
      </c>
      <c r="Y15" s="45">
        <v>45.8</v>
      </c>
      <c r="Z15" s="45">
        <v>45.8</v>
      </c>
      <c r="AA15" s="45">
        <v>45.8</v>
      </c>
      <c r="AB15" s="45">
        <v>45.8</v>
      </c>
      <c r="AC15" s="45">
        <v>45.8</v>
      </c>
      <c r="AD15" s="45">
        <v>45.8</v>
      </c>
      <c r="AE15" s="45">
        <v>45.8</v>
      </c>
      <c r="AF15" s="45">
        <v>45.8</v>
      </c>
      <c r="AG15" s="49">
        <v>45</v>
      </c>
      <c r="AH15" s="47">
        <f t="shared" si="2"/>
        <v>46</v>
      </c>
      <c r="AI15" s="48">
        <f t="shared" si="3"/>
        <v>45.8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33</v>
      </c>
      <c r="C17" s="45">
        <v>28</v>
      </c>
      <c r="D17" s="45">
        <v>28</v>
      </c>
      <c r="E17" s="45">
        <v>29.5</v>
      </c>
      <c r="F17" s="45">
        <v>29</v>
      </c>
      <c r="G17" s="45">
        <v>29</v>
      </c>
      <c r="H17" s="45">
        <v>29</v>
      </c>
      <c r="I17" s="45">
        <v>29</v>
      </c>
      <c r="J17" s="45">
        <v>29.3</v>
      </c>
      <c r="K17" s="45">
        <v>29.3</v>
      </c>
      <c r="L17" s="45">
        <v>29.3</v>
      </c>
      <c r="M17" s="45">
        <v>29.3</v>
      </c>
      <c r="N17" s="45">
        <v>29.3</v>
      </c>
      <c r="O17" s="45">
        <v>29.5</v>
      </c>
      <c r="P17" s="45">
        <v>29.5</v>
      </c>
      <c r="Q17" s="45">
        <v>29.5</v>
      </c>
      <c r="R17" s="45">
        <v>29.5</v>
      </c>
      <c r="S17" s="45">
        <v>29.5</v>
      </c>
      <c r="T17" s="45">
        <v>29.5</v>
      </c>
      <c r="U17" s="45">
        <v>29.5</v>
      </c>
      <c r="V17" s="45">
        <v>29.5</v>
      </c>
      <c r="W17" s="45">
        <v>29.5</v>
      </c>
      <c r="X17" s="45">
        <v>29.5</v>
      </c>
      <c r="Y17" s="45">
        <v>29.5</v>
      </c>
      <c r="Z17" s="45">
        <v>36.200000000000003</v>
      </c>
      <c r="AA17" s="45">
        <v>36.200000000000003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9">
        <v>42</v>
      </c>
      <c r="AH17" s="47">
        <f t="shared" si="2"/>
        <v>36.200000000000003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9">
        <v>36</v>
      </c>
      <c r="AH19" s="47">
        <f t="shared" si="2"/>
        <v>0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5</v>
      </c>
      <c r="C20" s="45">
        <v>5</v>
      </c>
      <c r="D20" s="45">
        <v>5</v>
      </c>
      <c r="E20" s="45">
        <v>5.7</v>
      </c>
      <c r="F20" s="45">
        <v>5.7</v>
      </c>
      <c r="G20" s="45">
        <v>5.7</v>
      </c>
      <c r="H20" s="45">
        <v>5.7</v>
      </c>
      <c r="I20" s="45">
        <v>5.7</v>
      </c>
      <c r="J20" s="45">
        <v>5.7</v>
      </c>
      <c r="K20" s="45">
        <v>5.7</v>
      </c>
      <c r="L20" s="45">
        <v>5.7</v>
      </c>
      <c r="M20" s="45">
        <v>10</v>
      </c>
      <c r="N20" s="45">
        <v>10</v>
      </c>
      <c r="O20" s="45">
        <v>5.8</v>
      </c>
      <c r="P20" s="45">
        <v>5.8</v>
      </c>
      <c r="Q20" s="45">
        <v>5.8</v>
      </c>
      <c r="R20" s="45">
        <v>5.8</v>
      </c>
      <c r="S20" s="45">
        <v>5.8</v>
      </c>
      <c r="T20" s="45">
        <v>14.8</v>
      </c>
      <c r="U20" s="45">
        <v>5</v>
      </c>
      <c r="V20" s="45">
        <v>5</v>
      </c>
      <c r="W20" s="45">
        <v>5</v>
      </c>
      <c r="X20" s="45">
        <v>15</v>
      </c>
      <c r="Y20" s="45">
        <v>15</v>
      </c>
      <c r="Z20" s="45">
        <v>30</v>
      </c>
      <c r="AA20" s="45">
        <v>30</v>
      </c>
      <c r="AB20" s="45">
        <v>30</v>
      </c>
      <c r="AC20" s="45">
        <v>30</v>
      </c>
      <c r="AD20" s="45">
        <v>30</v>
      </c>
      <c r="AE20" s="45">
        <v>30</v>
      </c>
      <c r="AF20" s="45">
        <v>30</v>
      </c>
      <c r="AG20" s="51">
        <v>30</v>
      </c>
      <c r="AH20" s="47">
        <f t="shared" si="2"/>
        <v>30</v>
      </c>
      <c r="AI20" s="48">
        <f t="shared" si="3"/>
        <v>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24.8</v>
      </c>
      <c r="C21" s="45">
        <v>24.8</v>
      </c>
      <c r="D21" s="45">
        <v>24.8</v>
      </c>
      <c r="E21" s="45">
        <v>24.9</v>
      </c>
      <c r="F21" s="45">
        <v>24.8</v>
      </c>
      <c r="G21" s="45">
        <v>24.8</v>
      </c>
      <c r="H21" s="45">
        <v>24.8</v>
      </c>
      <c r="I21" s="45">
        <v>24.8</v>
      </c>
      <c r="J21" s="45">
        <v>24.8</v>
      </c>
      <c r="K21" s="45">
        <v>24.8</v>
      </c>
      <c r="L21" s="45">
        <v>24.8</v>
      </c>
      <c r="M21" s="45">
        <v>24.8</v>
      </c>
      <c r="N21" s="45">
        <v>24.8</v>
      </c>
      <c r="O21" s="45">
        <v>24.8</v>
      </c>
      <c r="P21" s="45">
        <v>24.8</v>
      </c>
      <c r="Q21" s="45">
        <v>24.8</v>
      </c>
      <c r="R21" s="45">
        <v>24.9</v>
      </c>
      <c r="S21" s="45">
        <v>24.9</v>
      </c>
      <c r="T21" s="45">
        <v>20.8</v>
      </c>
      <c r="U21" s="45">
        <v>20.8</v>
      </c>
      <c r="V21" s="45">
        <v>20.8</v>
      </c>
      <c r="W21" s="45">
        <v>20.8</v>
      </c>
      <c r="X21" s="45">
        <v>20.8</v>
      </c>
      <c r="Y21" s="45">
        <v>20.8</v>
      </c>
      <c r="Z21" s="45">
        <v>33.1</v>
      </c>
      <c r="AA21" s="45">
        <v>33.1</v>
      </c>
      <c r="AB21" s="45">
        <v>33.1</v>
      </c>
      <c r="AC21" s="45">
        <v>33.1</v>
      </c>
      <c r="AD21" s="45">
        <v>33.1</v>
      </c>
      <c r="AE21" s="45">
        <v>33.1</v>
      </c>
      <c r="AF21" s="45">
        <v>33.1</v>
      </c>
      <c r="AG21" s="49">
        <v>24.2</v>
      </c>
      <c r="AH21" s="47">
        <f t="shared" si="2"/>
        <v>33.1</v>
      </c>
      <c r="AI21" s="48">
        <f t="shared" si="3"/>
        <v>20.8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28.2</v>
      </c>
      <c r="C22" s="45">
        <v>28.2</v>
      </c>
      <c r="D22" s="45">
        <v>28.2</v>
      </c>
      <c r="E22" s="45">
        <v>28.2</v>
      </c>
      <c r="F22" s="45">
        <v>28</v>
      </c>
      <c r="G22" s="45">
        <v>28</v>
      </c>
      <c r="H22" s="45">
        <v>28</v>
      </c>
      <c r="I22" s="45">
        <v>28</v>
      </c>
      <c r="J22" s="45">
        <v>28</v>
      </c>
      <c r="K22" s="45">
        <v>28</v>
      </c>
      <c r="L22" s="45">
        <v>28</v>
      </c>
      <c r="M22" s="45">
        <v>28</v>
      </c>
      <c r="N22" s="45">
        <v>28</v>
      </c>
      <c r="O22" s="45">
        <v>28</v>
      </c>
      <c r="P22" s="45">
        <v>28</v>
      </c>
      <c r="Q22" s="45">
        <v>28</v>
      </c>
      <c r="R22" s="45">
        <v>28.1</v>
      </c>
      <c r="S22" s="45">
        <v>28.1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28.3</v>
      </c>
      <c r="AA22" s="45">
        <v>28.3</v>
      </c>
      <c r="AB22" s="45">
        <v>28.3</v>
      </c>
      <c r="AC22" s="45">
        <v>28.3</v>
      </c>
      <c r="AD22" s="45">
        <v>28.3</v>
      </c>
      <c r="AE22" s="45">
        <v>28.3</v>
      </c>
      <c r="AF22" s="45">
        <v>28.3</v>
      </c>
      <c r="AG22" s="49">
        <v>28</v>
      </c>
      <c r="AH22" s="47">
        <f t="shared" si="2"/>
        <v>28.3</v>
      </c>
      <c r="AI22" s="48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3</v>
      </c>
      <c r="C23" s="45">
        <v>3</v>
      </c>
      <c r="D23" s="45">
        <v>3</v>
      </c>
      <c r="E23" s="45">
        <v>3</v>
      </c>
      <c r="F23" s="45">
        <v>3</v>
      </c>
      <c r="G23" s="45">
        <v>3</v>
      </c>
      <c r="H23" s="45">
        <v>3</v>
      </c>
      <c r="I23" s="45">
        <v>3</v>
      </c>
      <c r="J23" s="45">
        <v>3</v>
      </c>
      <c r="K23" s="45">
        <v>3</v>
      </c>
      <c r="L23" s="45">
        <v>3</v>
      </c>
      <c r="M23" s="45">
        <v>3</v>
      </c>
      <c r="N23" s="45">
        <v>3</v>
      </c>
      <c r="O23" s="45">
        <v>4.5</v>
      </c>
      <c r="P23" s="45">
        <v>4.5</v>
      </c>
      <c r="Q23" s="45">
        <v>4.5</v>
      </c>
      <c r="R23" s="45">
        <v>4.5</v>
      </c>
      <c r="S23" s="45">
        <v>4.5</v>
      </c>
      <c r="T23" s="45">
        <v>4.5</v>
      </c>
      <c r="U23" s="45">
        <v>4.5</v>
      </c>
      <c r="V23" s="45">
        <v>4.5</v>
      </c>
      <c r="W23" s="45">
        <v>4.5</v>
      </c>
      <c r="X23" s="45">
        <v>13.5</v>
      </c>
      <c r="Y23" s="45">
        <v>13.5</v>
      </c>
      <c r="Z23" s="45">
        <v>27</v>
      </c>
      <c r="AA23" s="45">
        <v>27</v>
      </c>
      <c r="AB23" s="45">
        <v>27</v>
      </c>
      <c r="AC23" s="45">
        <v>27</v>
      </c>
      <c r="AD23" s="45">
        <v>13</v>
      </c>
      <c r="AE23" s="45">
        <v>13</v>
      </c>
      <c r="AF23" s="45">
        <v>13</v>
      </c>
      <c r="AG23" s="51">
        <v>30</v>
      </c>
      <c r="AH23" s="47">
        <f t="shared" si="2"/>
        <v>27</v>
      </c>
      <c r="AI23" s="48">
        <f t="shared" si="3"/>
        <v>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24.2</v>
      </c>
      <c r="C24" s="45">
        <v>24.2</v>
      </c>
      <c r="D24" s="45">
        <v>24.2</v>
      </c>
      <c r="E24" s="45">
        <v>24.2</v>
      </c>
      <c r="F24" s="45">
        <v>24.2</v>
      </c>
      <c r="G24" s="45">
        <v>24.2</v>
      </c>
      <c r="H24" s="45">
        <v>24.2</v>
      </c>
      <c r="I24" s="45">
        <v>24.2</v>
      </c>
      <c r="J24" s="45">
        <v>24.2</v>
      </c>
      <c r="K24" s="45">
        <v>24.2</v>
      </c>
      <c r="L24" s="45">
        <v>24.2</v>
      </c>
      <c r="M24" s="45">
        <v>24.2</v>
      </c>
      <c r="N24" s="45">
        <v>24.2</v>
      </c>
      <c r="O24" s="45">
        <v>25.8</v>
      </c>
      <c r="P24" s="45">
        <v>25.8</v>
      </c>
      <c r="Q24" s="45">
        <v>25.8</v>
      </c>
      <c r="R24" s="45">
        <v>26.1</v>
      </c>
      <c r="S24" s="45">
        <v>26.1</v>
      </c>
      <c r="T24" s="45">
        <v>26.1</v>
      </c>
      <c r="U24" s="45">
        <v>26.1</v>
      </c>
      <c r="V24" s="45">
        <v>26.1</v>
      </c>
      <c r="W24" s="45">
        <v>26.1</v>
      </c>
      <c r="X24" s="45">
        <v>26.1</v>
      </c>
      <c r="Y24" s="45">
        <v>26.1</v>
      </c>
      <c r="Z24" s="45">
        <v>26.1</v>
      </c>
      <c r="AA24" s="45">
        <v>26.1</v>
      </c>
      <c r="AB24" s="45">
        <v>26.1</v>
      </c>
      <c r="AC24" s="45">
        <v>26.1</v>
      </c>
      <c r="AD24" s="45">
        <v>26.1</v>
      </c>
      <c r="AE24" s="45">
        <v>26.1</v>
      </c>
      <c r="AF24" s="45">
        <v>26.1</v>
      </c>
      <c r="AG24" s="49">
        <v>25</v>
      </c>
      <c r="AH24" s="47">
        <f t="shared" si="2"/>
        <v>26.1</v>
      </c>
      <c r="AI24" s="48">
        <f t="shared" si="3"/>
        <v>24.2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22</v>
      </c>
      <c r="N26" s="45">
        <v>22</v>
      </c>
      <c r="O26" s="45">
        <v>22</v>
      </c>
      <c r="P26" s="45">
        <v>22</v>
      </c>
      <c r="Q26" s="45">
        <v>22</v>
      </c>
      <c r="R26" s="45">
        <v>22</v>
      </c>
      <c r="S26" s="45">
        <v>22</v>
      </c>
      <c r="T26" s="45">
        <v>22</v>
      </c>
      <c r="U26" s="45">
        <v>22</v>
      </c>
      <c r="V26" s="45">
        <v>22</v>
      </c>
      <c r="W26" s="45">
        <v>22</v>
      </c>
      <c r="X26" s="45">
        <v>22</v>
      </c>
      <c r="Y26" s="45">
        <v>22</v>
      </c>
      <c r="Z26" s="45">
        <v>22</v>
      </c>
      <c r="AA26" s="45">
        <v>22</v>
      </c>
      <c r="AB26" s="45">
        <v>22</v>
      </c>
      <c r="AC26" s="45">
        <v>22</v>
      </c>
      <c r="AD26" s="45">
        <v>22</v>
      </c>
      <c r="AE26" s="45">
        <v>22</v>
      </c>
      <c r="AF26" s="45">
        <v>22</v>
      </c>
      <c r="AG26" s="49">
        <v>25</v>
      </c>
      <c r="AH26" s="47">
        <f t="shared" si="2"/>
        <v>25</v>
      </c>
      <c r="AI26" s="48">
        <f t="shared" si="3"/>
        <v>22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3</v>
      </c>
      <c r="C27" s="45">
        <v>3</v>
      </c>
      <c r="D27" s="45">
        <v>3</v>
      </c>
      <c r="E27" s="45">
        <v>3</v>
      </c>
      <c r="F27" s="45">
        <v>3</v>
      </c>
      <c r="G27" s="45">
        <v>3</v>
      </c>
      <c r="H27" s="45">
        <v>3</v>
      </c>
      <c r="I27" s="45">
        <v>3</v>
      </c>
      <c r="J27" s="45">
        <v>3</v>
      </c>
      <c r="K27" s="45">
        <v>3</v>
      </c>
      <c r="L27" s="45">
        <v>3</v>
      </c>
      <c r="M27" s="45">
        <v>3</v>
      </c>
      <c r="N27" s="45">
        <v>3</v>
      </c>
      <c r="O27" s="45">
        <v>4</v>
      </c>
      <c r="P27" s="45">
        <v>4</v>
      </c>
      <c r="Q27" s="45">
        <v>4</v>
      </c>
      <c r="R27" s="45">
        <v>4</v>
      </c>
      <c r="S27" s="45">
        <v>4</v>
      </c>
      <c r="T27" s="45">
        <v>12.5</v>
      </c>
      <c r="U27" s="45">
        <v>4.5</v>
      </c>
      <c r="V27" s="45">
        <v>4.5</v>
      </c>
      <c r="W27" s="45">
        <v>4.5</v>
      </c>
      <c r="X27" s="45">
        <v>12.5</v>
      </c>
      <c r="Y27" s="45">
        <v>12.5</v>
      </c>
      <c r="Z27" s="45">
        <v>25</v>
      </c>
      <c r="AA27" s="45">
        <v>25</v>
      </c>
      <c r="AB27" s="45">
        <v>25</v>
      </c>
      <c r="AC27" s="45">
        <v>25</v>
      </c>
      <c r="AD27" s="45">
        <v>13</v>
      </c>
      <c r="AE27" s="45">
        <v>13</v>
      </c>
      <c r="AF27" s="45">
        <v>13</v>
      </c>
      <c r="AG27" s="49">
        <v>25</v>
      </c>
      <c r="AH27" s="47">
        <f t="shared" si="2"/>
        <v>25</v>
      </c>
      <c r="AI27" s="48">
        <f t="shared" si="3"/>
        <v>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</v>
      </c>
      <c r="C28" s="45">
        <v>24</v>
      </c>
      <c r="D28" s="45">
        <v>24</v>
      </c>
      <c r="E28" s="45">
        <v>24</v>
      </c>
      <c r="F28" s="45">
        <v>24</v>
      </c>
      <c r="G28" s="45">
        <v>24</v>
      </c>
      <c r="H28" s="45">
        <v>24</v>
      </c>
      <c r="I28" s="45">
        <v>24</v>
      </c>
      <c r="J28" s="45">
        <v>24</v>
      </c>
      <c r="K28" s="45">
        <v>24</v>
      </c>
      <c r="L28" s="45">
        <v>24</v>
      </c>
      <c r="M28" s="45">
        <v>24</v>
      </c>
      <c r="N28" s="45">
        <v>24</v>
      </c>
      <c r="O28" s="45">
        <v>24</v>
      </c>
      <c r="P28" s="45">
        <v>24</v>
      </c>
      <c r="Q28" s="45">
        <v>24</v>
      </c>
      <c r="R28" s="45">
        <v>24.9</v>
      </c>
      <c r="S28" s="45">
        <v>24.9</v>
      </c>
      <c r="T28" s="45">
        <v>24.9</v>
      </c>
      <c r="U28" s="45">
        <v>24.9</v>
      </c>
      <c r="V28" s="45">
        <v>24.9</v>
      </c>
      <c r="W28" s="45">
        <v>24.9</v>
      </c>
      <c r="X28" s="45">
        <v>24.9</v>
      </c>
      <c r="Y28" s="45">
        <v>24.9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24.9</v>
      </c>
      <c r="AF28" s="45">
        <v>24.9</v>
      </c>
      <c r="AG28" s="49">
        <v>23.5</v>
      </c>
      <c r="AH28" s="47">
        <f t="shared" si="2"/>
        <v>24.9</v>
      </c>
      <c r="AI28" s="48">
        <f t="shared" si="3"/>
        <v>24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9">
        <v>22.2</v>
      </c>
      <c r="AH29" s="47">
        <f t="shared" si="2"/>
        <v>0</v>
      </c>
      <c r="AI29" s="48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</v>
      </c>
      <c r="C30" s="45">
        <v>7</v>
      </c>
      <c r="D30" s="45">
        <v>7</v>
      </c>
      <c r="E30" s="45">
        <v>7</v>
      </c>
      <c r="F30" s="45">
        <v>7</v>
      </c>
      <c r="G30" s="45">
        <v>7</v>
      </c>
      <c r="H30" s="45">
        <v>7</v>
      </c>
      <c r="I30" s="45">
        <v>7</v>
      </c>
      <c r="J30" s="45">
        <v>7</v>
      </c>
      <c r="K30" s="45">
        <v>7</v>
      </c>
      <c r="L30" s="45">
        <v>7</v>
      </c>
      <c r="M30" s="45">
        <v>7</v>
      </c>
      <c r="N30" s="45">
        <v>7</v>
      </c>
      <c r="O30" s="45">
        <v>7</v>
      </c>
      <c r="P30" s="45">
        <v>7</v>
      </c>
      <c r="Q30" s="45">
        <v>7</v>
      </c>
      <c r="R30" s="45">
        <v>7</v>
      </c>
      <c r="S30" s="45">
        <v>7</v>
      </c>
      <c r="T30" s="45">
        <v>7</v>
      </c>
      <c r="U30" s="45">
        <v>7</v>
      </c>
      <c r="V30" s="45">
        <v>7</v>
      </c>
      <c r="W30" s="45">
        <v>7</v>
      </c>
      <c r="X30" s="45">
        <v>7</v>
      </c>
      <c r="Y30" s="45">
        <v>7</v>
      </c>
      <c r="Z30" s="45">
        <v>7</v>
      </c>
      <c r="AA30" s="45">
        <v>7</v>
      </c>
      <c r="AB30" s="45">
        <v>7</v>
      </c>
      <c r="AC30" s="45">
        <v>7</v>
      </c>
      <c r="AD30" s="45">
        <v>7</v>
      </c>
      <c r="AE30" s="45">
        <v>7</v>
      </c>
      <c r="AF30" s="45">
        <v>7</v>
      </c>
      <c r="AG30" s="49">
        <v>22.1</v>
      </c>
      <c r="AH30" s="47">
        <f t="shared" si="2"/>
        <v>7</v>
      </c>
      <c r="AI30" s="48">
        <f t="shared" si="3"/>
        <v>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19</v>
      </c>
      <c r="T31" s="45">
        <v>19</v>
      </c>
      <c r="U31" s="45">
        <v>19</v>
      </c>
      <c r="V31" s="45">
        <v>19</v>
      </c>
      <c r="W31" s="45">
        <v>19</v>
      </c>
      <c r="X31" s="45">
        <v>19</v>
      </c>
      <c r="Y31" s="45">
        <v>19</v>
      </c>
      <c r="Z31" s="45">
        <v>19</v>
      </c>
      <c r="AA31" s="45">
        <v>19</v>
      </c>
      <c r="AB31" s="45">
        <v>19</v>
      </c>
      <c r="AC31" s="45">
        <v>19</v>
      </c>
      <c r="AD31" s="45">
        <v>19</v>
      </c>
      <c r="AE31" s="45">
        <v>19</v>
      </c>
      <c r="AF31" s="45">
        <v>19</v>
      </c>
      <c r="AG31" s="49">
        <v>22</v>
      </c>
      <c r="AH31" s="47">
        <f t="shared" si="2"/>
        <v>22</v>
      </c>
      <c r="AI31" s="48">
        <f t="shared" si="3"/>
        <v>19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19</v>
      </c>
      <c r="U32" s="45">
        <v>19</v>
      </c>
      <c r="V32" s="45">
        <v>19</v>
      </c>
      <c r="W32" s="45">
        <v>19</v>
      </c>
      <c r="X32" s="45">
        <v>19</v>
      </c>
      <c r="Y32" s="45">
        <v>19</v>
      </c>
      <c r="Z32" s="45">
        <v>19</v>
      </c>
      <c r="AA32" s="45">
        <v>19</v>
      </c>
      <c r="AB32" s="45">
        <v>19</v>
      </c>
      <c r="AC32" s="45">
        <v>19</v>
      </c>
      <c r="AD32" s="45">
        <v>19</v>
      </c>
      <c r="AE32" s="45">
        <v>19</v>
      </c>
      <c r="AF32" s="45">
        <v>19</v>
      </c>
      <c r="AG32" s="49">
        <v>22</v>
      </c>
      <c r="AH32" s="47">
        <f t="shared" si="2"/>
        <v>22</v>
      </c>
      <c r="AI32" s="48">
        <f t="shared" si="3"/>
        <v>19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4</v>
      </c>
      <c r="C33" s="45">
        <v>4</v>
      </c>
      <c r="D33" s="45">
        <v>4</v>
      </c>
      <c r="E33" s="45">
        <v>4</v>
      </c>
      <c r="F33" s="45">
        <v>4</v>
      </c>
      <c r="G33" s="45">
        <v>4</v>
      </c>
      <c r="H33" s="45">
        <v>4</v>
      </c>
      <c r="I33" s="45">
        <v>4</v>
      </c>
      <c r="J33" s="45">
        <v>4</v>
      </c>
      <c r="K33" s="45">
        <v>4</v>
      </c>
      <c r="L33" s="45">
        <v>4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7</v>
      </c>
      <c r="U33" s="45">
        <v>7</v>
      </c>
      <c r="V33" s="45">
        <v>7</v>
      </c>
      <c r="W33" s="45">
        <v>7</v>
      </c>
      <c r="X33" s="45">
        <v>5</v>
      </c>
      <c r="Y33" s="45">
        <v>5</v>
      </c>
      <c r="Z33" s="45">
        <v>8</v>
      </c>
      <c r="AA33" s="45">
        <v>8</v>
      </c>
      <c r="AB33" s="45">
        <v>8</v>
      </c>
      <c r="AC33" s="45">
        <v>8</v>
      </c>
      <c r="AD33" s="45">
        <v>10</v>
      </c>
      <c r="AE33" s="45">
        <v>10</v>
      </c>
      <c r="AF33" s="45">
        <v>10</v>
      </c>
      <c r="AG33" s="49">
        <v>20</v>
      </c>
      <c r="AH33" s="47">
        <f t="shared" si="2"/>
        <v>10</v>
      </c>
      <c r="AI33" s="48">
        <f t="shared" si="3"/>
        <v>4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5</v>
      </c>
      <c r="C34" s="45">
        <v>5</v>
      </c>
      <c r="D34" s="45">
        <v>5</v>
      </c>
      <c r="E34" s="45">
        <v>5</v>
      </c>
      <c r="F34" s="45">
        <v>5</v>
      </c>
      <c r="G34" s="45">
        <v>5</v>
      </c>
      <c r="H34" s="45">
        <v>5</v>
      </c>
      <c r="I34" s="45">
        <v>5</v>
      </c>
      <c r="J34" s="45">
        <v>5</v>
      </c>
      <c r="K34" s="45">
        <v>5</v>
      </c>
      <c r="L34" s="45">
        <v>5</v>
      </c>
      <c r="M34" s="45">
        <v>5</v>
      </c>
      <c r="N34" s="45">
        <v>5</v>
      </c>
      <c r="O34" s="45">
        <v>4</v>
      </c>
      <c r="P34" s="45">
        <v>4</v>
      </c>
      <c r="Q34" s="45">
        <v>4</v>
      </c>
      <c r="R34" s="45">
        <v>4</v>
      </c>
      <c r="S34" s="45">
        <v>4</v>
      </c>
      <c r="T34" s="45">
        <v>4</v>
      </c>
      <c r="U34" s="45">
        <v>4</v>
      </c>
      <c r="V34" s="45">
        <v>4</v>
      </c>
      <c r="W34" s="45">
        <v>4</v>
      </c>
      <c r="X34" s="45">
        <v>3.5</v>
      </c>
      <c r="Y34" s="45">
        <v>3.5</v>
      </c>
      <c r="Z34" s="45">
        <v>5</v>
      </c>
      <c r="AA34" s="45">
        <v>5</v>
      </c>
      <c r="AB34" s="45">
        <v>5</v>
      </c>
      <c r="AC34" s="45">
        <v>5</v>
      </c>
      <c r="AD34" s="45">
        <v>9</v>
      </c>
      <c r="AE34" s="45">
        <v>9</v>
      </c>
      <c r="AF34" s="45">
        <v>9</v>
      </c>
      <c r="AG34" s="49">
        <v>18</v>
      </c>
      <c r="AH34" s="47">
        <f t="shared" si="2"/>
        <v>9</v>
      </c>
      <c r="AI34" s="48">
        <f t="shared" si="3"/>
        <v>3.5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>
        <v>6.5</v>
      </c>
      <c r="O37" s="45">
        <v>6.5</v>
      </c>
      <c r="P37" s="45">
        <v>6.5</v>
      </c>
      <c r="Q37" s="45">
        <v>6.5</v>
      </c>
      <c r="R37" s="45">
        <v>6.5</v>
      </c>
      <c r="S37" s="45">
        <v>6.5</v>
      </c>
      <c r="T37" s="45">
        <v>6.5</v>
      </c>
      <c r="U37" s="45">
        <v>6.5</v>
      </c>
      <c r="V37" s="45">
        <v>6.5</v>
      </c>
      <c r="W37" s="45">
        <v>6.5</v>
      </c>
      <c r="X37" s="45">
        <v>6.5</v>
      </c>
      <c r="Y37" s="45">
        <v>6.5</v>
      </c>
      <c r="Z37" s="45">
        <v>6.5</v>
      </c>
      <c r="AA37" s="45">
        <v>6.5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3</v>
      </c>
      <c r="C39" s="45">
        <v>3</v>
      </c>
      <c r="D39" s="45">
        <v>3</v>
      </c>
      <c r="E39" s="45">
        <v>3</v>
      </c>
      <c r="F39" s="45">
        <v>3</v>
      </c>
      <c r="G39" s="45">
        <v>3</v>
      </c>
      <c r="H39" s="45">
        <v>3</v>
      </c>
      <c r="I39" s="45">
        <v>3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3</v>
      </c>
      <c r="P39" s="45">
        <v>3</v>
      </c>
      <c r="Q39" s="45">
        <v>3</v>
      </c>
      <c r="R39" s="45">
        <v>3</v>
      </c>
      <c r="S39" s="45">
        <v>3</v>
      </c>
      <c r="T39" s="45">
        <v>6</v>
      </c>
      <c r="U39" s="45">
        <v>2</v>
      </c>
      <c r="V39" s="45">
        <v>2</v>
      </c>
      <c r="W39" s="45">
        <v>2</v>
      </c>
      <c r="X39" s="45">
        <v>6</v>
      </c>
      <c r="Y39" s="45">
        <v>6</v>
      </c>
      <c r="Z39" s="45">
        <v>12</v>
      </c>
      <c r="AA39" s="45">
        <v>12</v>
      </c>
      <c r="AB39" s="45">
        <v>12</v>
      </c>
      <c r="AC39" s="45">
        <v>12</v>
      </c>
      <c r="AD39" s="45">
        <v>6</v>
      </c>
      <c r="AE39" s="45">
        <v>6</v>
      </c>
      <c r="AF39" s="45">
        <v>6</v>
      </c>
      <c r="AG39" s="49">
        <v>12</v>
      </c>
      <c r="AH39" s="47">
        <f t="shared" si="2"/>
        <v>12</v>
      </c>
      <c r="AI39" s="48">
        <f t="shared" si="3"/>
        <v>2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5.5</v>
      </c>
      <c r="C40" s="45">
        <v>5.5</v>
      </c>
      <c r="D40" s="45">
        <v>5.5</v>
      </c>
      <c r="E40" s="45">
        <v>5.5</v>
      </c>
      <c r="F40" s="45">
        <v>5.5</v>
      </c>
      <c r="G40" s="45">
        <v>5.5</v>
      </c>
      <c r="H40" s="45">
        <v>5.5</v>
      </c>
      <c r="I40" s="45">
        <v>5.5</v>
      </c>
      <c r="J40" s="45">
        <v>5.5</v>
      </c>
      <c r="K40" s="45">
        <v>5.5</v>
      </c>
      <c r="L40" s="45">
        <v>5.5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4.0999999999999996</v>
      </c>
      <c r="V40" s="45">
        <v>4.0999999999999996</v>
      </c>
      <c r="W40" s="45">
        <v>4.0999999999999996</v>
      </c>
      <c r="X40" s="45">
        <v>4.0999999999999996</v>
      </c>
      <c r="Y40" s="45">
        <v>4.0999999999999996</v>
      </c>
      <c r="Z40" s="45">
        <v>4.0999999999999996</v>
      </c>
      <c r="AA40" s="45">
        <v>4.0999999999999996</v>
      </c>
      <c r="AB40" s="45">
        <v>4.0999999999999996</v>
      </c>
      <c r="AC40" s="45">
        <v>4.0999999999999996</v>
      </c>
      <c r="AD40" s="45">
        <v>4.0999999999999996</v>
      </c>
      <c r="AE40" s="45">
        <v>4.0999999999999996</v>
      </c>
      <c r="AF40" s="45">
        <v>4.0999999999999996</v>
      </c>
      <c r="AG40" s="49">
        <v>12</v>
      </c>
      <c r="AH40" s="47">
        <f t="shared" si="2"/>
        <v>5.5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9">
        <v>12</v>
      </c>
      <c r="AH41" s="47">
        <f t="shared" si="2"/>
        <v>0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0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52">
        <v>22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12</v>
      </c>
      <c r="C43" s="45">
        <v>12</v>
      </c>
      <c r="D43" s="45">
        <v>12</v>
      </c>
      <c r="E43" s="45">
        <v>12</v>
      </c>
      <c r="F43" s="45">
        <v>12</v>
      </c>
      <c r="G43" s="45">
        <v>12</v>
      </c>
      <c r="H43" s="45">
        <v>12</v>
      </c>
      <c r="I43" s="45">
        <v>12</v>
      </c>
      <c r="J43" s="45">
        <v>12</v>
      </c>
      <c r="K43" s="45">
        <v>12</v>
      </c>
      <c r="L43" s="45">
        <v>12</v>
      </c>
      <c r="M43" s="45">
        <v>12</v>
      </c>
      <c r="N43" s="45">
        <v>12</v>
      </c>
      <c r="O43" s="45">
        <v>12</v>
      </c>
      <c r="P43" s="45">
        <v>12</v>
      </c>
      <c r="Q43" s="45">
        <v>12</v>
      </c>
      <c r="R43" s="45">
        <v>12</v>
      </c>
      <c r="S43" s="45">
        <v>12</v>
      </c>
      <c r="T43" s="45">
        <v>12</v>
      </c>
      <c r="U43" s="45">
        <v>12</v>
      </c>
      <c r="V43" s="45">
        <v>12</v>
      </c>
      <c r="W43" s="45">
        <v>12</v>
      </c>
      <c r="X43" s="45">
        <v>12</v>
      </c>
      <c r="Y43" s="45">
        <v>12</v>
      </c>
      <c r="Z43" s="45">
        <v>12</v>
      </c>
      <c r="AA43" s="45">
        <v>12</v>
      </c>
      <c r="AB43" s="45">
        <v>12</v>
      </c>
      <c r="AC43" s="45">
        <v>12</v>
      </c>
      <c r="AD43" s="45">
        <v>12</v>
      </c>
      <c r="AE43" s="45">
        <v>12</v>
      </c>
      <c r="AF43" s="45">
        <v>12</v>
      </c>
      <c r="AG43" s="51">
        <v>11.88</v>
      </c>
      <c r="AH43" s="47">
        <f t="shared" si="2"/>
        <v>12</v>
      </c>
      <c r="AI43" s="48">
        <f t="shared" si="3"/>
        <v>12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</v>
      </c>
      <c r="C44" s="45">
        <v>10</v>
      </c>
      <c r="D44" s="45">
        <v>10</v>
      </c>
      <c r="E44" s="45">
        <v>10</v>
      </c>
      <c r="F44" s="45">
        <v>10</v>
      </c>
      <c r="G44" s="45">
        <v>10</v>
      </c>
      <c r="H44" s="45">
        <v>10</v>
      </c>
      <c r="I44" s="45">
        <v>10</v>
      </c>
      <c r="J44" s="45">
        <v>10</v>
      </c>
      <c r="K44" s="45">
        <v>10</v>
      </c>
      <c r="L44" s="45">
        <v>10</v>
      </c>
      <c r="M44" s="45">
        <v>10</v>
      </c>
      <c r="N44" s="45">
        <v>10</v>
      </c>
      <c r="O44" s="45">
        <v>10</v>
      </c>
      <c r="P44" s="45">
        <v>10</v>
      </c>
      <c r="Q44" s="45">
        <v>10</v>
      </c>
      <c r="R44" s="45">
        <v>10</v>
      </c>
      <c r="S44" s="45">
        <v>10</v>
      </c>
      <c r="T44" s="45">
        <v>10</v>
      </c>
      <c r="U44" s="45">
        <v>10</v>
      </c>
      <c r="V44" s="45">
        <v>10</v>
      </c>
      <c r="W44" s="45">
        <v>10</v>
      </c>
      <c r="X44" s="45">
        <v>10</v>
      </c>
      <c r="Y44" s="45">
        <v>10</v>
      </c>
      <c r="Z44" s="45">
        <v>10</v>
      </c>
      <c r="AA44" s="45">
        <v>10</v>
      </c>
      <c r="AB44" s="45">
        <v>10</v>
      </c>
      <c r="AC44" s="45">
        <v>10</v>
      </c>
      <c r="AD44" s="45">
        <v>10</v>
      </c>
      <c r="AE44" s="45">
        <v>10</v>
      </c>
      <c r="AF44" s="45">
        <v>10</v>
      </c>
      <c r="AG44" s="54">
        <v>11</v>
      </c>
      <c r="AH44" s="47">
        <f t="shared" si="2"/>
        <v>10</v>
      </c>
      <c r="AI44" s="48">
        <f t="shared" si="3"/>
        <v>10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10</v>
      </c>
      <c r="C45" s="45">
        <v>8</v>
      </c>
      <c r="D45" s="45">
        <v>8</v>
      </c>
      <c r="E45" s="45">
        <v>8</v>
      </c>
      <c r="F45" s="45">
        <v>8</v>
      </c>
      <c r="G45" s="45">
        <v>8</v>
      </c>
      <c r="H45" s="45">
        <v>8</v>
      </c>
      <c r="I45" s="45">
        <v>8</v>
      </c>
      <c r="J45" s="45">
        <v>8</v>
      </c>
      <c r="K45" s="45">
        <v>8</v>
      </c>
      <c r="L45" s="45">
        <v>8</v>
      </c>
      <c r="M45" s="45">
        <v>8</v>
      </c>
      <c r="N45" s="45">
        <v>8</v>
      </c>
      <c r="O45" s="45">
        <v>8</v>
      </c>
      <c r="P45" s="45">
        <v>8</v>
      </c>
      <c r="Q45" s="45">
        <v>8</v>
      </c>
      <c r="R45" s="45">
        <v>8</v>
      </c>
      <c r="S45" s="45">
        <v>8</v>
      </c>
      <c r="T45" s="45">
        <v>8</v>
      </c>
      <c r="U45" s="45">
        <v>8</v>
      </c>
      <c r="V45" s="45">
        <v>8</v>
      </c>
      <c r="W45" s="45">
        <v>8</v>
      </c>
      <c r="X45" s="45">
        <v>8</v>
      </c>
      <c r="Y45" s="45">
        <v>8</v>
      </c>
      <c r="Z45" s="45">
        <v>8</v>
      </c>
      <c r="AA45" s="45">
        <v>8</v>
      </c>
      <c r="AB45" s="45">
        <v>8</v>
      </c>
      <c r="AC45" s="45">
        <v>8</v>
      </c>
      <c r="AD45" s="45">
        <v>8</v>
      </c>
      <c r="AE45" s="45">
        <v>8</v>
      </c>
      <c r="AF45" s="45">
        <v>8</v>
      </c>
      <c r="AG45" s="54">
        <v>10</v>
      </c>
      <c r="AH45" s="47">
        <f t="shared" si="2"/>
        <v>10</v>
      </c>
      <c r="AI45" s="48">
        <f t="shared" si="3"/>
        <v>8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9</v>
      </c>
      <c r="C46" s="45">
        <v>9</v>
      </c>
      <c r="D46" s="45">
        <v>9</v>
      </c>
      <c r="E46" s="45">
        <v>9</v>
      </c>
      <c r="F46" s="45">
        <v>9</v>
      </c>
      <c r="G46" s="45">
        <v>9</v>
      </c>
      <c r="H46" s="45">
        <v>9</v>
      </c>
      <c r="I46" s="45">
        <v>9</v>
      </c>
      <c r="J46" s="45">
        <v>9</v>
      </c>
      <c r="K46" s="45">
        <v>9</v>
      </c>
      <c r="L46" s="45">
        <v>9</v>
      </c>
      <c r="M46" s="45">
        <v>9</v>
      </c>
      <c r="N46" s="45">
        <v>9</v>
      </c>
      <c r="O46" s="45">
        <v>9</v>
      </c>
      <c r="P46" s="45">
        <v>9</v>
      </c>
      <c r="Q46" s="45">
        <v>9</v>
      </c>
      <c r="R46" s="45">
        <v>9</v>
      </c>
      <c r="S46" s="45">
        <v>9</v>
      </c>
      <c r="T46" s="45">
        <v>9</v>
      </c>
      <c r="U46" s="45">
        <v>9</v>
      </c>
      <c r="V46" s="45">
        <v>9</v>
      </c>
      <c r="W46" s="45">
        <v>9</v>
      </c>
      <c r="X46" s="45">
        <v>9</v>
      </c>
      <c r="Y46" s="45">
        <v>9</v>
      </c>
      <c r="Z46" s="45">
        <v>9</v>
      </c>
      <c r="AA46" s="45">
        <v>9</v>
      </c>
      <c r="AB46" s="45">
        <v>9</v>
      </c>
      <c r="AC46" s="45">
        <v>9</v>
      </c>
      <c r="AD46" s="45">
        <v>9</v>
      </c>
      <c r="AE46" s="45">
        <v>9</v>
      </c>
      <c r="AF46" s="45">
        <v>9</v>
      </c>
      <c r="AG46" s="54">
        <v>10</v>
      </c>
      <c r="AH46" s="47">
        <f t="shared" si="2"/>
        <v>9</v>
      </c>
      <c r="AI46" s="48">
        <f t="shared" si="3"/>
        <v>9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400</v>
      </c>
      <c r="C48" s="56">
        <v>400</v>
      </c>
      <c r="D48" s="56">
        <v>400</v>
      </c>
      <c r="E48" s="56">
        <v>400</v>
      </c>
      <c r="F48" s="56">
        <v>400</v>
      </c>
      <c r="G48" s="56">
        <v>400</v>
      </c>
      <c r="H48" s="56">
        <v>400</v>
      </c>
      <c r="I48" s="56">
        <v>400</v>
      </c>
      <c r="J48" s="56">
        <v>400</v>
      </c>
      <c r="K48" s="56">
        <v>400</v>
      </c>
      <c r="L48" s="56">
        <v>400</v>
      </c>
      <c r="M48" s="56">
        <v>400</v>
      </c>
      <c r="N48" s="56">
        <v>400</v>
      </c>
      <c r="O48" s="56">
        <v>400</v>
      </c>
      <c r="P48" s="56">
        <v>400</v>
      </c>
      <c r="Q48" s="56">
        <v>400</v>
      </c>
      <c r="R48" s="56">
        <v>400</v>
      </c>
      <c r="S48" s="56">
        <v>400</v>
      </c>
      <c r="T48" s="56">
        <v>400</v>
      </c>
      <c r="U48" s="56">
        <v>400</v>
      </c>
      <c r="V48" s="56">
        <v>400</v>
      </c>
      <c r="W48" s="56">
        <v>400</v>
      </c>
      <c r="X48" s="56">
        <v>400</v>
      </c>
      <c r="Y48" s="56">
        <v>400</v>
      </c>
      <c r="Z48" s="56">
        <v>400</v>
      </c>
      <c r="AA48" s="56">
        <v>400</v>
      </c>
      <c r="AB48" s="56">
        <v>400</v>
      </c>
      <c r="AC48" s="56">
        <v>400</v>
      </c>
      <c r="AD48" s="56">
        <v>400</v>
      </c>
      <c r="AE48" s="56">
        <v>400</v>
      </c>
      <c r="AF48" s="56">
        <v>400</v>
      </c>
      <c r="AG48" s="54">
        <v>85</v>
      </c>
      <c r="AH48" s="47">
        <f t="shared" si="2"/>
        <v>400</v>
      </c>
      <c r="AI48" s="48">
        <f t="shared" si="3"/>
        <v>400</v>
      </c>
      <c r="AK48" s="50"/>
    </row>
    <row r="49" spans="1:41" ht="15.75" thickBot="1" x14ac:dyDescent="0.3">
      <c r="A49" s="57" t="s">
        <v>57</v>
      </c>
      <c r="B49" s="56">
        <v>95.8</v>
      </c>
      <c r="C49" s="56">
        <v>95.8</v>
      </c>
      <c r="D49" s="56">
        <v>95.8</v>
      </c>
      <c r="E49" s="56">
        <v>95.8</v>
      </c>
      <c r="F49" s="56">
        <v>100</v>
      </c>
      <c r="G49" s="56">
        <v>100</v>
      </c>
      <c r="H49" s="56">
        <v>100</v>
      </c>
      <c r="I49" s="56">
        <v>100</v>
      </c>
      <c r="J49" s="56">
        <v>100</v>
      </c>
      <c r="K49" s="56">
        <v>100</v>
      </c>
      <c r="L49" s="56">
        <v>100</v>
      </c>
      <c r="M49" s="56">
        <v>100</v>
      </c>
      <c r="N49" s="56">
        <v>100</v>
      </c>
      <c r="O49" s="56">
        <v>100</v>
      </c>
      <c r="P49" s="56">
        <v>100</v>
      </c>
      <c r="Q49" s="56">
        <v>100</v>
      </c>
      <c r="R49" s="56">
        <f>88</f>
        <v>88</v>
      </c>
      <c r="S49" s="56">
        <f>88</f>
        <v>88</v>
      </c>
      <c r="T49" s="58">
        <v>55.1</v>
      </c>
      <c r="U49" s="58">
        <v>55.1</v>
      </c>
      <c r="V49" s="58">
        <v>91</v>
      </c>
      <c r="W49" s="58">
        <v>88</v>
      </c>
      <c r="X49" s="58">
        <f>23.9+70</f>
        <v>93.9</v>
      </c>
      <c r="Y49" s="56">
        <v>92</v>
      </c>
      <c r="Z49" s="56">
        <v>83.5</v>
      </c>
      <c r="AA49" s="56">
        <v>83.5</v>
      </c>
      <c r="AB49" s="56">
        <v>83.5</v>
      </c>
      <c r="AC49" s="56">
        <v>83.5</v>
      </c>
      <c r="AD49" s="56">
        <v>83.5</v>
      </c>
      <c r="AE49" s="56">
        <v>83.5</v>
      </c>
      <c r="AF49" s="56">
        <v>83.5</v>
      </c>
      <c r="AG49" s="54">
        <v>240</v>
      </c>
      <c r="AH49" s="47">
        <f t="shared" si="2"/>
        <v>100</v>
      </c>
      <c r="AI49" s="48">
        <f t="shared" si="3"/>
        <v>55.1</v>
      </c>
      <c r="AK49" s="50"/>
    </row>
    <row r="50" spans="1:41" ht="15.75" thickBot="1" x14ac:dyDescent="0.3">
      <c r="A50" s="59" t="s">
        <v>58</v>
      </c>
      <c r="B50" s="60">
        <f t="shared" ref="B50:AE50" si="4">SUM(B11:B48)</f>
        <v>1039.0999999999999</v>
      </c>
      <c r="C50" s="60">
        <f t="shared" si="4"/>
        <v>977.8</v>
      </c>
      <c r="D50" s="60">
        <f t="shared" si="4"/>
        <v>947.8</v>
      </c>
      <c r="E50" s="60">
        <f t="shared" ref="E50" si="5">SUM(E11:E48)</f>
        <v>1004.8999999999999</v>
      </c>
      <c r="F50" s="60">
        <f t="shared" si="4"/>
        <v>1004.3</v>
      </c>
      <c r="G50" s="60">
        <f t="shared" si="4"/>
        <v>1025.5999999999999</v>
      </c>
      <c r="H50" s="60">
        <f t="shared" si="4"/>
        <v>1025.5</v>
      </c>
      <c r="I50" s="60">
        <f t="shared" si="4"/>
        <v>1025.5</v>
      </c>
      <c r="J50" s="60">
        <f t="shared" ref="J50:K50" si="6">SUM(J11:J48)</f>
        <v>1026.4000000000001</v>
      </c>
      <c r="K50" s="60">
        <f t="shared" si="6"/>
        <v>1026.4000000000001</v>
      </c>
      <c r="L50" s="60">
        <f t="shared" ref="L50" si="7">SUM(L11:L48)</f>
        <v>1027.3</v>
      </c>
      <c r="M50" s="60">
        <f t="shared" si="4"/>
        <v>1024.0999999999999</v>
      </c>
      <c r="N50" s="60">
        <f t="shared" si="4"/>
        <v>1034.0999999999999</v>
      </c>
      <c r="O50" s="60">
        <f t="shared" si="4"/>
        <v>1030</v>
      </c>
      <c r="P50" s="60">
        <f t="shared" si="4"/>
        <v>1000.4000000000001</v>
      </c>
      <c r="Q50" s="60">
        <f t="shared" si="4"/>
        <v>1000.4000000000001</v>
      </c>
      <c r="R50" s="60">
        <f t="shared" ref="R50" si="8">SUM(R11:R48)</f>
        <v>1001.8</v>
      </c>
      <c r="S50" s="60">
        <f t="shared" si="4"/>
        <v>998.8</v>
      </c>
      <c r="T50" s="60">
        <f t="shared" si="4"/>
        <v>959.8</v>
      </c>
      <c r="U50" s="60">
        <f t="shared" si="4"/>
        <v>968.2</v>
      </c>
      <c r="V50" s="60">
        <f t="shared" si="4"/>
        <v>968.2</v>
      </c>
      <c r="W50" s="60">
        <f t="shared" si="4"/>
        <v>968.2</v>
      </c>
      <c r="X50" s="60">
        <f t="shared" si="4"/>
        <v>1000.7</v>
      </c>
      <c r="Y50" s="60">
        <f t="shared" si="4"/>
        <v>1000.7</v>
      </c>
      <c r="Z50" s="60">
        <f t="shared" si="4"/>
        <v>1099.5</v>
      </c>
      <c r="AA50" s="60">
        <f t="shared" si="4"/>
        <v>1099.5</v>
      </c>
      <c r="AB50" s="60">
        <f t="shared" si="4"/>
        <v>1063.3000000000002</v>
      </c>
      <c r="AC50" s="60">
        <f t="shared" ref="AC50" si="9">SUM(AC11:AC48)</f>
        <v>1089</v>
      </c>
      <c r="AD50" s="60">
        <f t="shared" si="4"/>
        <v>1067</v>
      </c>
      <c r="AE50" s="60">
        <f t="shared" si="4"/>
        <v>1067</v>
      </c>
      <c r="AF50" s="60">
        <f t="shared" ref="AF50" si="10">SUM(AF11:AF48)</f>
        <v>1067</v>
      </c>
      <c r="AG50" s="61">
        <f>SUM(AG13:AG48)</f>
        <v>922.14</v>
      </c>
      <c r="AH50" s="47">
        <f t="shared" si="2"/>
        <v>1099.5</v>
      </c>
      <c r="AI50" s="48">
        <f t="shared" si="3"/>
        <v>947.8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175">
        <v>380</v>
      </c>
      <c r="O51" s="175">
        <v>380</v>
      </c>
      <c r="P51" s="175">
        <v>380</v>
      </c>
      <c r="Q51" s="175">
        <v>380</v>
      </c>
      <c r="R51" s="175">
        <v>380</v>
      </c>
      <c r="S51" s="175">
        <v>380</v>
      </c>
      <c r="T51" s="175">
        <v>380</v>
      </c>
      <c r="U51" s="45">
        <v>380</v>
      </c>
      <c r="V51" s="45">
        <v>380</v>
      </c>
      <c r="W51" s="45">
        <v>380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380</v>
      </c>
      <c r="AK51" s="50"/>
    </row>
    <row r="52" spans="1:41" x14ac:dyDescent="0.25">
      <c r="A52" s="63" t="s">
        <v>60</v>
      </c>
      <c r="B52" s="64">
        <v>61</v>
      </c>
      <c r="C52" s="64">
        <v>61</v>
      </c>
      <c r="D52" s="64">
        <v>61</v>
      </c>
      <c r="E52" s="64">
        <v>61</v>
      </c>
      <c r="F52" s="64">
        <v>61</v>
      </c>
      <c r="G52" s="64">
        <v>61</v>
      </c>
      <c r="H52" s="64">
        <v>61</v>
      </c>
      <c r="I52" s="64">
        <v>61</v>
      </c>
      <c r="J52" s="64">
        <v>61</v>
      </c>
      <c r="K52" s="64">
        <v>61</v>
      </c>
      <c r="L52" s="64">
        <v>61</v>
      </c>
      <c r="M52" s="64">
        <v>60</v>
      </c>
      <c r="N52" s="64">
        <v>60</v>
      </c>
      <c r="O52" s="64">
        <v>60</v>
      </c>
      <c r="P52" s="64">
        <v>50</v>
      </c>
      <c r="Q52" s="64">
        <v>50</v>
      </c>
      <c r="R52" s="64">
        <v>50</v>
      </c>
      <c r="S52" s="64">
        <v>49</v>
      </c>
      <c r="T52" s="64">
        <v>49</v>
      </c>
      <c r="U52" s="64">
        <v>49</v>
      </c>
      <c r="V52" s="64">
        <v>49</v>
      </c>
      <c r="W52" s="64">
        <v>49</v>
      </c>
      <c r="X52" s="64">
        <v>60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60</v>
      </c>
      <c r="AF52" s="64">
        <v>60</v>
      </c>
      <c r="AG52" s="54">
        <v>60</v>
      </c>
      <c r="AH52" s="47">
        <f t="shared" si="2"/>
        <v>61</v>
      </c>
      <c r="AI52" s="48">
        <f t="shared" si="3"/>
        <v>49</v>
      </c>
      <c r="AK52" s="50"/>
    </row>
    <row r="53" spans="1:41" ht="15.75" thickBot="1" x14ac:dyDescent="0.3">
      <c r="A53" s="65" t="s">
        <v>61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20.5</v>
      </c>
      <c r="V53" s="66">
        <v>20.5</v>
      </c>
      <c r="W53" s="66">
        <v>20.5</v>
      </c>
      <c r="X53" s="66">
        <v>20.100000000000001</v>
      </c>
      <c r="Y53" s="66">
        <v>20.100000000000001</v>
      </c>
      <c r="Z53" s="66">
        <v>20.100000000000001</v>
      </c>
      <c r="AA53" s="66">
        <v>20.100000000000001</v>
      </c>
      <c r="AB53" s="66">
        <v>20.100000000000001</v>
      </c>
      <c r="AC53" s="66">
        <v>20.100000000000001</v>
      </c>
      <c r="AD53" s="66">
        <v>20.100000000000001</v>
      </c>
      <c r="AE53" s="66">
        <v>20.100000000000001</v>
      </c>
      <c r="AF53" s="66">
        <v>20.100000000000001</v>
      </c>
      <c r="AG53" s="67">
        <v>22.1</v>
      </c>
      <c r="AH53" s="47">
        <f t="shared" si="2"/>
        <v>22.5</v>
      </c>
      <c r="AI53" s="48">
        <f t="shared" si="3"/>
        <v>20.100000000000001</v>
      </c>
      <c r="AK53" s="50"/>
    </row>
    <row r="54" spans="1:41" ht="15.75" thickBot="1" x14ac:dyDescent="0.3">
      <c r="A54" s="68" t="s">
        <v>62</v>
      </c>
      <c r="B54" s="60">
        <f t="shared" ref="B54:AG54" si="11">SUM(B51:B53)</f>
        <v>539.5</v>
      </c>
      <c r="C54" s="60">
        <f t="shared" si="11"/>
        <v>539.5</v>
      </c>
      <c r="D54" s="60">
        <f t="shared" si="11"/>
        <v>539.5</v>
      </c>
      <c r="E54" s="60">
        <f t="shared" si="11"/>
        <v>539.5</v>
      </c>
      <c r="F54" s="60">
        <f t="shared" si="11"/>
        <v>539.5</v>
      </c>
      <c r="G54" s="60">
        <f t="shared" si="11"/>
        <v>539.5</v>
      </c>
      <c r="H54" s="60">
        <f t="shared" si="11"/>
        <v>539.5</v>
      </c>
      <c r="I54" s="60">
        <f t="shared" si="11"/>
        <v>539.5</v>
      </c>
      <c r="J54" s="60">
        <f t="shared" si="11"/>
        <v>539.5</v>
      </c>
      <c r="K54" s="60">
        <f t="shared" si="11"/>
        <v>539.5</v>
      </c>
      <c r="L54" s="60">
        <f t="shared" si="11"/>
        <v>539.5</v>
      </c>
      <c r="M54" s="60">
        <f t="shared" si="11"/>
        <v>538.5</v>
      </c>
      <c r="N54" s="60">
        <f t="shared" si="11"/>
        <v>462.5</v>
      </c>
      <c r="O54" s="60">
        <f t="shared" si="11"/>
        <v>462.5</v>
      </c>
      <c r="P54" s="60">
        <f t="shared" si="11"/>
        <v>452.5</v>
      </c>
      <c r="Q54" s="60">
        <f t="shared" si="11"/>
        <v>452.5</v>
      </c>
      <c r="R54" s="60">
        <f t="shared" ref="R54" si="12">SUM(R51:R53)</f>
        <v>452.5</v>
      </c>
      <c r="S54" s="60">
        <f t="shared" si="11"/>
        <v>451.5</v>
      </c>
      <c r="T54" s="60">
        <f t="shared" si="11"/>
        <v>451.5</v>
      </c>
      <c r="U54" s="60">
        <f t="shared" si="11"/>
        <v>449.5</v>
      </c>
      <c r="V54" s="60">
        <f t="shared" si="11"/>
        <v>449.5</v>
      </c>
      <c r="W54" s="60">
        <f t="shared" si="11"/>
        <v>449.5</v>
      </c>
      <c r="X54" s="60">
        <f t="shared" si="11"/>
        <v>536.1</v>
      </c>
      <c r="Y54" s="60">
        <f t="shared" si="11"/>
        <v>536.1</v>
      </c>
      <c r="Z54" s="60">
        <f t="shared" si="11"/>
        <v>536.1</v>
      </c>
      <c r="AA54" s="60">
        <f t="shared" si="11"/>
        <v>536.1</v>
      </c>
      <c r="AB54" s="60">
        <f t="shared" si="11"/>
        <v>536.1</v>
      </c>
      <c r="AC54" s="60">
        <f t="shared" ref="AC54" si="13">SUM(AC51:AC53)</f>
        <v>536.1</v>
      </c>
      <c r="AD54" s="60">
        <f t="shared" si="11"/>
        <v>536.1</v>
      </c>
      <c r="AE54" s="60">
        <f t="shared" si="11"/>
        <v>536.1</v>
      </c>
      <c r="AF54" s="60">
        <f t="shared" ref="AF54" si="14">SUM(AF51:AF53)</f>
        <v>536.1</v>
      </c>
      <c r="AG54" s="61">
        <f t="shared" si="11"/>
        <v>538.1</v>
      </c>
      <c r="AH54" s="47">
        <f t="shared" si="2"/>
        <v>539.5</v>
      </c>
      <c r="AI54" s="48">
        <f t="shared" si="3"/>
        <v>449.5</v>
      </c>
      <c r="AK54" s="50"/>
    </row>
    <row r="55" spans="1:41" x14ac:dyDescent="0.25">
      <c r="A55" s="44" t="s">
        <v>63</v>
      </c>
      <c r="B55" s="45">
        <v>134.30000000000001</v>
      </c>
      <c r="C55" s="45">
        <v>73</v>
      </c>
      <c r="D55" s="45">
        <v>73</v>
      </c>
      <c r="E55" s="45">
        <v>72</v>
      </c>
      <c r="F55" s="45">
        <v>72.8</v>
      </c>
      <c r="G55" s="45">
        <v>89.6</v>
      </c>
      <c r="H55" s="45">
        <v>91.2</v>
      </c>
      <c r="I55" s="45">
        <v>89.6</v>
      </c>
      <c r="J55" s="45">
        <v>121.3</v>
      </c>
      <c r="K55" s="45">
        <v>130</v>
      </c>
      <c r="L55" s="45">
        <v>130</v>
      </c>
      <c r="M55" s="45">
        <v>128</v>
      </c>
      <c r="N55" s="45">
        <v>129.5</v>
      </c>
      <c r="O55" s="45">
        <v>129.6</v>
      </c>
      <c r="P55" s="45">
        <v>121.4</v>
      </c>
      <c r="Q55" s="45">
        <v>128.69999999999999</v>
      </c>
      <c r="R55" s="45">
        <v>128.4</v>
      </c>
      <c r="S55" s="45">
        <v>128.4</v>
      </c>
      <c r="T55" s="45">
        <v>128.4</v>
      </c>
      <c r="U55" s="45">
        <v>128.4</v>
      </c>
      <c r="V55" s="45">
        <v>131</v>
      </c>
      <c r="W55" s="45">
        <v>131</v>
      </c>
      <c r="X55" s="45">
        <v>131.9</v>
      </c>
      <c r="Y55" s="45">
        <v>131.9</v>
      </c>
      <c r="Z55" s="45">
        <v>131.9</v>
      </c>
      <c r="AA55" s="45">
        <v>131.9</v>
      </c>
      <c r="AB55" s="45">
        <v>131.9</v>
      </c>
      <c r="AC55" s="45">
        <v>131.9</v>
      </c>
      <c r="AD55" s="45">
        <v>131.9</v>
      </c>
      <c r="AE55" s="45">
        <v>131.9</v>
      </c>
      <c r="AF55" s="45">
        <v>131.9</v>
      </c>
      <c r="AG55" s="51">
        <v>144</v>
      </c>
      <c r="AH55" s="47">
        <f t="shared" si="2"/>
        <v>134.30000000000001</v>
      </c>
      <c r="AI55" s="48">
        <f t="shared" si="3"/>
        <v>72</v>
      </c>
      <c r="AK55" s="50"/>
    </row>
    <row r="56" spans="1:41" x14ac:dyDescent="0.25">
      <c r="A56" s="53" t="s">
        <v>64</v>
      </c>
      <c r="B56" s="64">
        <v>69</v>
      </c>
      <c r="C56" s="64">
        <v>69</v>
      </c>
      <c r="D56" s="64">
        <v>69</v>
      </c>
      <c r="E56" s="64">
        <v>59.1</v>
      </c>
      <c r="F56" s="64">
        <v>59.1</v>
      </c>
      <c r="G56" s="64">
        <v>54.1</v>
      </c>
      <c r="H56" s="64">
        <v>69.400000000000006</v>
      </c>
      <c r="I56" s="64">
        <v>70.2</v>
      </c>
      <c r="J56" s="64">
        <v>70.3</v>
      </c>
      <c r="K56" s="64">
        <v>70</v>
      </c>
      <c r="L56" s="64">
        <v>70</v>
      </c>
      <c r="M56" s="64">
        <v>70</v>
      </c>
      <c r="N56" s="64">
        <v>60</v>
      </c>
      <c r="O56" s="64">
        <v>65.900000000000006</v>
      </c>
      <c r="P56" s="64">
        <v>64.8</v>
      </c>
      <c r="Q56" s="64">
        <v>65.3</v>
      </c>
      <c r="R56" s="64">
        <v>68.099999999999994</v>
      </c>
      <c r="S56" s="64">
        <v>68.099999999999994</v>
      </c>
      <c r="T56" s="64">
        <v>68.099999999999994</v>
      </c>
      <c r="U56" s="64">
        <v>68.099999999999994</v>
      </c>
      <c r="V56" s="64">
        <v>68.099999999999994</v>
      </c>
      <c r="W56" s="64">
        <v>68.099999999999994</v>
      </c>
      <c r="X56" s="45">
        <v>70.099999999999994</v>
      </c>
      <c r="Y56" s="45">
        <v>70.099999999999994</v>
      </c>
      <c r="Z56" s="45">
        <v>70.099999999999994</v>
      </c>
      <c r="AA56" s="45">
        <v>70.099999999999994</v>
      </c>
      <c r="AB56" s="45">
        <v>70.099999999999994</v>
      </c>
      <c r="AC56" s="45">
        <v>70.099999999999994</v>
      </c>
      <c r="AD56" s="45">
        <v>70.099999999999994</v>
      </c>
      <c r="AE56" s="45">
        <v>70.099999999999994</v>
      </c>
      <c r="AF56" s="45">
        <v>70.099999999999994</v>
      </c>
      <c r="AG56" s="54">
        <v>70</v>
      </c>
      <c r="AH56" s="47">
        <f t="shared" si="2"/>
        <v>70.3</v>
      </c>
      <c r="AI56" s="48">
        <f t="shared" si="3"/>
        <v>54.1</v>
      </c>
      <c r="AK56" s="50"/>
    </row>
    <row r="57" spans="1:41" x14ac:dyDescent="0.25">
      <c r="A57" s="53" t="s">
        <v>65</v>
      </c>
      <c r="B57" s="64">
        <v>64.3</v>
      </c>
      <c r="C57" s="64">
        <v>64.3</v>
      </c>
      <c r="D57" s="64">
        <v>64.3</v>
      </c>
      <c r="E57" s="64">
        <v>53.1</v>
      </c>
      <c r="F57" s="64">
        <v>53</v>
      </c>
      <c r="G57" s="64">
        <v>48.2</v>
      </c>
      <c r="H57" s="64">
        <v>63</v>
      </c>
      <c r="I57" s="64">
        <v>63</v>
      </c>
      <c r="J57" s="64">
        <v>63.1</v>
      </c>
      <c r="K57" s="64">
        <v>63.4</v>
      </c>
      <c r="L57" s="64">
        <v>63.4</v>
      </c>
      <c r="M57" s="64">
        <v>63.4</v>
      </c>
      <c r="N57" s="64">
        <v>63.4</v>
      </c>
      <c r="O57" s="64">
        <v>63.1</v>
      </c>
      <c r="P57" s="64">
        <v>63.1</v>
      </c>
      <c r="Q57" s="64">
        <v>63.5</v>
      </c>
      <c r="R57" s="64">
        <v>63.2</v>
      </c>
      <c r="S57" s="64">
        <v>63.2</v>
      </c>
      <c r="T57" s="64">
        <v>50.3</v>
      </c>
      <c r="U57" s="64">
        <v>50.3</v>
      </c>
      <c r="V57" s="64">
        <v>64.099999999999994</v>
      </c>
      <c r="W57" s="64">
        <v>64.099999999999994</v>
      </c>
      <c r="X57" s="45">
        <v>64.3</v>
      </c>
      <c r="Y57" s="45">
        <v>64.3</v>
      </c>
      <c r="Z57" s="45">
        <v>64.3</v>
      </c>
      <c r="AA57" s="45">
        <v>64.3</v>
      </c>
      <c r="AB57" s="45">
        <v>64.3</v>
      </c>
      <c r="AC57" s="45">
        <v>64.3</v>
      </c>
      <c r="AD57" s="45">
        <v>64.3</v>
      </c>
      <c r="AE57" s="45">
        <v>64.3</v>
      </c>
      <c r="AF57" s="45">
        <v>64.3</v>
      </c>
      <c r="AG57" s="54">
        <v>69</v>
      </c>
      <c r="AH57" s="47">
        <f t="shared" si="2"/>
        <v>64.3</v>
      </c>
      <c r="AI57" s="48">
        <f t="shared" si="3"/>
        <v>48.2</v>
      </c>
      <c r="AK57" s="50"/>
    </row>
    <row r="58" spans="1:41" x14ac:dyDescent="0.25">
      <c r="A58" s="53" t="s">
        <v>66</v>
      </c>
      <c r="B58" s="64">
        <v>41.3</v>
      </c>
      <c r="C58" s="64">
        <v>53.5</v>
      </c>
      <c r="D58" s="64">
        <v>53.5</v>
      </c>
      <c r="E58" s="56">
        <v>53.2</v>
      </c>
      <c r="F58" s="56">
        <v>53.6</v>
      </c>
      <c r="G58" s="56">
        <v>42.3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0</v>
      </c>
      <c r="O58" s="56">
        <v>55.7</v>
      </c>
      <c r="P58" s="56">
        <v>55.7</v>
      </c>
      <c r="Q58" s="56">
        <v>60</v>
      </c>
      <c r="R58" s="56">
        <v>58</v>
      </c>
      <c r="S58" s="56">
        <v>58</v>
      </c>
      <c r="T58" s="56">
        <v>58</v>
      </c>
      <c r="U58" s="56">
        <v>58</v>
      </c>
      <c r="V58" s="56">
        <v>60.4</v>
      </c>
      <c r="W58" s="56">
        <v>60.4</v>
      </c>
      <c r="X58" s="45">
        <v>61.4</v>
      </c>
      <c r="Y58" s="45">
        <v>61.4</v>
      </c>
      <c r="Z58" s="45">
        <v>61.4</v>
      </c>
      <c r="AA58" s="45">
        <v>61.4</v>
      </c>
      <c r="AB58" s="45">
        <v>61.4</v>
      </c>
      <c r="AC58" s="45">
        <v>61.4</v>
      </c>
      <c r="AD58" s="45">
        <v>61.4</v>
      </c>
      <c r="AE58" s="45">
        <v>61.4</v>
      </c>
      <c r="AF58" s="45">
        <v>61.4</v>
      </c>
      <c r="AG58" s="54">
        <v>60</v>
      </c>
      <c r="AH58" s="47">
        <f t="shared" si="2"/>
        <v>61.4</v>
      </c>
      <c r="AI58" s="48">
        <f t="shared" si="3"/>
        <v>0</v>
      </c>
      <c r="AK58" s="50"/>
    </row>
    <row r="59" spans="1:41" x14ac:dyDescent="0.25">
      <c r="A59" s="53" t="s">
        <v>67</v>
      </c>
      <c r="B59" s="64">
        <v>30</v>
      </c>
      <c r="C59" s="64">
        <v>30</v>
      </c>
      <c r="D59" s="64">
        <v>30</v>
      </c>
      <c r="E59" s="56">
        <v>30</v>
      </c>
      <c r="F59" s="56">
        <v>30</v>
      </c>
      <c r="G59" s="56">
        <v>30</v>
      </c>
      <c r="H59" s="56">
        <v>30</v>
      </c>
      <c r="I59" s="56">
        <v>30</v>
      </c>
      <c r="J59" s="56">
        <v>28.5</v>
      </c>
      <c r="K59" s="56">
        <v>28</v>
      </c>
      <c r="L59" s="56">
        <v>28</v>
      </c>
      <c r="M59" s="56">
        <v>28</v>
      </c>
      <c r="N59" s="56">
        <v>28</v>
      </c>
      <c r="O59" s="56">
        <v>28</v>
      </c>
      <c r="P59" s="56">
        <v>28</v>
      </c>
      <c r="Q59" s="56">
        <v>28</v>
      </c>
      <c r="R59" s="56">
        <v>28</v>
      </c>
      <c r="S59" s="56">
        <v>28</v>
      </c>
      <c r="T59" s="56">
        <v>28</v>
      </c>
      <c r="U59" s="56">
        <v>28</v>
      </c>
      <c r="V59" s="56">
        <v>28</v>
      </c>
      <c r="W59" s="56">
        <v>28</v>
      </c>
      <c r="X59" s="45">
        <v>30</v>
      </c>
      <c r="Y59" s="45">
        <v>30</v>
      </c>
      <c r="Z59" s="45">
        <v>30</v>
      </c>
      <c r="AA59" s="45">
        <v>30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4">
        <v>30</v>
      </c>
      <c r="AH59" s="47">
        <f t="shared" si="2"/>
        <v>30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1.8</v>
      </c>
      <c r="L60" s="64">
        <v>1.8</v>
      </c>
      <c r="M60" s="64">
        <v>5</v>
      </c>
      <c r="N60" s="64">
        <v>12</v>
      </c>
      <c r="O60" s="64">
        <v>9.1999999999999993</v>
      </c>
      <c r="P60" s="64">
        <v>9.1999999999999993</v>
      </c>
      <c r="Q60" s="64">
        <v>18.600000000000001</v>
      </c>
      <c r="R60" s="64">
        <v>17.7</v>
      </c>
      <c r="S60" s="64">
        <v>17.7</v>
      </c>
      <c r="T60" s="64">
        <v>12.7</v>
      </c>
      <c r="U60" s="64">
        <v>12.7</v>
      </c>
      <c r="V60" s="64">
        <v>4</v>
      </c>
      <c r="W60" s="64">
        <v>2.9</v>
      </c>
      <c r="X60" s="45">
        <v>1.4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18.600000000000001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15</v>
      </c>
      <c r="C61" s="64">
        <v>15</v>
      </c>
      <c r="D61" s="64">
        <v>15</v>
      </c>
      <c r="E61" s="64">
        <v>16</v>
      </c>
      <c r="F61" s="64">
        <v>16</v>
      </c>
      <c r="G61" s="64">
        <v>16</v>
      </c>
      <c r="H61" s="64">
        <v>16</v>
      </c>
      <c r="I61" s="64">
        <v>16</v>
      </c>
      <c r="J61" s="64">
        <v>-21</v>
      </c>
      <c r="K61" s="64">
        <v>16</v>
      </c>
      <c r="L61" s="64">
        <v>16</v>
      </c>
      <c r="M61" s="64">
        <v>16</v>
      </c>
      <c r="N61" s="64">
        <v>16</v>
      </c>
      <c r="O61" s="64">
        <v>16</v>
      </c>
      <c r="P61" s="64">
        <v>16</v>
      </c>
      <c r="Q61" s="64">
        <v>16</v>
      </c>
      <c r="R61" s="64">
        <v>16</v>
      </c>
      <c r="S61" s="64">
        <v>16</v>
      </c>
      <c r="T61" s="64">
        <v>16</v>
      </c>
      <c r="U61" s="64">
        <v>16</v>
      </c>
      <c r="V61" s="64">
        <v>16</v>
      </c>
      <c r="W61" s="64">
        <v>16</v>
      </c>
      <c r="X61" s="64">
        <v>16</v>
      </c>
      <c r="Y61" s="64">
        <v>16</v>
      </c>
      <c r="Z61" s="64">
        <v>16</v>
      </c>
      <c r="AA61" s="64">
        <v>16</v>
      </c>
      <c r="AB61" s="64">
        <v>16</v>
      </c>
      <c r="AC61" s="64">
        <v>16</v>
      </c>
      <c r="AD61" s="64">
        <v>16</v>
      </c>
      <c r="AE61" s="64">
        <v>16</v>
      </c>
      <c r="AF61" s="64">
        <v>16</v>
      </c>
      <c r="AG61" s="54">
        <v>24</v>
      </c>
      <c r="AH61" s="47">
        <f t="shared" si="2"/>
        <v>16</v>
      </c>
      <c r="AI61" s="48">
        <f t="shared" si="3"/>
        <v>-21</v>
      </c>
      <c r="AK61" s="50"/>
    </row>
    <row r="62" spans="1:41" x14ac:dyDescent="0.25">
      <c r="A62" s="53" t="s">
        <v>70</v>
      </c>
      <c r="B62" s="64">
        <v>2.2000000000000002</v>
      </c>
      <c r="C62" s="64">
        <v>2.2000000000000002</v>
      </c>
      <c r="D62" s="64">
        <v>2.2000000000000002</v>
      </c>
      <c r="E62" s="64">
        <v>2.2000000000000002</v>
      </c>
      <c r="F62" s="64">
        <v>2.2000000000000002</v>
      </c>
      <c r="G62" s="64">
        <v>2.2000000000000002</v>
      </c>
      <c r="H62" s="64">
        <v>2.2000000000000002</v>
      </c>
      <c r="I62" s="64">
        <v>2.2000000000000002</v>
      </c>
      <c r="J62" s="64">
        <v>2.2000000000000002</v>
      </c>
      <c r="K62" s="64">
        <v>2.2000000000000002</v>
      </c>
      <c r="L62" s="64">
        <v>2.2000000000000002</v>
      </c>
      <c r="M62" s="64">
        <v>2.2000000000000002</v>
      </c>
      <c r="N62" s="64">
        <v>2.2000000000000002</v>
      </c>
      <c r="O62" s="64">
        <v>0</v>
      </c>
      <c r="P62" s="64">
        <v>0</v>
      </c>
      <c r="Q62" s="64">
        <v>0</v>
      </c>
      <c r="R62" s="64">
        <v>0</v>
      </c>
      <c r="S62" s="64">
        <v>2.8</v>
      </c>
      <c r="T62" s="64">
        <v>2.8</v>
      </c>
      <c r="U62" s="64">
        <v>2.8</v>
      </c>
      <c r="V62" s="64">
        <v>2.8</v>
      </c>
      <c r="W62" s="64">
        <v>2.8</v>
      </c>
      <c r="X62" s="64">
        <v>2.8</v>
      </c>
      <c r="Y62" s="64">
        <v>2.8</v>
      </c>
      <c r="Z62" s="64">
        <v>5.5</v>
      </c>
      <c r="AA62" s="64">
        <v>5.5</v>
      </c>
      <c r="AB62" s="64">
        <v>5.5</v>
      </c>
      <c r="AC62" s="64">
        <v>5.5</v>
      </c>
      <c r="AD62" s="64">
        <v>5.5</v>
      </c>
      <c r="AE62" s="64">
        <v>5.5</v>
      </c>
      <c r="AF62" s="64">
        <v>5.5</v>
      </c>
      <c r="AG62" s="54">
        <v>15</v>
      </c>
      <c r="AH62" s="47">
        <f t="shared" si="2"/>
        <v>5.5</v>
      </c>
      <c r="AI62" s="48">
        <f t="shared" si="3"/>
        <v>0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9</v>
      </c>
      <c r="C63" s="64">
        <v>9</v>
      </c>
      <c r="D63" s="64">
        <v>9</v>
      </c>
      <c r="E63" s="64">
        <v>8.3000000000000007</v>
      </c>
      <c r="F63" s="64">
        <v>8.3000000000000007</v>
      </c>
      <c r="G63" s="64">
        <v>8.3000000000000007</v>
      </c>
      <c r="H63" s="64">
        <v>8.3000000000000007</v>
      </c>
      <c r="I63" s="64">
        <v>8.3000000000000007</v>
      </c>
      <c r="J63" s="64">
        <v>8.3000000000000007</v>
      </c>
      <c r="K63" s="64">
        <v>8.3000000000000007</v>
      </c>
      <c r="L63" s="64">
        <v>8.3000000000000007</v>
      </c>
      <c r="M63" s="64">
        <v>8.3000000000000007</v>
      </c>
      <c r="N63" s="64">
        <v>8.3000000000000007</v>
      </c>
      <c r="O63" s="64">
        <v>9</v>
      </c>
      <c r="P63" s="64">
        <v>9</v>
      </c>
      <c r="Q63" s="64">
        <v>9.1</v>
      </c>
      <c r="R63" s="64">
        <v>9.3000000000000007</v>
      </c>
      <c r="S63" s="64">
        <v>9.3000000000000007</v>
      </c>
      <c r="T63" s="64">
        <v>8</v>
      </c>
      <c r="U63" s="64">
        <v>8</v>
      </c>
      <c r="V63" s="64">
        <v>8</v>
      </c>
      <c r="W63" s="64">
        <v>8</v>
      </c>
      <c r="X63" s="64">
        <v>8</v>
      </c>
      <c r="Y63" s="64">
        <v>8</v>
      </c>
      <c r="Z63" s="64">
        <v>8</v>
      </c>
      <c r="AA63" s="64">
        <v>8</v>
      </c>
      <c r="AB63" s="64">
        <v>8</v>
      </c>
      <c r="AC63" s="64">
        <v>8</v>
      </c>
      <c r="AD63" s="64">
        <v>8</v>
      </c>
      <c r="AE63" s="64">
        <v>8</v>
      </c>
      <c r="AF63" s="64">
        <v>8</v>
      </c>
      <c r="AG63" s="54">
        <v>14.1</v>
      </c>
      <c r="AH63" s="47">
        <f t="shared" si="2"/>
        <v>9.3000000000000007</v>
      </c>
      <c r="AI63" s="48">
        <f t="shared" si="3"/>
        <v>8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6</v>
      </c>
      <c r="C64" s="64">
        <v>6</v>
      </c>
      <c r="D64" s="64">
        <v>6</v>
      </c>
      <c r="E64" s="64">
        <v>2.8</v>
      </c>
      <c r="F64" s="64">
        <v>2.8</v>
      </c>
      <c r="G64" s="64">
        <v>2.8</v>
      </c>
      <c r="H64" s="64">
        <v>2.8</v>
      </c>
      <c r="I64" s="64">
        <v>2.8</v>
      </c>
      <c r="J64" s="64">
        <v>2.8</v>
      </c>
      <c r="K64" s="64">
        <v>2.8</v>
      </c>
      <c r="L64" s="64">
        <v>2.8</v>
      </c>
      <c r="M64" s="64">
        <v>6.6</v>
      </c>
      <c r="N64" s="64">
        <v>6.6</v>
      </c>
      <c r="O64" s="64">
        <v>6.6</v>
      </c>
      <c r="P64" s="64">
        <v>6.6</v>
      </c>
      <c r="Q64" s="64">
        <v>6.5</v>
      </c>
      <c r="R64" s="64">
        <v>6.6</v>
      </c>
      <c r="S64" s="64">
        <v>6.6</v>
      </c>
      <c r="T64" s="64">
        <v>13.1</v>
      </c>
      <c r="U64" s="64">
        <v>13.1</v>
      </c>
      <c r="V64" s="64">
        <v>13.1</v>
      </c>
      <c r="W64" s="64">
        <v>13.1</v>
      </c>
      <c r="X64" s="64">
        <v>13.1</v>
      </c>
      <c r="Y64" s="64">
        <v>13.1</v>
      </c>
      <c r="Z64" s="64">
        <v>13.1</v>
      </c>
      <c r="AA64" s="64">
        <v>13.1</v>
      </c>
      <c r="AB64" s="64">
        <v>13.1</v>
      </c>
      <c r="AC64" s="64">
        <v>13.1</v>
      </c>
      <c r="AD64" s="64">
        <v>13.1</v>
      </c>
      <c r="AE64" s="64">
        <v>13.1</v>
      </c>
      <c r="AF64" s="64">
        <v>13.1</v>
      </c>
      <c r="AG64" s="54">
        <v>14</v>
      </c>
      <c r="AH64" s="47">
        <f t="shared" si="2"/>
        <v>13.1</v>
      </c>
      <c r="AI64" s="48">
        <f t="shared" si="3"/>
        <v>2.8</v>
      </c>
      <c r="AK64" s="50"/>
    </row>
    <row r="65" spans="1:40" x14ac:dyDescent="0.25">
      <c r="A65" s="53" t="s">
        <v>73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>
        <v>9</v>
      </c>
      <c r="L65" s="64">
        <v>9</v>
      </c>
      <c r="M65" s="64">
        <v>0</v>
      </c>
      <c r="N65" s="64">
        <v>0</v>
      </c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>
        <v>9</v>
      </c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0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15">SUM(B55:B67)</f>
        <v>389.84000000000003</v>
      </c>
      <c r="C68" s="60">
        <f t="shared" si="15"/>
        <v>340.74</v>
      </c>
      <c r="D68" s="60">
        <f t="shared" si="15"/>
        <v>340.74</v>
      </c>
      <c r="E68" s="60">
        <f t="shared" si="15"/>
        <v>315.44</v>
      </c>
      <c r="F68" s="60">
        <f t="shared" si="15"/>
        <v>316.54000000000002</v>
      </c>
      <c r="G68" s="60">
        <f t="shared" si="15"/>
        <v>312.24</v>
      </c>
      <c r="H68" s="60">
        <f t="shared" si="15"/>
        <v>301.64000000000004</v>
      </c>
      <c r="I68" s="60">
        <f t="shared" si="15"/>
        <v>300.84000000000003</v>
      </c>
      <c r="J68" s="60">
        <f t="shared" si="15"/>
        <v>294.24</v>
      </c>
      <c r="K68" s="60">
        <f t="shared" si="15"/>
        <v>341.24</v>
      </c>
      <c r="L68" s="60">
        <f t="shared" si="15"/>
        <v>341.24</v>
      </c>
      <c r="M68" s="60">
        <f t="shared" si="15"/>
        <v>337.24</v>
      </c>
      <c r="N68" s="60">
        <f t="shared" si="15"/>
        <v>335.74</v>
      </c>
      <c r="O68" s="60">
        <f t="shared" si="15"/>
        <v>401.84000000000003</v>
      </c>
      <c r="P68" s="60">
        <f t="shared" si="15"/>
        <v>392.54</v>
      </c>
      <c r="Q68" s="60">
        <f t="shared" si="15"/>
        <v>414.44000000000005</v>
      </c>
      <c r="R68" s="60">
        <f t="shared" ref="R68" si="16">SUM(R55:R67)</f>
        <v>414.04</v>
      </c>
      <c r="S68" s="60">
        <f t="shared" si="15"/>
        <v>416.84000000000003</v>
      </c>
      <c r="T68" s="60">
        <f t="shared" si="15"/>
        <v>404.14000000000004</v>
      </c>
      <c r="U68" s="60">
        <f t="shared" si="15"/>
        <v>404.14000000000004</v>
      </c>
      <c r="V68" s="60">
        <f t="shared" si="15"/>
        <v>414.24</v>
      </c>
      <c r="W68" s="60">
        <f t="shared" si="15"/>
        <v>413.14</v>
      </c>
      <c r="X68" s="60">
        <f t="shared" si="15"/>
        <v>417.74</v>
      </c>
      <c r="Y68" s="60">
        <f t="shared" si="15"/>
        <v>416.34000000000003</v>
      </c>
      <c r="Z68" s="60">
        <f t="shared" si="15"/>
        <v>419.04</v>
      </c>
      <c r="AA68" s="60">
        <f t="shared" si="15"/>
        <v>419.04</v>
      </c>
      <c r="AB68" s="60">
        <f t="shared" si="15"/>
        <v>389.04</v>
      </c>
      <c r="AC68" s="60">
        <f t="shared" si="15"/>
        <v>389.04</v>
      </c>
      <c r="AD68" s="60">
        <f t="shared" si="15"/>
        <v>389.04</v>
      </c>
      <c r="AE68" s="60">
        <f t="shared" si="15"/>
        <v>389.04</v>
      </c>
      <c r="AF68" s="60">
        <f t="shared" si="15"/>
        <v>389.04</v>
      </c>
      <c r="AG68" s="61">
        <f t="shared" si="15"/>
        <v>489.91</v>
      </c>
      <c r="AH68" s="47">
        <f t="shared" si="2"/>
        <v>419.04</v>
      </c>
      <c r="AI68" s="48">
        <f t="shared" si="3"/>
        <v>294.24</v>
      </c>
      <c r="AK68" s="50"/>
    </row>
    <row r="69" spans="1:40" x14ac:dyDescent="0.25">
      <c r="A69" s="44" t="s">
        <v>77</v>
      </c>
      <c r="B69" s="45">
        <v>0</v>
      </c>
      <c r="C69" s="45">
        <v>0</v>
      </c>
      <c r="D69" s="45">
        <v>0</v>
      </c>
      <c r="E69" s="45"/>
      <c r="F69" s="45"/>
      <c r="G69" s="45"/>
      <c r="H69" s="45"/>
      <c r="I69" s="45"/>
      <c r="J69" s="45"/>
      <c r="K69" s="45"/>
      <c r="L69" s="45"/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>
        <v>0</v>
      </c>
      <c r="C70" s="45">
        <v>0</v>
      </c>
      <c r="D70" s="45">
        <v>0</v>
      </c>
      <c r="E70" s="64"/>
      <c r="F70" s="64"/>
      <c r="G70" s="64"/>
      <c r="H70" s="64"/>
      <c r="I70" s="64"/>
      <c r="J70" s="64"/>
      <c r="K70" s="64"/>
      <c r="L70" s="64"/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>
        <v>0</v>
      </c>
      <c r="C71" s="45">
        <v>0</v>
      </c>
      <c r="D71" s="45">
        <v>0</v>
      </c>
      <c r="E71" s="66"/>
      <c r="F71" s="66"/>
      <c r="G71" s="66"/>
      <c r="H71" s="66"/>
      <c r="I71" s="66"/>
      <c r="J71" s="66"/>
      <c r="K71" s="66"/>
      <c r="L71" s="66"/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17">M69+M70+M71</f>
        <v>0</v>
      </c>
      <c r="N72" s="60">
        <f t="shared" si="17"/>
        <v>0</v>
      </c>
      <c r="O72" s="60">
        <f t="shared" si="17"/>
        <v>0</v>
      </c>
      <c r="P72" s="60">
        <f t="shared" si="17"/>
        <v>0</v>
      </c>
      <c r="Q72" s="60">
        <f t="shared" si="17"/>
        <v>0</v>
      </c>
      <c r="R72" s="60">
        <f t="shared" ref="R72" si="18">R69+R70+R71</f>
        <v>0</v>
      </c>
      <c r="S72" s="60">
        <f t="shared" si="17"/>
        <v>0</v>
      </c>
      <c r="T72" s="60">
        <f t="shared" si="17"/>
        <v>0</v>
      </c>
      <c r="U72" s="60">
        <f t="shared" si="17"/>
        <v>0</v>
      </c>
      <c r="V72" s="60">
        <f t="shared" si="17"/>
        <v>0</v>
      </c>
      <c r="W72" s="60">
        <f t="shared" si="17"/>
        <v>0</v>
      </c>
      <c r="X72" s="60">
        <f t="shared" si="17"/>
        <v>0</v>
      </c>
      <c r="Y72" s="60">
        <f t="shared" si="17"/>
        <v>0</v>
      </c>
      <c r="Z72" s="60">
        <f t="shared" si="17"/>
        <v>0</v>
      </c>
      <c r="AA72" s="60">
        <f t="shared" si="17"/>
        <v>0</v>
      </c>
      <c r="AB72" s="60">
        <f t="shared" si="17"/>
        <v>0</v>
      </c>
      <c r="AC72" s="60">
        <f t="shared" si="17"/>
        <v>0</v>
      </c>
      <c r="AD72" s="60">
        <f t="shared" si="17"/>
        <v>0</v>
      </c>
      <c r="AE72" s="60">
        <f t="shared" si="17"/>
        <v>0</v>
      </c>
      <c r="AF72" s="60">
        <f t="shared" si="17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3.6</v>
      </c>
      <c r="C73" s="45">
        <v>11.4</v>
      </c>
      <c r="D73" s="45">
        <v>22.4</v>
      </c>
      <c r="E73" s="45">
        <v>11</v>
      </c>
      <c r="F73" s="45">
        <v>-5.3</v>
      </c>
      <c r="G73" s="45">
        <v>-2.5</v>
      </c>
      <c r="H73" s="45">
        <v>0</v>
      </c>
      <c r="I73" s="45">
        <v>-7</v>
      </c>
      <c r="J73" s="45">
        <v>-20</v>
      </c>
      <c r="K73" s="45">
        <v>-21</v>
      </c>
      <c r="L73" s="45">
        <v>-22</v>
      </c>
      <c r="M73" s="45">
        <v>-20</v>
      </c>
      <c r="N73" s="45">
        <v>-16.3</v>
      </c>
      <c r="O73" s="45">
        <v>-16.600000000000001</v>
      </c>
      <c r="P73" s="45">
        <v>-7.1</v>
      </c>
      <c r="Q73" s="45">
        <v>-10.1</v>
      </c>
      <c r="R73" s="45">
        <v>-15.6</v>
      </c>
      <c r="S73" s="45">
        <v>-20.7</v>
      </c>
      <c r="T73" s="45">
        <v>-19.3</v>
      </c>
      <c r="U73" s="45">
        <v>-8.4</v>
      </c>
      <c r="V73" s="45">
        <v>-9.5</v>
      </c>
      <c r="W73" s="45">
        <v>-3.9</v>
      </c>
      <c r="X73" s="45">
        <v>-7.2</v>
      </c>
      <c r="Y73" s="45">
        <v>-5.8</v>
      </c>
      <c r="Z73" s="45">
        <v>6.4</v>
      </c>
      <c r="AA73" s="45">
        <v>36</v>
      </c>
      <c r="AB73" s="45">
        <v>40</v>
      </c>
      <c r="AC73" s="45">
        <v>40</v>
      </c>
      <c r="AD73" s="45">
        <v>30</v>
      </c>
      <c r="AE73" s="45">
        <v>8</v>
      </c>
      <c r="AF73" s="45">
        <v>2</v>
      </c>
      <c r="AG73" s="51"/>
      <c r="AH73" s="47">
        <f t="shared" si="2"/>
        <v>40</v>
      </c>
      <c r="AI73" s="48">
        <f t="shared" si="3"/>
        <v>-22</v>
      </c>
      <c r="AK73" s="50"/>
    </row>
    <row r="74" spans="1:40" x14ac:dyDescent="0.25">
      <c r="A74" s="53" t="s">
        <v>82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/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-326</v>
      </c>
      <c r="C75" s="64">
        <v>-310</v>
      </c>
      <c r="D75" s="64">
        <v>-287</v>
      </c>
      <c r="E75" s="64">
        <v>-377</v>
      </c>
      <c r="F75" s="64">
        <v>-395.7</v>
      </c>
      <c r="G75" s="64">
        <v>-405</v>
      </c>
      <c r="H75" s="64">
        <v>-433</v>
      </c>
      <c r="I75" s="64">
        <v>-447</v>
      </c>
      <c r="J75" s="64">
        <v>-434</v>
      </c>
      <c r="K75" s="64">
        <v>-453</v>
      </c>
      <c r="L75" s="64">
        <v>-399</v>
      </c>
      <c r="M75" s="64">
        <v>-300.60000000000002</v>
      </c>
      <c r="N75" s="64">
        <v>-269.60000000000002</v>
      </c>
      <c r="O75" s="64">
        <v>-220.9</v>
      </c>
      <c r="P75" s="64">
        <v>-172</v>
      </c>
      <c r="Q75" s="64">
        <v>-185.7</v>
      </c>
      <c r="R75" s="64">
        <v>-170</v>
      </c>
      <c r="S75" s="64">
        <v>-129</v>
      </c>
      <c r="T75" s="64">
        <v>-125</v>
      </c>
      <c r="U75" s="64">
        <v>-145.1</v>
      </c>
      <c r="V75" s="64">
        <v>-250</v>
      </c>
      <c r="W75" s="64">
        <v>-231</v>
      </c>
      <c r="X75" s="64">
        <v>-412.4</v>
      </c>
      <c r="Y75" s="64">
        <v>-364</v>
      </c>
      <c r="Z75" s="64">
        <v>-292</v>
      </c>
      <c r="AA75" s="64">
        <v>-280</v>
      </c>
      <c r="AB75" s="64">
        <v>-260</v>
      </c>
      <c r="AC75" s="64">
        <v>-270</v>
      </c>
      <c r="AD75" s="64">
        <v>-294</v>
      </c>
      <c r="AE75" s="64">
        <v>-276</v>
      </c>
      <c r="AF75" s="64">
        <v>-300</v>
      </c>
      <c r="AG75" s="74"/>
      <c r="AH75" s="47">
        <f t="shared" si="2"/>
        <v>-125</v>
      </c>
      <c r="AI75" s="48">
        <f t="shared" si="3"/>
        <v>-453</v>
      </c>
      <c r="AK75" s="50"/>
    </row>
    <row r="76" spans="1:40" x14ac:dyDescent="0.25">
      <c r="A76" s="53" t="s">
        <v>84</v>
      </c>
      <c r="B76" s="64">
        <v>0</v>
      </c>
      <c r="C76" s="64">
        <v>0</v>
      </c>
      <c r="D76" s="64">
        <v>0</v>
      </c>
      <c r="E76" s="75"/>
      <c r="F76" s="75"/>
      <c r="G76" s="75"/>
      <c r="H76" s="75"/>
      <c r="I76" s="75"/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5">
        <v>0</v>
      </c>
      <c r="P76" s="75">
        <v>0</v>
      </c>
      <c r="Q76" s="75">
        <v>0</v>
      </c>
      <c r="R76" s="75">
        <v>0</v>
      </c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64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>
        <v>0</v>
      </c>
      <c r="C77" s="45">
        <v>0</v>
      </c>
      <c r="D77" s="45">
        <v>0</v>
      </c>
      <c r="E77" s="45"/>
      <c r="F77" s="45"/>
      <c r="G77" s="45"/>
      <c r="H77" s="45"/>
      <c r="I77" s="45"/>
      <c r="J77" s="45"/>
      <c r="K77" s="45"/>
      <c r="L77" s="45"/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4"/>
      <c r="AH77" s="47">
        <f t="shared" ref="AH77:AH120" si="19">MAX(B77:AF77)</f>
        <v>0</v>
      </c>
      <c r="AI77" s="48">
        <f t="shared" ref="AI77:AI120" si="20">MIN(B77:AF77)</f>
        <v>0</v>
      </c>
      <c r="AK77" s="50"/>
    </row>
    <row r="78" spans="1:40" x14ac:dyDescent="0.25">
      <c r="A78" s="53" t="s">
        <v>86</v>
      </c>
      <c r="B78" s="45">
        <v>0</v>
      </c>
      <c r="C78" s="45">
        <v>0</v>
      </c>
      <c r="D78" s="45">
        <v>0</v>
      </c>
      <c r="E78" s="76"/>
      <c r="F78" s="76"/>
      <c r="G78" s="76"/>
      <c r="H78" s="76"/>
      <c r="I78" s="76"/>
      <c r="J78" s="76"/>
      <c r="K78" s="76"/>
      <c r="L78" s="76"/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4"/>
      <c r="AH78" s="47">
        <f t="shared" si="19"/>
        <v>0</v>
      </c>
      <c r="AI78" s="48">
        <f t="shared" si="20"/>
        <v>0</v>
      </c>
      <c r="AK78" s="50"/>
    </row>
    <row r="79" spans="1:40" ht="15.75" thickBot="1" x14ac:dyDescent="0.3">
      <c r="A79" s="53" t="s">
        <v>87</v>
      </c>
      <c r="B79" s="45">
        <v>0</v>
      </c>
      <c r="C79" s="45">
        <v>0</v>
      </c>
      <c r="D79" s="45">
        <v>0</v>
      </c>
      <c r="E79" s="76"/>
      <c r="F79" s="76"/>
      <c r="G79" s="76"/>
      <c r="H79" s="76"/>
      <c r="I79" s="76"/>
      <c r="J79" s="76"/>
      <c r="K79" s="76"/>
      <c r="L79" s="76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4"/>
      <c r="AH79" s="47">
        <f t="shared" si="19"/>
        <v>0</v>
      </c>
      <c r="AI79" s="48">
        <f t="shared" si="20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>
        <v>0</v>
      </c>
      <c r="C80" s="45">
        <v>0</v>
      </c>
      <c r="D80" s="45">
        <v>0</v>
      </c>
      <c r="E80" s="76"/>
      <c r="F80" s="76"/>
      <c r="G80" s="76"/>
      <c r="H80" s="76"/>
      <c r="I80" s="76"/>
      <c r="J80" s="76"/>
      <c r="K80" s="76"/>
      <c r="L80" s="76"/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4"/>
      <c r="AH80" s="47">
        <f t="shared" si="19"/>
        <v>0</v>
      </c>
      <c r="AI80" s="48">
        <f t="shared" si="20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>
        <v>0</v>
      </c>
      <c r="C81" s="45">
        <v>0</v>
      </c>
      <c r="D81" s="45">
        <v>0</v>
      </c>
      <c r="E81" s="76"/>
      <c r="F81" s="76"/>
      <c r="G81" s="76"/>
      <c r="H81" s="76"/>
      <c r="I81" s="76"/>
      <c r="J81" s="76"/>
      <c r="K81" s="76"/>
      <c r="L81" s="76"/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4"/>
      <c r="AH81" s="47">
        <f t="shared" si="19"/>
        <v>0</v>
      </c>
      <c r="AI81" s="48">
        <f t="shared" si="20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>
        <v>0</v>
      </c>
      <c r="C82" s="45">
        <v>0</v>
      </c>
      <c r="D82" s="45">
        <v>0</v>
      </c>
      <c r="E82" s="76"/>
      <c r="F82" s="76"/>
      <c r="G82" s="76"/>
      <c r="H82" s="76"/>
      <c r="I82" s="76"/>
      <c r="J82" s="76"/>
      <c r="K82" s="76"/>
      <c r="L82" s="76"/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84"/>
      <c r="AH82" s="47">
        <f t="shared" si="19"/>
        <v>0</v>
      </c>
      <c r="AI82" s="48">
        <f t="shared" si="20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>
        <v>0</v>
      </c>
      <c r="C83" s="45">
        <v>0</v>
      </c>
      <c r="D83" s="45">
        <v>0</v>
      </c>
      <c r="E83" s="76"/>
      <c r="F83" s="76"/>
      <c r="G83" s="76"/>
      <c r="H83" s="76"/>
      <c r="I83" s="76"/>
      <c r="J83" s="76"/>
      <c r="K83" s="76"/>
      <c r="L83" s="76"/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4"/>
      <c r="AH83" s="47">
        <f t="shared" si="19"/>
        <v>0</v>
      </c>
      <c r="AI83" s="48">
        <f t="shared" si="20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21">SUMIF(B73:B83,"&gt;0")</f>
        <v>3.6</v>
      </c>
      <c r="C84" s="60">
        <f t="shared" si="21"/>
        <v>11.4</v>
      </c>
      <c r="D84" s="60">
        <f t="shared" si="21"/>
        <v>22.4</v>
      </c>
      <c r="E84" s="60">
        <f t="shared" si="21"/>
        <v>11</v>
      </c>
      <c r="F84" s="60">
        <f t="shared" si="21"/>
        <v>0</v>
      </c>
      <c r="G84" s="60">
        <f t="shared" si="21"/>
        <v>0</v>
      </c>
      <c r="H84" s="60">
        <f t="shared" si="21"/>
        <v>0</v>
      </c>
      <c r="I84" s="60">
        <f t="shared" si="21"/>
        <v>0</v>
      </c>
      <c r="J84" s="60">
        <f t="shared" si="21"/>
        <v>0</v>
      </c>
      <c r="K84" s="60">
        <f t="shared" si="21"/>
        <v>0</v>
      </c>
      <c r="L84" s="60">
        <f t="shared" si="21"/>
        <v>0</v>
      </c>
      <c r="M84" s="60">
        <f t="shared" si="21"/>
        <v>0</v>
      </c>
      <c r="N84" s="60">
        <f t="shared" si="21"/>
        <v>0</v>
      </c>
      <c r="O84" s="60">
        <f t="shared" si="21"/>
        <v>0</v>
      </c>
      <c r="P84" s="60">
        <f t="shared" si="21"/>
        <v>0</v>
      </c>
      <c r="Q84" s="60">
        <f t="shared" si="21"/>
        <v>0</v>
      </c>
      <c r="R84" s="60">
        <f t="shared" ref="R84" si="22">SUMIF(R73:R83,"&gt;0")</f>
        <v>0</v>
      </c>
      <c r="S84" s="60">
        <f t="shared" si="21"/>
        <v>0</v>
      </c>
      <c r="T84" s="60">
        <f t="shared" si="21"/>
        <v>0</v>
      </c>
      <c r="U84" s="60">
        <f t="shared" si="21"/>
        <v>0</v>
      </c>
      <c r="V84" s="60">
        <f t="shared" si="21"/>
        <v>0</v>
      </c>
      <c r="W84" s="60">
        <f t="shared" si="21"/>
        <v>0</v>
      </c>
      <c r="X84" s="60">
        <f t="shared" si="21"/>
        <v>0</v>
      </c>
      <c r="Y84" s="60">
        <f t="shared" si="21"/>
        <v>0</v>
      </c>
      <c r="Z84" s="60">
        <f t="shared" si="21"/>
        <v>6.4</v>
      </c>
      <c r="AA84" s="60">
        <f t="shared" si="21"/>
        <v>36</v>
      </c>
      <c r="AB84" s="60">
        <f t="shared" si="21"/>
        <v>40</v>
      </c>
      <c r="AC84" s="60">
        <f t="shared" si="21"/>
        <v>40</v>
      </c>
      <c r="AD84" s="60">
        <f t="shared" si="21"/>
        <v>30</v>
      </c>
      <c r="AE84" s="60">
        <f t="shared" si="21"/>
        <v>8</v>
      </c>
      <c r="AF84" s="60">
        <f t="shared" si="21"/>
        <v>2</v>
      </c>
      <c r="AG84" s="87">
        <f>SUM(AG73:AG83)</f>
        <v>0</v>
      </c>
      <c r="AH84" s="47">
        <f t="shared" si="19"/>
        <v>40</v>
      </c>
      <c r="AI84" s="48">
        <f t="shared" si="20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19"/>
        <v>0</v>
      </c>
      <c r="AI85" s="48">
        <f t="shared" si="20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19"/>
        <v>0</v>
      </c>
      <c r="AI86" s="48">
        <f t="shared" si="20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19"/>
        <v>0</v>
      </c>
      <c r="AI87" s="48">
        <f t="shared" si="20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19"/>
        <v>0</v>
      </c>
      <c r="AI88" s="48">
        <f t="shared" si="20"/>
        <v>0</v>
      </c>
    </row>
    <row r="89" spans="1:40" ht="15.75" thickBot="1" x14ac:dyDescent="0.3">
      <c r="A89" s="73" t="s">
        <v>100</v>
      </c>
      <c r="B89" s="94">
        <f t="shared" ref="B89:AG89" si="23">B50+B54+B72+B68+B84+B88</f>
        <v>1972.04</v>
      </c>
      <c r="C89" s="94">
        <f t="shared" si="23"/>
        <v>1869.44</v>
      </c>
      <c r="D89" s="94">
        <f t="shared" si="23"/>
        <v>1850.44</v>
      </c>
      <c r="E89" s="94">
        <f t="shared" si="23"/>
        <v>1870.84</v>
      </c>
      <c r="F89" s="94">
        <f t="shared" si="23"/>
        <v>1860.34</v>
      </c>
      <c r="G89" s="94">
        <f t="shared" si="23"/>
        <v>1877.34</v>
      </c>
      <c r="H89" s="94">
        <f t="shared" si="23"/>
        <v>1866.64</v>
      </c>
      <c r="I89" s="94">
        <f t="shared" si="23"/>
        <v>1865.8400000000001</v>
      </c>
      <c r="J89" s="94">
        <f t="shared" si="23"/>
        <v>1860.14</v>
      </c>
      <c r="K89" s="94">
        <f t="shared" si="23"/>
        <v>1907.14</v>
      </c>
      <c r="L89" s="94">
        <f t="shared" si="23"/>
        <v>1908.04</v>
      </c>
      <c r="M89" s="94">
        <f t="shared" si="23"/>
        <v>1899.84</v>
      </c>
      <c r="N89" s="94">
        <f t="shared" si="23"/>
        <v>1832.34</v>
      </c>
      <c r="O89" s="94">
        <f t="shared" si="23"/>
        <v>1894.3400000000001</v>
      </c>
      <c r="P89" s="94">
        <f t="shared" si="23"/>
        <v>1845.44</v>
      </c>
      <c r="Q89" s="94">
        <f t="shared" si="23"/>
        <v>1867.3400000000001</v>
      </c>
      <c r="R89" s="94">
        <f t="shared" ref="R89" si="24">R50+R54+R72+R68+R84+R88</f>
        <v>1868.34</v>
      </c>
      <c r="S89" s="94">
        <f t="shared" si="23"/>
        <v>1867.1399999999999</v>
      </c>
      <c r="T89" s="94">
        <f t="shared" si="23"/>
        <v>1815.44</v>
      </c>
      <c r="U89" s="94">
        <f t="shared" si="23"/>
        <v>1821.8400000000001</v>
      </c>
      <c r="V89" s="94">
        <f t="shared" si="23"/>
        <v>1831.94</v>
      </c>
      <c r="W89" s="94">
        <f t="shared" si="23"/>
        <v>1830.8400000000001</v>
      </c>
      <c r="X89" s="94">
        <f t="shared" si="23"/>
        <v>1954.5400000000002</v>
      </c>
      <c r="Y89" s="94">
        <f t="shared" si="23"/>
        <v>1953.1400000000003</v>
      </c>
      <c r="Z89" s="94">
        <f t="shared" si="23"/>
        <v>2061.04</v>
      </c>
      <c r="AA89" s="94">
        <f t="shared" si="23"/>
        <v>2090.64</v>
      </c>
      <c r="AB89" s="94">
        <f t="shared" si="23"/>
        <v>2028.44</v>
      </c>
      <c r="AC89" s="94">
        <f t="shared" si="23"/>
        <v>2054.14</v>
      </c>
      <c r="AD89" s="94">
        <f t="shared" si="23"/>
        <v>2022.1399999999999</v>
      </c>
      <c r="AE89" s="94">
        <f t="shared" si="23"/>
        <v>2000.1399999999999</v>
      </c>
      <c r="AF89" s="94">
        <f t="shared" si="23"/>
        <v>1994.1399999999999</v>
      </c>
      <c r="AG89" s="61">
        <f t="shared" si="23"/>
        <v>2111.5500000000002</v>
      </c>
      <c r="AH89" s="47">
        <f t="shared" si="19"/>
        <v>2090.64</v>
      </c>
      <c r="AI89" s="48">
        <f t="shared" si="20"/>
        <v>1815.44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19"/>
        <v>0</v>
      </c>
      <c r="AI90" s="48">
        <f t="shared" si="20"/>
        <v>0</v>
      </c>
    </row>
    <row r="91" spans="1:40" ht="15.75" thickBot="1" x14ac:dyDescent="0.3">
      <c r="A91" s="73" t="s">
        <v>102</v>
      </c>
      <c r="B91" s="94">
        <f t="shared" ref="B91:AF91" si="25">B89+B90</f>
        <v>1972.04</v>
      </c>
      <c r="C91" s="94">
        <f t="shared" si="25"/>
        <v>1869.44</v>
      </c>
      <c r="D91" s="94">
        <f t="shared" si="25"/>
        <v>1850.44</v>
      </c>
      <c r="E91" s="94">
        <f t="shared" si="25"/>
        <v>1870.84</v>
      </c>
      <c r="F91" s="94">
        <f t="shared" si="25"/>
        <v>1860.34</v>
      </c>
      <c r="G91" s="94">
        <f t="shared" si="25"/>
        <v>1877.34</v>
      </c>
      <c r="H91" s="94">
        <f t="shared" si="25"/>
        <v>1866.64</v>
      </c>
      <c r="I91" s="94">
        <f t="shared" si="25"/>
        <v>1865.8400000000001</v>
      </c>
      <c r="J91" s="94">
        <f t="shared" si="25"/>
        <v>1860.14</v>
      </c>
      <c r="K91" s="94">
        <f t="shared" si="25"/>
        <v>1907.14</v>
      </c>
      <c r="L91" s="94">
        <f t="shared" si="25"/>
        <v>1908.04</v>
      </c>
      <c r="M91" s="94">
        <f t="shared" si="25"/>
        <v>1899.84</v>
      </c>
      <c r="N91" s="94">
        <f t="shared" si="25"/>
        <v>1832.34</v>
      </c>
      <c r="O91" s="94">
        <f t="shared" si="25"/>
        <v>1894.3400000000001</v>
      </c>
      <c r="P91" s="94">
        <f t="shared" si="25"/>
        <v>1845.44</v>
      </c>
      <c r="Q91" s="94">
        <f t="shared" si="25"/>
        <v>1867.3400000000001</v>
      </c>
      <c r="R91" s="94">
        <f t="shared" ref="R91" si="26">R89+R90</f>
        <v>1868.34</v>
      </c>
      <c r="S91" s="94">
        <f t="shared" si="25"/>
        <v>1867.1399999999999</v>
      </c>
      <c r="T91" s="94">
        <f t="shared" si="25"/>
        <v>1815.44</v>
      </c>
      <c r="U91" s="94">
        <f t="shared" si="25"/>
        <v>1821.8400000000001</v>
      </c>
      <c r="V91" s="94">
        <f t="shared" si="25"/>
        <v>1831.94</v>
      </c>
      <c r="W91" s="94">
        <f t="shared" si="25"/>
        <v>1830.8400000000001</v>
      </c>
      <c r="X91" s="94">
        <f t="shared" si="25"/>
        <v>1954.5400000000002</v>
      </c>
      <c r="Y91" s="94">
        <f t="shared" si="25"/>
        <v>1953.1400000000003</v>
      </c>
      <c r="Z91" s="94">
        <f t="shared" si="25"/>
        <v>2061.04</v>
      </c>
      <c r="AA91" s="94">
        <f t="shared" si="25"/>
        <v>2090.64</v>
      </c>
      <c r="AB91" s="94">
        <f t="shared" si="25"/>
        <v>2028.44</v>
      </c>
      <c r="AC91" s="94">
        <f t="shared" si="25"/>
        <v>2054.14</v>
      </c>
      <c r="AD91" s="94">
        <f t="shared" si="25"/>
        <v>2022.1399999999999</v>
      </c>
      <c r="AE91" s="94">
        <f t="shared" si="25"/>
        <v>2000.1399999999999</v>
      </c>
      <c r="AF91" s="94">
        <f t="shared" si="25"/>
        <v>1994.1399999999999</v>
      </c>
      <c r="AG91" s="87">
        <f>AG88+AG84+AG72+AG68+AG50+AG90</f>
        <v>1573.45</v>
      </c>
      <c r="AH91" s="47">
        <f t="shared" si="19"/>
        <v>2090.64</v>
      </c>
      <c r="AI91" s="48">
        <f t="shared" si="20"/>
        <v>1815.44</v>
      </c>
    </row>
    <row r="92" spans="1:40" ht="15.75" thickBot="1" x14ac:dyDescent="0.3">
      <c r="A92" s="73" t="s">
        <v>103</v>
      </c>
      <c r="B92" s="94">
        <f t="shared" ref="B92:AF92" si="27">B91-B99</f>
        <v>1972.04</v>
      </c>
      <c r="C92" s="94">
        <f t="shared" si="27"/>
        <v>1869.44</v>
      </c>
      <c r="D92" s="94">
        <f t="shared" si="27"/>
        <v>1850.44</v>
      </c>
      <c r="E92" s="94">
        <f t="shared" si="27"/>
        <v>1870.84</v>
      </c>
      <c r="F92" s="94">
        <f t="shared" si="27"/>
        <v>1860.34</v>
      </c>
      <c r="G92" s="94">
        <f t="shared" si="27"/>
        <v>1877.34</v>
      </c>
      <c r="H92" s="94">
        <f t="shared" si="27"/>
        <v>1866.64</v>
      </c>
      <c r="I92" s="94">
        <f t="shared" si="27"/>
        <v>1865.8400000000001</v>
      </c>
      <c r="J92" s="94">
        <f t="shared" si="27"/>
        <v>1860.14</v>
      </c>
      <c r="K92" s="94">
        <f t="shared" si="27"/>
        <v>1907.14</v>
      </c>
      <c r="L92" s="94">
        <f t="shared" si="27"/>
        <v>1908.04</v>
      </c>
      <c r="M92" s="94">
        <f t="shared" si="27"/>
        <v>1899.84</v>
      </c>
      <c r="N92" s="94">
        <f t="shared" si="27"/>
        <v>1832.34</v>
      </c>
      <c r="O92" s="94">
        <f t="shared" si="27"/>
        <v>1894.3400000000001</v>
      </c>
      <c r="P92" s="94">
        <f t="shared" si="27"/>
        <v>1845.44</v>
      </c>
      <c r="Q92" s="94">
        <f t="shared" si="27"/>
        <v>1867.3400000000001</v>
      </c>
      <c r="R92" s="94">
        <f t="shared" ref="R92" si="28">R91-R99</f>
        <v>1868.34</v>
      </c>
      <c r="S92" s="94">
        <f t="shared" si="27"/>
        <v>1867.1399999999999</v>
      </c>
      <c r="T92" s="94">
        <f t="shared" si="27"/>
        <v>1815.44</v>
      </c>
      <c r="U92" s="94">
        <f t="shared" si="27"/>
        <v>1821.8400000000001</v>
      </c>
      <c r="V92" s="94">
        <f t="shared" si="27"/>
        <v>1831.94</v>
      </c>
      <c r="W92" s="94">
        <f t="shared" si="27"/>
        <v>1830.8400000000001</v>
      </c>
      <c r="X92" s="94">
        <f t="shared" si="27"/>
        <v>1954.5400000000002</v>
      </c>
      <c r="Y92" s="94">
        <f t="shared" si="27"/>
        <v>1953.1400000000003</v>
      </c>
      <c r="Z92" s="94">
        <f t="shared" si="27"/>
        <v>2061.04</v>
      </c>
      <c r="AA92" s="94">
        <f t="shared" si="27"/>
        <v>2090.64</v>
      </c>
      <c r="AB92" s="94">
        <f t="shared" si="27"/>
        <v>2028.44</v>
      </c>
      <c r="AC92" s="94">
        <f t="shared" si="27"/>
        <v>2054.14</v>
      </c>
      <c r="AD92" s="94">
        <f t="shared" si="27"/>
        <v>2022.1399999999999</v>
      </c>
      <c r="AE92" s="94">
        <f t="shared" si="27"/>
        <v>2000.1399999999999</v>
      </c>
      <c r="AF92" s="94">
        <f t="shared" si="27"/>
        <v>1994.1399999999999</v>
      </c>
      <c r="AG92" s="87"/>
      <c r="AH92" s="47">
        <f t="shared" si="19"/>
        <v>2090.64</v>
      </c>
      <c r="AI92" s="48">
        <f t="shared" si="20"/>
        <v>1815.44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19"/>
        <v>0</v>
      </c>
      <c r="AI93" s="48">
        <f t="shared" si="20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19"/>
        <v>0</v>
      </c>
      <c r="AI94" s="48">
        <f t="shared" si="20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19"/>
        <v>0</v>
      </c>
      <c r="AI95" s="48">
        <f t="shared" si="20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19"/>
        <v>0</v>
      </c>
      <c r="AI96" s="48">
        <f t="shared" si="20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19"/>
        <v>0</v>
      </c>
      <c r="AI97" s="48">
        <f t="shared" si="20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19"/>
        <v>0</v>
      </c>
      <c r="AI98" s="48">
        <f t="shared" si="20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19"/>
        <v>0</v>
      </c>
      <c r="AI99" s="48">
        <f t="shared" si="20"/>
        <v>0</v>
      </c>
      <c r="AK99" s="50"/>
    </row>
    <row r="100" spans="1:37" ht="15.75" thickBot="1" x14ac:dyDescent="0.3">
      <c r="A100" s="73" t="s">
        <v>108</v>
      </c>
      <c r="B100" s="60">
        <f t="shared" ref="B100:AF100" si="29">B84-B99</f>
        <v>3.6</v>
      </c>
      <c r="C100" s="60">
        <f t="shared" si="29"/>
        <v>11.4</v>
      </c>
      <c r="D100" s="60">
        <f t="shared" si="29"/>
        <v>22.4</v>
      </c>
      <c r="E100" s="60">
        <f t="shared" si="29"/>
        <v>11</v>
      </c>
      <c r="F100" s="60">
        <f t="shared" si="29"/>
        <v>0</v>
      </c>
      <c r="G100" s="60">
        <f t="shared" si="29"/>
        <v>0</v>
      </c>
      <c r="H100" s="60">
        <f t="shared" si="29"/>
        <v>0</v>
      </c>
      <c r="I100" s="60">
        <f t="shared" si="29"/>
        <v>0</v>
      </c>
      <c r="J100" s="60">
        <f t="shared" si="29"/>
        <v>0</v>
      </c>
      <c r="K100" s="60">
        <f t="shared" si="29"/>
        <v>0</v>
      </c>
      <c r="L100" s="60">
        <f t="shared" si="29"/>
        <v>0</v>
      </c>
      <c r="M100" s="60">
        <f t="shared" si="29"/>
        <v>0</v>
      </c>
      <c r="N100" s="60">
        <f t="shared" si="29"/>
        <v>0</v>
      </c>
      <c r="O100" s="60">
        <f t="shared" si="29"/>
        <v>0</v>
      </c>
      <c r="P100" s="60">
        <f t="shared" si="29"/>
        <v>0</v>
      </c>
      <c r="Q100" s="60">
        <f t="shared" si="29"/>
        <v>0</v>
      </c>
      <c r="R100" s="60">
        <f t="shared" ref="R100" si="30">R84-R99</f>
        <v>0</v>
      </c>
      <c r="S100" s="60">
        <f t="shared" si="29"/>
        <v>0</v>
      </c>
      <c r="T100" s="60">
        <f t="shared" si="29"/>
        <v>0</v>
      </c>
      <c r="U100" s="60">
        <f t="shared" si="29"/>
        <v>0</v>
      </c>
      <c r="V100" s="60">
        <f t="shared" si="29"/>
        <v>0</v>
      </c>
      <c r="W100" s="60">
        <f t="shared" si="29"/>
        <v>0</v>
      </c>
      <c r="X100" s="60">
        <f t="shared" si="29"/>
        <v>0</v>
      </c>
      <c r="Y100" s="60">
        <f t="shared" si="29"/>
        <v>0</v>
      </c>
      <c r="Z100" s="60">
        <f t="shared" si="29"/>
        <v>6.4</v>
      </c>
      <c r="AA100" s="60">
        <f t="shared" si="29"/>
        <v>36</v>
      </c>
      <c r="AB100" s="60">
        <f t="shared" si="29"/>
        <v>40</v>
      </c>
      <c r="AC100" s="60">
        <f t="shared" si="29"/>
        <v>40</v>
      </c>
      <c r="AD100" s="60">
        <f t="shared" si="29"/>
        <v>30</v>
      </c>
      <c r="AE100" s="60">
        <f t="shared" si="29"/>
        <v>8</v>
      </c>
      <c r="AF100" s="60">
        <f t="shared" si="29"/>
        <v>2</v>
      </c>
      <c r="AG100" s="87"/>
      <c r="AH100" s="47">
        <f t="shared" si="19"/>
        <v>40</v>
      </c>
      <c r="AI100" s="48">
        <f t="shared" si="20"/>
        <v>0</v>
      </c>
    </row>
    <row r="101" spans="1:37" x14ac:dyDescent="0.25">
      <c r="A101" s="99" t="s">
        <v>109</v>
      </c>
      <c r="B101" s="100">
        <v>50.091999999999999</v>
      </c>
      <c r="C101" s="100">
        <v>50.055</v>
      </c>
      <c r="D101" s="100">
        <v>50.008000000000003</v>
      </c>
      <c r="E101" s="100">
        <v>50.05</v>
      </c>
      <c r="F101" s="100">
        <v>50.015999999999998</v>
      </c>
      <c r="G101" s="100">
        <v>49.985999999999997</v>
      </c>
      <c r="H101" s="100">
        <v>49.985999999999997</v>
      </c>
      <c r="I101" s="100">
        <v>49.948999999999998</v>
      </c>
      <c r="J101" s="100">
        <v>50.015000000000001</v>
      </c>
      <c r="K101" s="100">
        <v>50.005000000000003</v>
      </c>
      <c r="L101" s="100">
        <v>49.994999999999997</v>
      </c>
      <c r="M101" s="100">
        <v>49.875</v>
      </c>
      <c r="N101" s="100">
        <v>50.033999999999999</v>
      </c>
      <c r="O101" s="100">
        <v>50.070999999999998</v>
      </c>
      <c r="P101" s="100">
        <v>50.061</v>
      </c>
      <c r="Q101" s="100">
        <v>50.057000000000002</v>
      </c>
      <c r="R101" s="100">
        <v>50.064999999999998</v>
      </c>
      <c r="S101" s="100">
        <v>50.033000000000001</v>
      </c>
      <c r="T101" s="100">
        <v>50.07</v>
      </c>
      <c r="U101" s="100">
        <v>49.948</v>
      </c>
      <c r="V101" s="100">
        <v>49.96</v>
      </c>
      <c r="W101" s="100">
        <v>50</v>
      </c>
      <c r="X101" s="100">
        <v>49.984999999999999</v>
      </c>
      <c r="Y101" s="100">
        <v>49.994</v>
      </c>
      <c r="Z101" s="100">
        <v>50.055999999999997</v>
      </c>
      <c r="AA101" s="100">
        <v>50.055999999999997</v>
      </c>
      <c r="AB101" s="100">
        <v>50.06</v>
      </c>
      <c r="AC101" s="100">
        <v>50.06</v>
      </c>
      <c r="AD101" s="100">
        <v>50.07</v>
      </c>
      <c r="AE101" s="100">
        <v>50.02</v>
      </c>
      <c r="AF101" s="100">
        <v>50.05</v>
      </c>
      <c r="AG101" s="101"/>
      <c r="AH101" s="47">
        <f t="shared" si="19"/>
        <v>50.091999999999999</v>
      </c>
      <c r="AI101" s="48">
        <f t="shared" si="20"/>
        <v>49.875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19"/>
        <v>0</v>
      </c>
      <c r="AI102" s="48">
        <f t="shared" si="20"/>
        <v>0</v>
      </c>
    </row>
    <row r="103" spans="1:37" x14ac:dyDescent="0.25">
      <c r="A103" s="102" t="s">
        <v>111</v>
      </c>
      <c r="B103" s="64">
        <v>129.6</v>
      </c>
      <c r="C103" s="64">
        <v>130</v>
      </c>
      <c r="D103" s="64">
        <v>129.6</v>
      </c>
      <c r="E103" s="64">
        <v>130.30000000000001</v>
      </c>
      <c r="F103" s="64">
        <v>130.9</v>
      </c>
      <c r="G103" s="64">
        <v>130.9</v>
      </c>
      <c r="H103" s="64">
        <v>130.9</v>
      </c>
      <c r="I103" s="64">
        <v>127.6</v>
      </c>
      <c r="J103" s="64">
        <v>126.3</v>
      </c>
      <c r="K103" s="64">
        <v>126.2</v>
      </c>
      <c r="L103" s="64">
        <v>124.1</v>
      </c>
      <c r="M103" s="64">
        <v>125.4</v>
      </c>
      <c r="N103" s="64">
        <v>124.1</v>
      </c>
      <c r="O103" s="64">
        <v>125.1</v>
      </c>
      <c r="P103" s="64">
        <v>123.5</v>
      </c>
      <c r="Q103" s="64">
        <v>123.7</v>
      </c>
      <c r="R103" s="64">
        <v>126.8</v>
      </c>
      <c r="S103" s="64">
        <v>125.8</v>
      </c>
      <c r="T103" s="64">
        <v>126.4</v>
      </c>
      <c r="U103" s="64">
        <v>126.5</v>
      </c>
      <c r="V103" s="64">
        <v>127.5</v>
      </c>
      <c r="W103" s="64">
        <v>128</v>
      </c>
      <c r="X103" s="64">
        <v>128.19999999999999</v>
      </c>
      <c r="Y103" s="64">
        <v>126.7</v>
      </c>
      <c r="Z103" s="64">
        <v>124.9</v>
      </c>
      <c r="AA103" s="64">
        <v>124.9</v>
      </c>
      <c r="AB103" s="64">
        <v>128.80000000000001</v>
      </c>
      <c r="AC103" s="64">
        <v>128.80000000000001</v>
      </c>
      <c r="AD103" s="64">
        <v>128.80000000000001</v>
      </c>
      <c r="AE103" s="64">
        <v>128.80000000000001</v>
      </c>
      <c r="AF103" s="64">
        <v>128.30000000000001</v>
      </c>
      <c r="AG103" s="103"/>
      <c r="AH103" s="47">
        <f t="shared" si="19"/>
        <v>130.9</v>
      </c>
      <c r="AI103" s="48">
        <f t="shared" si="20"/>
        <v>123.5</v>
      </c>
    </row>
    <row r="104" spans="1:37" x14ac:dyDescent="0.25">
      <c r="A104" s="102" t="s">
        <v>112</v>
      </c>
      <c r="B104" s="64">
        <v>130</v>
      </c>
      <c r="C104" s="64">
        <v>128.69999999999999</v>
      </c>
      <c r="D104" s="64">
        <v>130.9</v>
      </c>
      <c r="E104" s="64">
        <v>131.5</v>
      </c>
      <c r="F104" s="64">
        <v>131.80000000000001</v>
      </c>
      <c r="G104" s="64">
        <v>131.80000000000001</v>
      </c>
      <c r="H104" s="64">
        <v>131.80000000000001</v>
      </c>
      <c r="I104" s="64">
        <v>131.19999999999999</v>
      </c>
      <c r="J104" s="64">
        <v>128</v>
      </c>
      <c r="K104" s="64">
        <v>129.69999999999999</v>
      </c>
      <c r="L104" s="64">
        <v>128.6</v>
      </c>
      <c r="M104" s="64">
        <v>127.7</v>
      </c>
      <c r="N104" s="64">
        <v>127.7</v>
      </c>
      <c r="O104" s="64">
        <v>129.30000000000001</v>
      </c>
      <c r="P104" s="64">
        <v>127.9</v>
      </c>
      <c r="Q104" s="64">
        <v>129</v>
      </c>
      <c r="R104" s="64">
        <v>125</v>
      </c>
      <c r="S104" s="64">
        <v>124.7</v>
      </c>
      <c r="T104" s="64">
        <v>130</v>
      </c>
      <c r="U104" s="64">
        <v>126.2</v>
      </c>
      <c r="V104" s="64">
        <v>128.4</v>
      </c>
      <c r="W104" s="64">
        <v>128</v>
      </c>
      <c r="X104" s="64">
        <v>128.6</v>
      </c>
      <c r="Y104" s="64">
        <v>125.5</v>
      </c>
      <c r="Z104" s="64">
        <v>127.3</v>
      </c>
      <c r="AA104" s="64">
        <v>127.3</v>
      </c>
      <c r="AB104" s="64">
        <v>125.8</v>
      </c>
      <c r="AC104" s="64">
        <v>125.8</v>
      </c>
      <c r="AD104" s="64">
        <v>125.8</v>
      </c>
      <c r="AE104" s="64">
        <v>125.8</v>
      </c>
      <c r="AF104" s="64">
        <v>130.5</v>
      </c>
      <c r="AG104" s="103"/>
      <c r="AH104" s="47">
        <f t="shared" si="19"/>
        <v>131.80000000000001</v>
      </c>
      <c r="AI104" s="48">
        <f t="shared" si="20"/>
        <v>124.7</v>
      </c>
    </row>
    <row r="105" spans="1:37" x14ac:dyDescent="0.25">
      <c r="A105" s="104" t="s">
        <v>113</v>
      </c>
      <c r="B105" s="64">
        <v>133.30000000000001</v>
      </c>
      <c r="C105" s="64">
        <v>131.80000000000001</v>
      </c>
      <c r="D105" s="64">
        <v>133.4</v>
      </c>
      <c r="E105" s="64">
        <v>132</v>
      </c>
      <c r="F105" s="64">
        <v>133.80000000000001</v>
      </c>
      <c r="G105" s="64">
        <v>133.80000000000001</v>
      </c>
      <c r="H105" s="64">
        <v>133.80000000000001</v>
      </c>
      <c r="I105" s="64">
        <v>133.1</v>
      </c>
      <c r="J105" s="64">
        <v>129.9</v>
      </c>
      <c r="K105" s="64">
        <v>131.19999999999999</v>
      </c>
      <c r="L105" s="64">
        <v>128.9</v>
      </c>
      <c r="M105" s="64">
        <v>127.8</v>
      </c>
      <c r="N105" s="64">
        <v>128.69999999999999</v>
      </c>
      <c r="O105" s="64">
        <v>130.6</v>
      </c>
      <c r="P105" s="64">
        <v>128.5</v>
      </c>
      <c r="Q105" s="64">
        <v>130.4</v>
      </c>
      <c r="R105" s="64">
        <v>126.5</v>
      </c>
      <c r="S105" s="64">
        <v>125</v>
      </c>
      <c r="T105" s="64">
        <v>130</v>
      </c>
      <c r="U105" s="64">
        <v>128.19999999999999</v>
      </c>
      <c r="V105" s="64">
        <v>130.19999999999999</v>
      </c>
      <c r="W105" s="64">
        <v>129</v>
      </c>
      <c r="X105" s="64">
        <v>130.69999999999999</v>
      </c>
      <c r="Y105" s="64">
        <v>126.6</v>
      </c>
      <c r="Z105" s="64">
        <v>127.6</v>
      </c>
      <c r="AA105" s="64">
        <v>127.6</v>
      </c>
      <c r="AB105" s="64">
        <v>128.69999999999999</v>
      </c>
      <c r="AC105" s="64">
        <v>128.69999999999999</v>
      </c>
      <c r="AD105" s="64">
        <v>128.69999999999999</v>
      </c>
      <c r="AE105" s="64">
        <v>128.69999999999999</v>
      </c>
      <c r="AF105" s="64">
        <v>132.30000000000001</v>
      </c>
      <c r="AG105" s="103"/>
      <c r="AH105" s="47">
        <f t="shared" si="19"/>
        <v>133.80000000000001</v>
      </c>
      <c r="AI105" s="48">
        <f t="shared" si="20"/>
        <v>125</v>
      </c>
    </row>
    <row r="106" spans="1:37" x14ac:dyDescent="0.25">
      <c r="A106" s="104" t="s">
        <v>114</v>
      </c>
      <c r="B106" s="105">
        <v>130.6</v>
      </c>
      <c r="C106" s="105">
        <v>130.5</v>
      </c>
      <c r="D106" s="105">
        <v>130.6</v>
      </c>
      <c r="E106" s="105">
        <v>131.6</v>
      </c>
      <c r="F106" s="105">
        <v>133.1</v>
      </c>
      <c r="G106" s="105">
        <v>133.1</v>
      </c>
      <c r="H106" s="105">
        <v>133.1</v>
      </c>
      <c r="I106" s="105">
        <v>132.19999999999999</v>
      </c>
      <c r="J106" s="105">
        <v>130.9</v>
      </c>
      <c r="K106" s="105">
        <v>130.6</v>
      </c>
      <c r="L106" s="105">
        <v>129.6</v>
      </c>
      <c r="M106" s="105">
        <v>131.9</v>
      </c>
      <c r="N106" s="105">
        <v>129.4</v>
      </c>
      <c r="O106" s="105">
        <v>131.69999999999999</v>
      </c>
      <c r="P106" s="105">
        <v>131.30000000000001</v>
      </c>
      <c r="Q106" s="105">
        <v>130.9</v>
      </c>
      <c r="R106" s="105">
        <v>132.6</v>
      </c>
      <c r="S106" s="105">
        <v>131.5</v>
      </c>
      <c r="T106" s="105">
        <v>133</v>
      </c>
      <c r="U106" s="105">
        <v>131.5</v>
      </c>
      <c r="V106" s="105">
        <v>130.9</v>
      </c>
      <c r="W106" s="105">
        <v>132</v>
      </c>
      <c r="X106" s="105">
        <v>131.19999999999999</v>
      </c>
      <c r="Y106" s="105">
        <v>131.80000000000001</v>
      </c>
      <c r="Z106" s="105">
        <v>131.69999999999999</v>
      </c>
      <c r="AA106" s="105">
        <v>131.69999999999999</v>
      </c>
      <c r="AB106" s="105">
        <v>133</v>
      </c>
      <c r="AC106" s="105">
        <v>133</v>
      </c>
      <c r="AD106" s="105">
        <v>133</v>
      </c>
      <c r="AE106" s="105">
        <v>133</v>
      </c>
      <c r="AF106" s="105">
        <v>131.6</v>
      </c>
      <c r="AG106" s="106"/>
      <c r="AH106" s="47">
        <f t="shared" si="19"/>
        <v>133.1</v>
      </c>
      <c r="AI106" s="48">
        <f t="shared" si="20"/>
        <v>129.4</v>
      </c>
    </row>
    <row r="107" spans="1:37" x14ac:dyDescent="0.25">
      <c r="A107" s="102" t="s">
        <v>115</v>
      </c>
      <c r="B107" s="64">
        <v>128.80000000000001</v>
      </c>
      <c r="C107" s="64">
        <v>132.30000000000001</v>
      </c>
      <c r="D107" s="64">
        <v>130</v>
      </c>
      <c r="E107" s="64">
        <v>130.9</v>
      </c>
      <c r="F107" s="64">
        <v>133.19999999999999</v>
      </c>
      <c r="G107" s="64">
        <v>133.19999999999999</v>
      </c>
      <c r="H107" s="64">
        <v>133.19999999999999</v>
      </c>
      <c r="I107" s="64">
        <v>134.5</v>
      </c>
      <c r="J107" s="64">
        <v>132.4</v>
      </c>
      <c r="K107" s="64">
        <v>137.9</v>
      </c>
      <c r="L107" s="64">
        <v>133.6</v>
      </c>
      <c r="M107" s="64">
        <v>126.6</v>
      </c>
      <c r="N107" s="64">
        <v>130.19999999999999</v>
      </c>
      <c r="O107" s="64">
        <v>132.9</v>
      </c>
      <c r="P107" s="64">
        <v>127.6</v>
      </c>
      <c r="Q107" s="64">
        <v>133</v>
      </c>
      <c r="R107" s="64">
        <v>136.5</v>
      </c>
      <c r="S107" s="64">
        <v>130.1</v>
      </c>
      <c r="T107" s="64">
        <v>128.1</v>
      </c>
      <c r="U107" s="64">
        <v>131.69999999999999</v>
      </c>
      <c r="V107" s="64">
        <v>135.5</v>
      </c>
      <c r="W107" s="64">
        <v>129</v>
      </c>
      <c r="X107" s="64">
        <v>131.80000000000001</v>
      </c>
      <c r="Y107" s="64">
        <v>131.69999999999999</v>
      </c>
      <c r="Z107" s="64">
        <v>129.69999999999999</v>
      </c>
      <c r="AA107" s="64">
        <v>129.69999999999999</v>
      </c>
      <c r="AB107" s="64">
        <v>129.6</v>
      </c>
      <c r="AC107" s="64">
        <v>129.6</v>
      </c>
      <c r="AD107" s="64">
        <v>129.6</v>
      </c>
      <c r="AE107" s="64">
        <v>129.6</v>
      </c>
      <c r="AF107" s="64">
        <v>131</v>
      </c>
      <c r="AG107" s="103"/>
      <c r="AH107" s="47">
        <f t="shared" si="19"/>
        <v>137.9</v>
      </c>
      <c r="AI107" s="48">
        <f t="shared" si="20"/>
        <v>126.6</v>
      </c>
    </row>
    <row r="108" spans="1:37" ht="15.75" thickBot="1" x14ac:dyDescent="0.3">
      <c r="A108" s="102" t="s">
        <v>116</v>
      </c>
      <c r="B108" s="91">
        <v>65.3</v>
      </c>
      <c r="C108" s="91">
        <v>65.5</v>
      </c>
      <c r="D108" s="91">
        <v>65.400000000000006</v>
      </c>
      <c r="E108" s="91">
        <v>65.900000000000006</v>
      </c>
      <c r="F108" s="91">
        <v>66.099999999999994</v>
      </c>
      <c r="G108" s="91">
        <v>66.099999999999994</v>
      </c>
      <c r="H108" s="91">
        <v>66.099999999999994</v>
      </c>
      <c r="I108" s="91">
        <v>64.400000000000006</v>
      </c>
      <c r="J108" s="91">
        <v>63.9</v>
      </c>
      <c r="K108" s="91">
        <v>64</v>
      </c>
      <c r="L108" s="91">
        <v>62.8</v>
      </c>
      <c r="M108" s="91">
        <v>63.1</v>
      </c>
      <c r="N108" s="91">
        <v>62.9</v>
      </c>
      <c r="O108" s="91">
        <v>62.5</v>
      </c>
      <c r="P108" s="91">
        <v>61.7</v>
      </c>
      <c r="Q108" s="91">
        <v>62.2</v>
      </c>
      <c r="R108" s="91">
        <v>63.3</v>
      </c>
      <c r="S108" s="91">
        <v>62.7</v>
      </c>
      <c r="T108" s="91">
        <v>63.1</v>
      </c>
      <c r="U108" s="91">
        <v>63.3</v>
      </c>
      <c r="V108" s="91">
        <v>64</v>
      </c>
      <c r="W108" s="91">
        <v>64.2</v>
      </c>
      <c r="X108" s="91">
        <v>64.599999999999994</v>
      </c>
      <c r="Y108" s="91">
        <v>63.4</v>
      </c>
      <c r="Z108" s="91">
        <v>62.8</v>
      </c>
      <c r="AA108" s="91">
        <v>62.8</v>
      </c>
      <c r="AB108" s="91">
        <v>64.900000000000006</v>
      </c>
      <c r="AC108" s="91">
        <v>64.900000000000006</v>
      </c>
      <c r="AD108" s="91">
        <v>64.900000000000006</v>
      </c>
      <c r="AE108" s="91">
        <v>64.900000000000006</v>
      </c>
      <c r="AF108" s="91">
        <v>64.400000000000006</v>
      </c>
      <c r="AG108" s="107"/>
      <c r="AH108" s="47">
        <f t="shared" si="19"/>
        <v>66.099999999999994</v>
      </c>
      <c r="AI108" s="48">
        <f t="shared" si="20"/>
        <v>61.7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19"/>
        <v>0</v>
      </c>
      <c r="AI109" s="48">
        <f t="shared" si="20"/>
        <v>0</v>
      </c>
    </row>
    <row r="110" spans="1:37" ht="15.75" thickBot="1" x14ac:dyDescent="0.3">
      <c r="A110" s="109" t="s">
        <v>118</v>
      </c>
      <c r="B110" s="110">
        <f t="shared" ref="B110:O110" si="31">SUM(B20,B26,B29:B30,B58,B60:B61,B63,B65,B111:B115,B138,B144,B150,B159,B161,B173,B180,B183:B184,B191,B193,B195,B199:B201,B203:B205,B210,B216:B217,B219:B221,B229,B234)</f>
        <v>70.400000000000006</v>
      </c>
      <c r="C110" s="110">
        <f t="shared" si="31"/>
        <v>64.64</v>
      </c>
      <c r="D110" s="110">
        <f t="shared" si="31"/>
        <v>54.54</v>
      </c>
      <c r="E110" s="110">
        <f t="shared" si="31"/>
        <v>52.539999999999971</v>
      </c>
      <c r="F110" s="110">
        <f t="shared" si="31"/>
        <v>51.140000000000015</v>
      </c>
      <c r="G110" s="110">
        <f t="shared" si="31"/>
        <v>62.44</v>
      </c>
      <c r="H110" s="110">
        <f t="shared" si="31"/>
        <v>91.84</v>
      </c>
      <c r="I110" s="110">
        <f t="shared" si="31"/>
        <v>135.98999999999998</v>
      </c>
      <c r="J110" s="110">
        <f t="shared" si="31"/>
        <v>124.03999999999999</v>
      </c>
      <c r="K110" s="110">
        <f t="shared" si="31"/>
        <v>191.34</v>
      </c>
      <c r="L110" s="110">
        <f t="shared" si="31"/>
        <v>205.04</v>
      </c>
      <c r="M110" s="110">
        <f t="shared" si="31"/>
        <v>207.84000000000003</v>
      </c>
      <c r="N110" s="110">
        <f t="shared" si="31"/>
        <v>200.74</v>
      </c>
      <c r="O110" s="110">
        <f t="shared" si="31"/>
        <v>250.93999999999997</v>
      </c>
      <c r="P110" s="110">
        <v>42</v>
      </c>
      <c r="Q110" s="110">
        <f t="shared" ref="Q110:AF110" si="32">SUM(Q20,Q26,Q29:Q30,Q58,Q60:Q61,Q63,Q65,Q111:Q115,Q138,Q144,Q150,Q159,Q161,Q173,Q180,Q183:Q184,Q191,Q193,Q195,Q199:Q201,Q203:Q205,Q210,Q216:Q217,Q219:Q221,Q229,Q234)</f>
        <v>231.9</v>
      </c>
      <c r="R110" s="110">
        <f t="shared" ref="R110" si="33">SUM(R20,R26,R29:R30,R58,R60:R61,R63,R65,R111:R115,R138,R144,R150,R159,R161,R173,R180,R183:R184,R191,R193,R195,R199:R201,R203:R205,R210,R216:R217,R219:R221,R229,R234)</f>
        <v>214.60000000000002</v>
      </c>
      <c r="S110" s="110">
        <f t="shared" si="32"/>
        <v>224.2</v>
      </c>
      <c r="T110" s="110">
        <f t="shared" si="32"/>
        <v>222.40000000000003</v>
      </c>
      <c r="U110" s="110">
        <f t="shared" si="32"/>
        <v>229.19999999999996</v>
      </c>
      <c r="V110" s="110">
        <f t="shared" si="32"/>
        <v>218</v>
      </c>
      <c r="W110" s="110">
        <f t="shared" si="32"/>
        <v>229.60000000000002</v>
      </c>
      <c r="X110" s="110">
        <f t="shared" si="32"/>
        <v>209.3</v>
      </c>
      <c r="Y110" s="110">
        <f t="shared" si="32"/>
        <v>237.3</v>
      </c>
      <c r="Z110" s="110">
        <f t="shared" si="32"/>
        <v>293.8</v>
      </c>
      <c r="AA110" s="110">
        <f t="shared" si="32"/>
        <v>153.4</v>
      </c>
      <c r="AB110" s="110">
        <f t="shared" si="32"/>
        <v>257.39999999999998</v>
      </c>
      <c r="AC110" s="110">
        <f t="shared" si="32"/>
        <v>229.39999999999998</v>
      </c>
      <c r="AD110" s="110"/>
      <c r="AE110" s="110">
        <f t="shared" si="32"/>
        <v>158.39999999999998</v>
      </c>
      <c r="AF110" s="110">
        <f t="shared" si="32"/>
        <v>106.39999999999998</v>
      </c>
      <c r="AG110" s="111"/>
      <c r="AH110" s="47">
        <f t="shared" si="19"/>
        <v>293.8</v>
      </c>
      <c r="AI110" s="48">
        <f t="shared" si="20"/>
        <v>42</v>
      </c>
    </row>
    <row r="111" spans="1:37" x14ac:dyDescent="0.25">
      <c r="A111" s="99" t="s">
        <v>119</v>
      </c>
      <c r="B111" s="112">
        <v>20.5</v>
      </c>
      <c r="C111" s="112">
        <v>18.100000000000001</v>
      </c>
      <c r="D111" s="112">
        <v>19.899999999999999</v>
      </c>
      <c r="E111" s="112">
        <v>18</v>
      </c>
      <c r="F111" s="112">
        <v>15.4</v>
      </c>
      <c r="G111" s="112">
        <v>25.8</v>
      </c>
      <c r="H111" s="112">
        <v>31</v>
      </c>
      <c r="I111" s="112">
        <v>40.5</v>
      </c>
      <c r="J111" s="112">
        <v>43</v>
      </c>
      <c r="K111" s="112">
        <v>49.6</v>
      </c>
      <c r="L111" s="112">
        <v>54.6</v>
      </c>
      <c r="M111" s="112">
        <v>49.6</v>
      </c>
      <c r="N111" s="112">
        <v>50.1</v>
      </c>
      <c r="O111" s="112">
        <v>45.5</v>
      </c>
      <c r="P111" s="112">
        <v>64.599999999999994</v>
      </c>
      <c r="Q111" s="112">
        <v>71.7</v>
      </c>
      <c r="R111" s="112">
        <v>42.5</v>
      </c>
      <c r="S111" s="112">
        <v>42.7</v>
      </c>
      <c r="T111" s="112">
        <v>47.8</v>
      </c>
      <c r="U111" s="112">
        <v>42.9</v>
      </c>
      <c r="V111" s="112">
        <v>42.6</v>
      </c>
      <c r="W111" s="112">
        <v>44</v>
      </c>
      <c r="X111" s="112">
        <v>44.1</v>
      </c>
      <c r="Y111" s="112">
        <v>51.2</v>
      </c>
      <c r="Z111" s="112">
        <v>73.2</v>
      </c>
      <c r="AA111" s="112"/>
      <c r="AB111" s="112">
        <v>95</v>
      </c>
      <c r="AC111" s="112">
        <v>92</v>
      </c>
      <c r="AD111" s="112">
        <v>90</v>
      </c>
      <c r="AE111" s="112">
        <v>70</v>
      </c>
      <c r="AF111" s="112">
        <v>70</v>
      </c>
      <c r="AG111" s="113">
        <v>75</v>
      </c>
      <c r="AH111" s="47">
        <f t="shared" si="19"/>
        <v>95</v>
      </c>
      <c r="AI111" s="48">
        <f t="shared" si="20"/>
        <v>15.4</v>
      </c>
    </row>
    <row r="112" spans="1:37" x14ac:dyDescent="0.25">
      <c r="A112" s="102" t="s">
        <v>120</v>
      </c>
      <c r="B112" s="114">
        <v>33.700000000000003</v>
      </c>
      <c r="C112" s="114">
        <v>31.4</v>
      </c>
      <c r="D112" s="114">
        <v>33.6</v>
      </c>
      <c r="E112" s="114">
        <v>29.6</v>
      </c>
      <c r="F112" s="114">
        <v>27.3</v>
      </c>
      <c r="G112" s="114">
        <v>38.9</v>
      </c>
      <c r="H112" s="114">
        <v>47.4</v>
      </c>
      <c r="I112" s="114">
        <v>59.2</v>
      </c>
      <c r="J112" s="114">
        <v>61.6</v>
      </c>
      <c r="K112" s="114">
        <v>72</v>
      </c>
      <c r="L112" s="114">
        <v>76</v>
      </c>
      <c r="M112" s="114">
        <v>65.2</v>
      </c>
      <c r="N112" s="114">
        <v>66.400000000000006</v>
      </c>
      <c r="O112" s="114">
        <v>58.5</v>
      </c>
      <c r="P112" s="114">
        <v>85.4</v>
      </c>
      <c r="Q112" s="114">
        <v>95.8</v>
      </c>
      <c r="R112" s="114">
        <v>46</v>
      </c>
      <c r="S112" s="114">
        <v>56.7</v>
      </c>
      <c r="T112" s="114">
        <v>64.900000000000006</v>
      </c>
      <c r="U112" s="114">
        <v>55.8</v>
      </c>
      <c r="V112" s="114">
        <v>54</v>
      </c>
      <c r="W112" s="114">
        <v>57</v>
      </c>
      <c r="X112" s="114">
        <v>64.7</v>
      </c>
      <c r="Y112" s="114">
        <v>73.7</v>
      </c>
      <c r="Z112" s="114">
        <v>106</v>
      </c>
      <c r="AA112" s="114"/>
      <c r="AB112" s="114">
        <v>64</v>
      </c>
      <c r="AC112" s="114">
        <v>64</v>
      </c>
      <c r="AD112" s="114">
        <v>63</v>
      </c>
      <c r="AE112" s="114">
        <v>49</v>
      </c>
      <c r="AF112" s="114">
        <v>45</v>
      </c>
      <c r="AG112" s="113">
        <v>240</v>
      </c>
      <c r="AH112" s="47">
        <f t="shared" si="19"/>
        <v>106</v>
      </c>
      <c r="AI112" s="48">
        <f t="shared" si="20"/>
        <v>27.3</v>
      </c>
    </row>
    <row r="113" spans="1:37" x14ac:dyDescent="0.25">
      <c r="A113" s="102" t="s">
        <v>121</v>
      </c>
      <c r="B113" s="114">
        <v>-112</v>
      </c>
      <c r="C113" s="114">
        <v>-122</v>
      </c>
      <c r="D113" s="114">
        <v>-140</v>
      </c>
      <c r="E113" s="114">
        <v>-137.80000000000001</v>
      </c>
      <c r="F113" s="114">
        <v>-129.6</v>
      </c>
      <c r="G113" s="114">
        <v>-132.5</v>
      </c>
      <c r="H113" s="114">
        <v>-80.2</v>
      </c>
      <c r="I113" s="114">
        <v>-60.85</v>
      </c>
      <c r="J113" s="114">
        <v>-44.5</v>
      </c>
      <c r="K113" s="114">
        <v>-35</v>
      </c>
      <c r="L113" s="114">
        <v>-32.5</v>
      </c>
      <c r="M113" s="114">
        <v>-14.1</v>
      </c>
      <c r="N113" s="114">
        <v>-28.6</v>
      </c>
      <c r="O113" s="114">
        <v>-26</v>
      </c>
      <c r="P113" s="114">
        <v>-105</v>
      </c>
      <c r="Q113" s="114">
        <v>-112</v>
      </c>
      <c r="R113" s="114">
        <f>-25.7-27.4</f>
        <v>-53.099999999999994</v>
      </c>
      <c r="S113" s="114">
        <v>-53</v>
      </c>
      <c r="T113" s="114">
        <v>-50</v>
      </c>
      <c r="U113" s="114">
        <f>-24.3-26.7</f>
        <v>-51</v>
      </c>
      <c r="V113" s="114">
        <v>-53</v>
      </c>
      <c r="W113" s="114">
        <v>-46</v>
      </c>
      <c r="X113" s="114">
        <f>-43.6-47.2</f>
        <v>-90.800000000000011</v>
      </c>
      <c r="Y113" s="114">
        <v>-82</v>
      </c>
      <c r="Z113" s="114">
        <v>-140</v>
      </c>
      <c r="AA113" s="114"/>
      <c r="AB113" s="114">
        <v>-150</v>
      </c>
      <c r="AC113" s="114">
        <v>-160</v>
      </c>
      <c r="AD113" s="114">
        <v>-165</v>
      </c>
      <c r="AE113" s="114">
        <v>-167</v>
      </c>
      <c r="AF113" s="114">
        <v>-170</v>
      </c>
      <c r="AG113" s="113">
        <v>240</v>
      </c>
      <c r="AH113" s="47">
        <f t="shared" si="19"/>
        <v>-14.1</v>
      </c>
      <c r="AI113" s="48">
        <f t="shared" si="20"/>
        <v>-170</v>
      </c>
    </row>
    <row r="114" spans="1:37" x14ac:dyDescent="0.25">
      <c r="A114" s="102" t="s">
        <v>122</v>
      </c>
      <c r="B114" s="114">
        <v>-8.6</v>
      </c>
      <c r="C114" s="114">
        <v>-13.6</v>
      </c>
      <c r="D114" s="114">
        <v>-11.2</v>
      </c>
      <c r="E114" s="114">
        <v>-10.5</v>
      </c>
      <c r="F114" s="114">
        <v>-12.5</v>
      </c>
      <c r="G114" s="114">
        <v>-8.5</v>
      </c>
      <c r="H114" s="114">
        <v>-2.2000000000000002</v>
      </c>
      <c r="I114" s="114">
        <v>2</v>
      </c>
      <c r="J114" s="114">
        <v>6.2</v>
      </c>
      <c r="K114" s="114">
        <v>10</v>
      </c>
      <c r="L114" s="114">
        <v>10.6</v>
      </c>
      <c r="M114" s="114">
        <v>13.5</v>
      </c>
      <c r="N114" s="114">
        <v>11.9</v>
      </c>
      <c r="O114" s="114">
        <v>12.1</v>
      </c>
      <c r="P114" s="114">
        <v>6.2</v>
      </c>
      <c r="Q114" s="114">
        <v>3.9</v>
      </c>
      <c r="R114" s="114">
        <v>9.4</v>
      </c>
      <c r="S114" s="114">
        <v>9</v>
      </c>
      <c r="T114" s="114">
        <v>10.1</v>
      </c>
      <c r="U114" s="114">
        <v>12.1</v>
      </c>
      <c r="V114" s="114">
        <v>11</v>
      </c>
      <c r="W114" s="114">
        <v>13</v>
      </c>
      <c r="X114" s="114">
        <v>8.1</v>
      </c>
      <c r="Y114" s="114">
        <v>9.1999999999999993</v>
      </c>
      <c r="Z114" s="114">
        <v>24.1</v>
      </c>
      <c r="AA114" s="114"/>
      <c r="AB114" s="114">
        <v>21</v>
      </c>
      <c r="AC114" s="114">
        <v>10</v>
      </c>
      <c r="AD114" s="114">
        <v>-7</v>
      </c>
      <c r="AE114" s="114">
        <v>-13</v>
      </c>
      <c r="AF114" s="114">
        <v>-15</v>
      </c>
      <c r="AG114" s="113">
        <v>60</v>
      </c>
      <c r="AH114" s="47">
        <f t="shared" si="19"/>
        <v>24.1</v>
      </c>
      <c r="AI114" s="48">
        <f t="shared" si="20"/>
        <v>-15</v>
      </c>
    </row>
    <row r="115" spans="1:37" x14ac:dyDescent="0.25">
      <c r="A115" s="115" t="s">
        <v>123</v>
      </c>
      <c r="B115" s="116">
        <v>25.5</v>
      </c>
      <c r="C115" s="116">
        <v>26.3</v>
      </c>
      <c r="D115" s="116">
        <v>27.8</v>
      </c>
      <c r="E115" s="116">
        <v>28.1</v>
      </c>
      <c r="F115" s="116">
        <v>25</v>
      </c>
      <c r="G115" s="116">
        <v>24.5</v>
      </c>
      <c r="H115" s="116">
        <v>23.9</v>
      </c>
      <c r="I115" s="116">
        <v>23.2</v>
      </c>
      <c r="J115" s="116">
        <v>22.8</v>
      </c>
      <c r="K115" s="116">
        <v>21</v>
      </c>
      <c r="L115" s="116">
        <v>22.6</v>
      </c>
      <c r="M115" s="116">
        <v>24.4</v>
      </c>
      <c r="N115" s="116">
        <v>24.7</v>
      </c>
      <c r="O115" s="116">
        <v>26.2</v>
      </c>
      <c r="P115" s="116">
        <v>25.3</v>
      </c>
      <c r="Q115" s="116">
        <v>25</v>
      </c>
      <c r="R115" s="116">
        <v>25</v>
      </c>
      <c r="S115" s="116">
        <v>24</v>
      </c>
      <c r="T115" s="116">
        <v>2.1</v>
      </c>
      <c r="U115" s="116">
        <v>31.7</v>
      </c>
      <c r="V115" s="116">
        <v>32</v>
      </c>
      <c r="W115" s="116">
        <v>31.3</v>
      </c>
      <c r="X115" s="116">
        <v>43.4</v>
      </c>
      <c r="Y115" s="116">
        <v>46.8</v>
      </c>
      <c r="Z115" s="116">
        <v>77.099999999999994</v>
      </c>
      <c r="AA115" s="116"/>
      <c r="AB115" s="116">
        <v>74</v>
      </c>
      <c r="AC115" s="116">
        <v>70</v>
      </c>
      <c r="AD115" s="116">
        <v>66</v>
      </c>
      <c r="AE115" s="116">
        <v>66</v>
      </c>
      <c r="AF115" s="116">
        <v>23</v>
      </c>
      <c r="AG115" s="117">
        <v>120</v>
      </c>
      <c r="AH115" s="47">
        <f t="shared" si="19"/>
        <v>77.099999999999994</v>
      </c>
      <c r="AI115" s="48">
        <f t="shared" si="20"/>
        <v>2.1</v>
      </c>
    </row>
    <row r="116" spans="1:37" x14ac:dyDescent="0.25">
      <c r="A116" s="115" t="s">
        <v>124</v>
      </c>
      <c r="B116" s="116">
        <v>56.8</v>
      </c>
      <c r="C116" s="116">
        <v>50.3</v>
      </c>
      <c r="D116" s="116">
        <v>43.2</v>
      </c>
      <c r="E116" s="116">
        <v>33.200000000000003</v>
      </c>
      <c r="F116" s="116">
        <v>30.7</v>
      </c>
      <c r="G116" s="116">
        <v>18.399999999999999</v>
      </c>
      <c r="H116" s="116">
        <v>36.119999999999997</v>
      </c>
      <c r="I116" s="116">
        <v>41.6</v>
      </c>
      <c r="J116" s="116">
        <v>49</v>
      </c>
      <c r="K116" s="116">
        <v>40</v>
      </c>
      <c r="L116" s="116">
        <v>61.2</v>
      </c>
      <c r="M116" s="116">
        <v>77.2</v>
      </c>
      <c r="N116" s="116">
        <v>62.6</v>
      </c>
      <c r="O116" s="116">
        <v>69.3</v>
      </c>
      <c r="P116" s="116">
        <v>82.1</v>
      </c>
      <c r="Q116" s="116">
        <v>83.5</v>
      </c>
      <c r="R116" s="116">
        <v>82.9</v>
      </c>
      <c r="S116" s="116">
        <v>81</v>
      </c>
      <c r="T116" s="116">
        <v>85</v>
      </c>
      <c r="U116" s="116">
        <v>80.2</v>
      </c>
      <c r="V116" s="116">
        <v>54</v>
      </c>
      <c r="W116" s="116">
        <v>60</v>
      </c>
      <c r="X116" s="116">
        <v>21.3</v>
      </c>
      <c r="Y116" s="116">
        <v>25</v>
      </c>
      <c r="Z116" s="116">
        <v>41</v>
      </c>
      <c r="AA116" s="116"/>
      <c r="AB116" s="116">
        <v>41</v>
      </c>
      <c r="AC116" s="116">
        <v>40</v>
      </c>
      <c r="AD116" s="116">
        <v>40</v>
      </c>
      <c r="AE116" s="116">
        <v>41</v>
      </c>
      <c r="AF116" s="116">
        <v>47</v>
      </c>
      <c r="AG116" s="117"/>
      <c r="AH116" s="47">
        <f t="shared" si="19"/>
        <v>85</v>
      </c>
      <c r="AI116" s="48">
        <f t="shared" si="20"/>
        <v>18.399999999999999</v>
      </c>
    </row>
    <row r="117" spans="1:37" x14ac:dyDescent="0.25">
      <c r="A117" s="115" t="s">
        <v>125</v>
      </c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>
        <v>-15.4</v>
      </c>
      <c r="T117" s="116">
        <v>-21.7</v>
      </c>
      <c r="U117" s="116">
        <v>-22.2</v>
      </c>
      <c r="V117" s="116"/>
      <c r="W117" s="116"/>
      <c r="X117" s="116">
        <v>-17.600000000000001</v>
      </c>
      <c r="Y117" s="116"/>
      <c r="Z117" s="116">
        <v>2.4</v>
      </c>
      <c r="AA117" s="116"/>
      <c r="AB117" s="116">
        <v>0</v>
      </c>
      <c r="AC117" s="116">
        <v>0</v>
      </c>
      <c r="AD117" s="116">
        <v>2</v>
      </c>
      <c r="AE117" s="116">
        <v>5</v>
      </c>
      <c r="AF117" s="116">
        <v>7</v>
      </c>
      <c r="AG117" s="118"/>
      <c r="AH117" s="47">
        <f t="shared" si="19"/>
        <v>7</v>
      </c>
      <c r="AI117" s="48">
        <f t="shared" si="20"/>
        <v>-22.2</v>
      </c>
    </row>
    <row r="118" spans="1:37" x14ac:dyDescent="0.25">
      <c r="A118" s="119" t="s">
        <v>126</v>
      </c>
      <c r="B118" s="105">
        <v>25.1</v>
      </c>
      <c r="C118" s="105">
        <v>28.9</v>
      </c>
      <c r="D118" s="105">
        <v>30.4</v>
      </c>
      <c r="E118" s="105">
        <v>25.5</v>
      </c>
      <c r="F118" s="105">
        <v>25.2</v>
      </c>
      <c r="G118" s="105">
        <v>25.6</v>
      </c>
      <c r="H118" s="105">
        <v>28.9</v>
      </c>
      <c r="I118" s="105">
        <v>38.700000000000003</v>
      </c>
      <c r="J118" s="105">
        <v>37.4</v>
      </c>
      <c r="K118" s="105">
        <v>20</v>
      </c>
      <c r="L118" s="105">
        <v>20.5</v>
      </c>
      <c r="M118" s="105">
        <v>7.3</v>
      </c>
      <c r="N118" s="105">
        <v>22.9</v>
      </c>
      <c r="O118" s="105">
        <v>19.399999999999999</v>
      </c>
      <c r="P118" s="105">
        <v>14.6</v>
      </c>
      <c r="Q118" s="105">
        <v>15.1</v>
      </c>
      <c r="R118" s="105">
        <v>1.2</v>
      </c>
      <c r="S118" s="105">
        <v>-13</v>
      </c>
      <c r="T118" s="105">
        <v>-24</v>
      </c>
      <c r="U118" s="105">
        <v>-4.2</v>
      </c>
      <c r="V118" s="105">
        <v>14</v>
      </c>
      <c r="W118" s="105">
        <v>4</v>
      </c>
      <c r="X118" s="105">
        <v>14.8</v>
      </c>
      <c r="Y118" s="105">
        <v>-3</v>
      </c>
      <c r="Z118" s="105">
        <v>-10</v>
      </c>
      <c r="AA118" s="105"/>
      <c r="AB118" s="105">
        <v>3</v>
      </c>
      <c r="AC118" s="105">
        <v>5</v>
      </c>
      <c r="AD118" s="105">
        <v>5.5</v>
      </c>
      <c r="AE118" s="105">
        <v>0</v>
      </c>
      <c r="AF118" s="105">
        <v>2</v>
      </c>
      <c r="AG118" s="118"/>
      <c r="AH118" s="47">
        <f t="shared" si="19"/>
        <v>38.700000000000003</v>
      </c>
      <c r="AI118" s="48">
        <f t="shared" si="20"/>
        <v>-24</v>
      </c>
    </row>
    <row r="119" spans="1:37" x14ac:dyDescent="0.25">
      <c r="A119" s="120" t="s">
        <v>127</v>
      </c>
      <c r="B119" s="105">
        <v>77.2</v>
      </c>
      <c r="C119" s="105">
        <v>80.599999999999994</v>
      </c>
      <c r="D119" s="105">
        <v>93</v>
      </c>
      <c r="E119" s="105">
        <v>93</v>
      </c>
      <c r="F119" s="105">
        <v>81.599999999999994</v>
      </c>
      <c r="G119" s="105">
        <v>95</v>
      </c>
      <c r="H119" s="105">
        <v>68.5</v>
      </c>
      <c r="I119" s="105">
        <v>58.7</v>
      </c>
      <c r="J119" s="105">
        <v>52.1</v>
      </c>
      <c r="K119" s="105">
        <v>52</v>
      </c>
      <c r="L119" s="105">
        <v>42.6</v>
      </c>
      <c r="M119" s="105">
        <v>29.8</v>
      </c>
      <c r="N119" s="105">
        <v>70.7</v>
      </c>
      <c r="O119" s="105">
        <v>84.1</v>
      </c>
      <c r="P119" s="105">
        <v>76.400000000000006</v>
      </c>
      <c r="Q119" s="105">
        <v>79.8</v>
      </c>
      <c r="R119" s="105">
        <v>88.9</v>
      </c>
      <c r="S119" s="105">
        <v>85</v>
      </c>
      <c r="T119" s="105">
        <v>86</v>
      </c>
      <c r="U119" s="105">
        <v>79.900000000000006</v>
      </c>
      <c r="V119" s="105">
        <v>79</v>
      </c>
      <c r="W119" s="105">
        <v>81</v>
      </c>
      <c r="X119" s="105">
        <v>72.400000000000006</v>
      </c>
      <c r="Y119" s="105">
        <v>68.400000000000006</v>
      </c>
      <c r="Z119" s="105">
        <v>66</v>
      </c>
      <c r="AA119" s="105"/>
      <c r="AB119" s="105">
        <v>80</v>
      </c>
      <c r="AC119" s="105">
        <v>80</v>
      </c>
      <c r="AD119" s="105">
        <v>80</v>
      </c>
      <c r="AE119" s="105">
        <v>80</v>
      </c>
      <c r="AF119" s="105">
        <v>85</v>
      </c>
      <c r="AG119" s="118"/>
      <c r="AH119" s="47">
        <f t="shared" si="19"/>
        <v>95</v>
      </c>
      <c r="AI119" s="48">
        <f t="shared" si="20"/>
        <v>29.8</v>
      </c>
    </row>
    <row r="120" spans="1:37" ht="15.75" thickBot="1" x14ac:dyDescent="0.3">
      <c r="A120" s="119" t="s">
        <v>128</v>
      </c>
      <c r="B120" s="105">
        <v>51.2</v>
      </c>
      <c r="C120" s="105">
        <v>41.4</v>
      </c>
      <c r="D120" s="105">
        <v>34.700000000000003</v>
      </c>
      <c r="E120" s="105">
        <v>29.3</v>
      </c>
      <c r="F120" s="105">
        <v>24.4</v>
      </c>
      <c r="G120" s="105">
        <v>8.4</v>
      </c>
      <c r="H120" s="105">
        <v>2.5</v>
      </c>
      <c r="I120" s="105">
        <v>-5.5</v>
      </c>
      <c r="J120" s="105">
        <v>-2.1</v>
      </c>
      <c r="K120" s="105">
        <v>5</v>
      </c>
      <c r="L120" s="105">
        <v>12.1</v>
      </c>
      <c r="M120" s="105">
        <v>32.6</v>
      </c>
      <c r="N120" s="105">
        <v>24.7</v>
      </c>
      <c r="O120" s="105">
        <v>37</v>
      </c>
      <c r="P120" s="105">
        <v>53.1</v>
      </c>
      <c r="Q120" s="105">
        <v>51.8</v>
      </c>
      <c r="R120" s="105">
        <v>64.8</v>
      </c>
      <c r="S120" s="105">
        <v>69</v>
      </c>
      <c r="T120" s="105">
        <v>77</v>
      </c>
      <c r="U120" s="105">
        <v>65.7</v>
      </c>
      <c r="V120" s="105">
        <v>40</v>
      </c>
      <c r="W120" s="105">
        <v>49</v>
      </c>
      <c r="X120" s="105">
        <v>38</v>
      </c>
      <c r="Y120" s="105">
        <v>54</v>
      </c>
      <c r="Z120" s="105">
        <v>83</v>
      </c>
      <c r="AA120" s="105"/>
      <c r="AB120" s="105">
        <v>81</v>
      </c>
      <c r="AC120" s="105">
        <v>60</v>
      </c>
      <c r="AD120" s="105">
        <v>55</v>
      </c>
      <c r="AE120" s="105">
        <v>61</v>
      </c>
      <c r="AF120" s="105">
        <v>59</v>
      </c>
      <c r="AG120" s="118"/>
      <c r="AH120" s="47">
        <f t="shared" si="19"/>
        <v>83</v>
      </c>
      <c r="AI120" s="48">
        <f t="shared" si="20"/>
        <v>-5.5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34">SUM(B122:B226)</f>
        <v>0</v>
      </c>
      <c r="C227" s="136">
        <f t="shared" si="34"/>
        <v>0</v>
      </c>
      <c r="D227" s="136">
        <f t="shared" si="34"/>
        <v>0</v>
      </c>
      <c r="E227" s="136">
        <f t="shared" si="34"/>
        <v>0</v>
      </c>
      <c r="F227" s="136">
        <f t="shared" si="34"/>
        <v>0</v>
      </c>
      <c r="G227" s="136">
        <f t="shared" si="34"/>
        <v>0</v>
      </c>
      <c r="H227" s="136">
        <f t="shared" si="34"/>
        <v>0</v>
      </c>
      <c r="I227" s="136">
        <f t="shared" si="34"/>
        <v>0</v>
      </c>
      <c r="J227" s="136">
        <f t="shared" si="34"/>
        <v>0</v>
      </c>
      <c r="K227" s="136">
        <f t="shared" si="34"/>
        <v>0</v>
      </c>
      <c r="L227" s="136">
        <f t="shared" si="34"/>
        <v>0</v>
      </c>
      <c r="M227" s="136">
        <f t="shared" si="34"/>
        <v>0</v>
      </c>
      <c r="N227" s="136">
        <f t="shared" si="34"/>
        <v>0</v>
      </c>
      <c r="O227" s="136">
        <f t="shared" si="34"/>
        <v>0</v>
      </c>
      <c r="P227" s="136">
        <f t="shared" si="34"/>
        <v>0</v>
      </c>
      <c r="Q227" s="136">
        <f t="shared" si="34"/>
        <v>0</v>
      </c>
      <c r="R227" s="136">
        <f t="shared" si="34"/>
        <v>0</v>
      </c>
      <c r="S227" s="136">
        <f t="shared" si="34"/>
        <v>0</v>
      </c>
      <c r="T227" s="136">
        <f t="shared" si="34"/>
        <v>0</v>
      </c>
      <c r="U227" s="136">
        <f t="shared" si="34"/>
        <v>0</v>
      </c>
      <c r="V227" s="136">
        <f t="shared" si="34"/>
        <v>0</v>
      </c>
      <c r="W227" s="136">
        <f t="shared" si="34"/>
        <v>0</v>
      </c>
      <c r="X227" s="136">
        <f t="shared" si="34"/>
        <v>0</v>
      </c>
      <c r="Y227" s="136">
        <f t="shared" si="34"/>
        <v>0</v>
      </c>
      <c r="Z227" s="136">
        <f t="shared" si="34"/>
        <v>0</v>
      </c>
      <c r="AA227" s="136">
        <f t="shared" si="34"/>
        <v>0</v>
      </c>
      <c r="AB227" s="136">
        <f t="shared" si="34"/>
        <v>0</v>
      </c>
      <c r="AC227" s="136">
        <f t="shared" si="34"/>
        <v>0</v>
      </c>
      <c r="AD227" s="136">
        <f t="shared" si="34"/>
        <v>0</v>
      </c>
      <c r="AE227" s="136">
        <f t="shared" si="34"/>
        <v>0</v>
      </c>
      <c r="AF227" s="137">
        <f t="shared" si="34"/>
        <v>0</v>
      </c>
      <c r="AG227" s="138">
        <f t="shared" si="34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35">AF229</f>
        <v>0</v>
      </c>
      <c r="C229" s="140">
        <v>0.3</v>
      </c>
      <c r="D229" s="140">
        <f t="shared" ref="D229:P234" si="36">C229</f>
        <v>0.3</v>
      </c>
      <c r="E229" s="140">
        <f t="shared" si="36"/>
        <v>0.3</v>
      </c>
      <c r="F229" s="140">
        <f t="shared" si="36"/>
        <v>0.3</v>
      </c>
      <c r="G229" s="140">
        <f t="shared" si="36"/>
        <v>0.3</v>
      </c>
      <c r="H229" s="140">
        <f t="shared" si="36"/>
        <v>0.3</v>
      </c>
      <c r="I229" s="140">
        <f t="shared" si="36"/>
        <v>0.3</v>
      </c>
      <c r="J229" s="140">
        <f t="shared" si="36"/>
        <v>0.3</v>
      </c>
      <c r="K229" s="140">
        <f t="shared" si="36"/>
        <v>0.3</v>
      </c>
      <c r="L229" s="140">
        <f t="shared" si="36"/>
        <v>0.3</v>
      </c>
      <c r="M229" s="140">
        <f t="shared" si="36"/>
        <v>0.3</v>
      </c>
      <c r="N229" s="140">
        <f t="shared" si="36"/>
        <v>0.3</v>
      </c>
      <c r="O229" s="140">
        <f t="shared" si="36"/>
        <v>0.3</v>
      </c>
      <c r="P229" s="140">
        <f t="shared" si="36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35"/>
        <v>0</v>
      </c>
      <c r="C230" s="128">
        <v>0.4</v>
      </c>
      <c r="D230" s="128">
        <f t="shared" si="36"/>
        <v>0.4</v>
      </c>
      <c r="E230" s="128">
        <f t="shared" si="36"/>
        <v>0.4</v>
      </c>
      <c r="F230" s="128">
        <f t="shared" si="36"/>
        <v>0.4</v>
      </c>
      <c r="G230" s="128">
        <f t="shared" si="36"/>
        <v>0.4</v>
      </c>
      <c r="H230" s="128">
        <f t="shared" si="36"/>
        <v>0.4</v>
      </c>
      <c r="I230" s="128">
        <f t="shared" si="36"/>
        <v>0.4</v>
      </c>
      <c r="J230" s="128">
        <f t="shared" si="36"/>
        <v>0.4</v>
      </c>
      <c r="K230" s="128">
        <f t="shared" si="36"/>
        <v>0.4</v>
      </c>
      <c r="L230" s="128">
        <f t="shared" si="36"/>
        <v>0.4</v>
      </c>
      <c r="M230" s="128">
        <f t="shared" si="36"/>
        <v>0.4</v>
      </c>
      <c r="N230" s="128">
        <f t="shared" si="36"/>
        <v>0.4</v>
      </c>
      <c r="O230" s="128">
        <f t="shared" si="36"/>
        <v>0.4</v>
      </c>
      <c r="P230" s="128">
        <f t="shared" si="36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35"/>
        <v>0</v>
      </c>
      <c r="C231" s="128">
        <v>1.5</v>
      </c>
      <c r="D231" s="128">
        <f t="shared" si="36"/>
        <v>1.5</v>
      </c>
      <c r="E231" s="128">
        <f t="shared" si="36"/>
        <v>1.5</v>
      </c>
      <c r="F231" s="128">
        <f t="shared" si="36"/>
        <v>1.5</v>
      </c>
      <c r="G231" s="128">
        <f t="shared" si="36"/>
        <v>1.5</v>
      </c>
      <c r="H231" s="128">
        <f t="shared" si="36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36"/>
        <v>123.21900000000009</v>
      </c>
      <c r="K231" s="128">
        <f t="shared" ca="1" si="36"/>
        <v>123.21900000000009</v>
      </c>
      <c r="L231" s="128">
        <f t="shared" ca="1" si="36"/>
        <v>123.21900000000009</v>
      </c>
      <c r="M231" s="128">
        <f t="shared" ca="1" si="36"/>
        <v>119.19900000000008</v>
      </c>
      <c r="N231" s="128">
        <f t="shared" ca="1" si="36"/>
        <v>119.19900000000008</v>
      </c>
      <c r="O231" s="128">
        <f t="shared" ca="1" si="36"/>
        <v>119.19900000000008</v>
      </c>
      <c r="P231" s="128">
        <f t="shared" ca="1" si="36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35"/>
        <v>0</v>
      </c>
      <c r="C232" s="128">
        <v>0.3</v>
      </c>
      <c r="D232" s="128">
        <f t="shared" si="36"/>
        <v>0.3</v>
      </c>
      <c r="E232" s="128">
        <f t="shared" si="36"/>
        <v>0.3</v>
      </c>
      <c r="F232" s="128">
        <f t="shared" si="36"/>
        <v>0.3</v>
      </c>
      <c r="G232" s="128">
        <f t="shared" si="36"/>
        <v>0.3</v>
      </c>
      <c r="H232" s="128">
        <f t="shared" si="36"/>
        <v>0.3</v>
      </c>
      <c r="I232" s="128">
        <f t="shared" si="36"/>
        <v>0.3</v>
      </c>
      <c r="J232" s="128">
        <f t="shared" si="36"/>
        <v>0.3</v>
      </c>
      <c r="K232" s="128">
        <f t="shared" si="36"/>
        <v>0.3</v>
      </c>
      <c r="L232" s="128">
        <f t="shared" si="36"/>
        <v>0.3</v>
      </c>
      <c r="M232" s="128">
        <f t="shared" si="36"/>
        <v>0.3</v>
      </c>
      <c r="N232" s="128">
        <f t="shared" si="36"/>
        <v>0.3</v>
      </c>
      <c r="O232" s="128">
        <f t="shared" si="36"/>
        <v>0.3</v>
      </c>
      <c r="P232" s="128">
        <f t="shared" si="36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35"/>
        <v>0</v>
      </c>
      <c r="C233" s="128">
        <v>0.4</v>
      </c>
      <c r="D233" s="128">
        <f t="shared" si="36"/>
        <v>0.4</v>
      </c>
      <c r="E233" s="128">
        <f t="shared" si="36"/>
        <v>0.4</v>
      </c>
      <c r="F233" s="128">
        <f t="shared" si="36"/>
        <v>0.4</v>
      </c>
      <c r="G233" s="128">
        <f t="shared" si="36"/>
        <v>0.4</v>
      </c>
      <c r="H233" s="128">
        <f t="shared" si="36"/>
        <v>0.4</v>
      </c>
      <c r="I233" s="128">
        <f t="shared" si="36"/>
        <v>0.4</v>
      </c>
      <c r="J233" s="128">
        <f t="shared" si="36"/>
        <v>0.4</v>
      </c>
      <c r="K233" s="128">
        <f t="shared" si="36"/>
        <v>0.4</v>
      </c>
      <c r="L233" s="128">
        <f t="shared" si="36"/>
        <v>0.4</v>
      </c>
      <c r="M233" s="128">
        <f t="shared" si="36"/>
        <v>0.4</v>
      </c>
      <c r="N233" s="128">
        <f t="shared" si="36"/>
        <v>0.4</v>
      </c>
      <c r="O233" s="128">
        <f t="shared" si="36"/>
        <v>0.4</v>
      </c>
      <c r="P233" s="128">
        <f t="shared" si="36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35"/>
        <v>0</v>
      </c>
      <c r="C234" s="132">
        <v>0.64</v>
      </c>
      <c r="D234" s="132">
        <f t="shared" si="36"/>
        <v>0.64</v>
      </c>
      <c r="E234" s="132">
        <f t="shared" si="36"/>
        <v>0.64</v>
      </c>
      <c r="F234" s="132">
        <f t="shared" si="36"/>
        <v>0.64</v>
      </c>
      <c r="G234" s="132">
        <f t="shared" si="36"/>
        <v>0.64</v>
      </c>
      <c r="H234" s="132">
        <f t="shared" si="36"/>
        <v>0.64</v>
      </c>
      <c r="I234" s="132">
        <f t="shared" si="36"/>
        <v>0.64</v>
      </c>
      <c r="J234" s="132">
        <f t="shared" si="36"/>
        <v>0.64</v>
      </c>
      <c r="K234" s="132">
        <f t="shared" si="36"/>
        <v>0.64</v>
      </c>
      <c r="L234" s="132">
        <f t="shared" si="36"/>
        <v>0.64</v>
      </c>
      <c r="M234" s="132">
        <f t="shared" si="36"/>
        <v>0.64</v>
      </c>
      <c r="N234" s="132">
        <f t="shared" si="36"/>
        <v>0.64</v>
      </c>
      <c r="O234" s="132">
        <f t="shared" si="36"/>
        <v>0.64</v>
      </c>
      <c r="P234" s="132">
        <f t="shared" si="36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37">SUM(B229:B234)</f>
        <v>0</v>
      </c>
      <c r="C235" s="136">
        <f t="shared" si="37"/>
        <v>3.54</v>
      </c>
      <c r="D235" s="136">
        <f t="shared" si="37"/>
        <v>3.54</v>
      </c>
      <c r="E235" s="136">
        <f t="shared" si="37"/>
        <v>3.54</v>
      </c>
      <c r="F235" s="136">
        <f t="shared" si="37"/>
        <v>3.54</v>
      </c>
      <c r="G235" s="136">
        <f t="shared" si="37"/>
        <v>3.54</v>
      </c>
      <c r="H235" s="136">
        <f t="shared" si="37"/>
        <v>3.54</v>
      </c>
      <c r="I235" s="136">
        <f t="shared" ca="1" si="37"/>
        <v>121.23900000000009</v>
      </c>
      <c r="J235" s="136">
        <f t="shared" ca="1" si="37"/>
        <v>121.23900000000009</v>
      </c>
      <c r="K235" s="136">
        <f t="shared" ca="1" si="37"/>
        <v>121.23900000000009</v>
      </c>
      <c r="L235" s="136">
        <f t="shared" ca="1" si="37"/>
        <v>125.2590000000001</v>
      </c>
      <c r="M235" s="136">
        <f t="shared" ca="1" si="37"/>
        <v>121.23900000000009</v>
      </c>
      <c r="N235" s="136">
        <f t="shared" ca="1" si="37"/>
        <v>121.23900000000009</v>
      </c>
      <c r="O235" s="136">
        <f t="shared" ca="1" si="37"/>
        <v>121.23900000000009</v>
      </c>
      <c r="P235" s="136">
        <f t="shared" ca="1" si="37"/>
        <v>121.23900000000009</v>
      </c>
      <c r="Q235" s="136">
        <f t="shared" si="37"/>
        <v>0</v>
      </c>
      <c r="R235" s="136">
        <f t="shared" si="37"/>
        <v>0</v>
      </c>
      <c r="S235" s="136">
        <f t="shared" si="37"/>
        <v>0</v>
      </c>
      <c r="T235" s="136">
        <f t="shared" si="37"/>
        <v>0</v>
      </c>
      <c r="U235" s="136">
        <f t="shared" si="37"/>
        <v>0</v>
      </c>
      <c r="V235" s="136">
        <f t="shared" si="37"/>
        <v>0</v>
      </c>
      <c r="W235" s="136">
        <f t="shared" si="37"/>
        <v>0</v>
      </c>
      <c r="X235" s="136">
        <f t="shared" si="37"/>
        <v>0</v>
      </c>
      <c r="Y235" s="136">
        <f t="shared" si="37"/>
        <v>0</v>
      </c>
      <c r="Z235" s="136">
        <f t="shared" si="37"/>
        <v>0</v>
      </c>
      <c r="AA235" s="136">
        <f t="shared" si="37"/>
        <v>0</v>
      </c>
      <c r="AB235" s="136">
        <f t="shared" si="37"/>
        <v>0</v>
      </c>
      <c r="AC235" s="136">
        <f t="shared" si="37"/>
        <v>0</v>
      </c>
      <c r="AD235" s="136">
        <f t="shared" si="37"/>
        <v>0</v>
      </c>
      <c r="AE235" s="136">
        <f t="shared" si="37"/>
        <v>0</v>
      </c>
      <c r="AF235" s="136">
        <f t="shared" si="37"/>
        <v>0</v>
      </c>
      <c r="AG235" s="145">
        <f t="shared" si="37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1908.04</v>
      </c>
      <c r="C244" s="161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32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str">
        <f ca="1">"Pie Chart of Daily Peak Demand(Inclusive of Export) of Nepal ("&amp;A4&amp;" "&amp;B4&amp;")"</f>
        <v>Pie Chart of Daily Peak Demand(Inclusive of Export) of Nepal (Nepali Date: 2080/04/32)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str">
        <f ca="1">"Daily Load Curve(Excluding of Export) of Nepal ("&amp;A4&amp;" "&amp;B4&amp;")"</f>
        <v>Daily Load Curve(Excluding of Export) of Nepal (Nepali Date: 2080/04/32)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38">B91</f>
        <v>1972.04</v>
      </c>
      <c r="U249" s="170">
        <f t="shared" si="38"/>
        <v>1869.44</v>
      </c>
      <c r="V249" s="170">
        <f t="shared" si="38"/>
        <v>1850.44</v>
      </c>
      <c r="W249" s="170">
        <f t="shared" si="38"/>
        <v>1870.84</v>
      </c>
      <c r="X249" s="170">
        <f t="shared" si="38"/>
        <v>1860.34</v>
      </c>
      <c r="Y249" s="170">
        <f t="shared" si="38"/>
        <v>1877.34</v>
      </c>
      <c r="Z249" s="170">
        <f t="shared" si="38"/>
        <v>1866.64</v>
      </c>
      <c r="AA249" s="170">
        <f t="shared" si="38"/>
        <v>1865.8400000000001</v>
      </c>
      <c r="AB249" s="170">
        <f t="shared" si="38"/>
        <v>1860.14</v>
      </c>
      <c r="AC249" s="170">
        <f t="shared" si="38"/>
        <v>1907.14</v>
      </c>
      <c r="AD249" s="170">
        <f t="shared" si="38"/>
        <v>1908.04</v>
      </c>
      <c r="AE249" s="170">
        <f t="shared" si="38"/>
        <v>1899.84</v>
      </c>
      <c r="AF249" s="170">
        <f t="shared" si="38"/>
        <v>1832.34</v>
      </c>
      <c r="AG249" s="170">
        <f t="shared" si="38"/>
        <v>1894.3400000000001</v>
      </c>
      <c r="AH249" s="170">
        <f t="shared" si="38"/>
        <v>1845.44</v>
      </c>
      <c r="AI249" s="170">
        <f t="shared" si="38"/>
        <v>1867.3400000000001</v>
      </c>
      <c r="AJ249" s="170">
        <f t="shared" si="38"/>
        <v>1868.34</v>
      </c>
      <c r="AK249" s="170">
        <f t="shared" si="38"/>
        <v>1867.1399999999999</v>
      </c>
      <c r="AL249" s="170">
        <f t="shared" si="38"/>
        <v>1815.44</v>
      </c>
      <c r="AM249" s="170">
        <f t="shared" si="38"/>
        <v>1821.8400000000001</v>
      </c>
      <c r="AN249" s="170">
        <f t="shared" si="38"/>
        <v>1831.94</v>
      </c>
      <c r="AO249" s="170">
        <f t="shared" si="38"/>
        <v>1830.8400000000001</v>
      </c>
      <c r="AP249" s="170">
        <f t="shared" si="38"/>
        <v>1954.5400000000002</v>
      </c>
      <c r="AQ249" s="170">
        <f t="shared" si="38"/>
        <v>1953.1400000000003</v>
      </c>
      <c r="AR249" s="170">
        <f t="shared" si="38"/>
        <v>2061.04</v>
      </c>
      <c r="AS249" s="170">
        <f t="shared" si="38"/>
        <v>2090.64</v>
      </c>
      <c r="AT249" s="170">
        <f t="shared" si="38"/>
        <v>2028.44</v>
      </c>
      <c r="AU249" s="170">
        <f t="shared" si="38"/>
        <v>2054.14</v>
      </c>
      <c r="AV249" s="170">
        <f t="shared" si="38"/>
        <v>2022.1399999999999</v>
      </c>
      <c r="AW249" s="170">
        <f t="shared" si="38"/>
        <v>2000.1399999999999</v>
      </c>
      <c r="AX249" s="170">
        <f t="shared" si="38"/>
        <v>1994.1399999999999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39">C234</f>
        <v>0.64</v>
      </c>
      <c r="C270" s="173">
        <f t="shared" si="39"/>
        <v>0.64</v>
      </c>
      <c r="D270" s="173">
        <f t="shared" si="39"/>
        <v>0.64</v>
      </c>
      <c r="E270" s="173">
        <f t="shared" si="39"/>
        <v>0.64</v>
      </c>
      <c r="F270" s="173">
        <f t="shared" si="39"/>
        <v>0.64</v>
      </c>
      <c r="G270" s="173">
        <f t="shared" si="39"/>
        <v>0.64</v>
      </c>
      <c r="H270" s="173">
        <f t="shared" si="39"/>
        <v>0.64</v>
      </c>
      <c r="I270" s="173">
        <f t="shared" si="39"/>
        <v>0.64</v>
      </c>
      <c r="J270" s="173">
        <f t="shared" si="39"/>
        <v>0.64</v>
      </c>
      <c r="K270" s="173">
        <f t="shared" si="39"/>
        <v>0.64</v>
      </c>
      <c r="L270" s="173">
        <f t="shared" si="39"/>
        <v>0.64</v>
      </c>
      <c r="M270" s="173">
        <f t="shared" si="39"/>
        <v>0.64</v>
      </c>
      <c r="N270" s="173">
        <f t="shared" si="39"/>
        <v>0.64</v>
      </c>
      <c r="O270" s="173">
        <f t="shared" si="39"/>
        <v>0.64</v>
      </c>
      <c r="P270" s="173">
        <f t="shared" si="39"/>
        <v>0</v>
      </c>
      <c r="Q270" s="173">
        <f t="shared" si="39"/>
        <v>0</v>
      </c>
      <c r="R270" s="173">
        <f t="shared" si="39"/>
        <v>0</v>
      </c>
      <c r="S270" s="173">
        <f t="shared" si="39"/>
        <v>0</v>
      </c>
      <c r="T270" s="173">
        <f t="shared" si="39"/>
        <v>0</v>
      </c>
      <c r="U270" s="173">
        <f t="shared" si="39"/>
        <v>0</v>
      </c>
      <c r="V270" s="173">
        <f t="shared" si="39"/>
        <v>0</v>
      </c>
      <c r="W270" s="173">
        <f t="shared" si="39"/>
        <v>0</v>
      </c>
      <c r="X270" s="173">
        <f t="shared" si="39"/>
        <v>0</v>
      </c>
      <c r="Y270" s="173">
        <f t="shared" si="39"/>
        <v>0</v>
      </c>
      <c r="Z270" s="173">
        <f t="shared" si="39"/>
        <v>0</v>
      </c>
      <c r="AA270" s="173">
        <f t="shared" si="39"/>
        <v>0</v>
      </c>
      <c r="AB270" s="173">
        <f t="shared" si="39"/>
        <v>0</v>
      </c>
      <c r="AC270" s="173">
        <f t="shared" si="39"/>
        <v>0</v>
      </c>
      <c r="AD270" s="173">
        <f t="shared" si="39"/>
        <v>0</v>
      </c>
      <c r="AE270" s="173">
        <f t="shared" si="39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40">IF(B238&lt;100,"",B238-520)</f>
        <v/>
      </c>
      <c r="C271" s="174" t="str">
        <f t="shared" si="40"/>
        <v/>
      </c>
      <c r="D271" s="174" t="str">
        <f t="shared" si="40"/>
        <v/>
      </c>
      <c r="E271" s="174" t="str">
        <f t="shared" si="40"/>
        <v/>
      </c>
      <c r="F271" s="174" t="str">
        <f t="shared" si="40"/>
        <v/>
      </c>
      <c r="G271" s="174" t="str">
        <f t="shared" si="40"/>
        <v/>
      </c>
      <c r="H271" s="174" t="str">
        <f t="shared" si="40"/>
        <v/>
      </c>
      <c r="I271" s="174" t="str">
        <f t="shared" si="40"/>
        <v/>
      </c>
      <c r="J271" s="174" t="str">
        <f t="shared" si="40"/>
        <v/>
      </c>
      <c r="K271" s="174" t="str">
        <f t="shared" si="40"/>
        <v/>
      </c>
      <c r="L271" s="174" t="str">
        <f t="shared" si="40"/>
        <v/>
      </c>
      <c r="M271" s="174" t="str">
        <f t="shared" si="40"/>
        <v/>
      </c>
      <c r="N271" s="174" t="str">
        <f t="shared" si="40"/>
        <v/>
      </c>
      <c r="O271" s="174" t="str">
        <f t="shared" si="40"/>
        <v/>
      </c>
      <c r="P271" s="174" t="str">
        <f t="shared" si="40"/>
        <v/>
      </c>
      <c r="Q271" s="174" t="str">
        <f t="shared" si="40"/>
        <v/>
      </c>
      <c r="R271" s="174" t="str">
        <f t="shared" si="40"/>
        <v/>
      </c>
      <c r="S271" s="174" t="str">
        <f t="shared" si="40"/>
        <v/>
      </c>
      <c r="T271" s="174" t="str">
        <f t="shared" si="40"/>
        <v/>
      </c>
      <c r="U271" s="174" t="str">
        <f t="shared" si="40"/>
        <v/>
      </c>
      <c r="V271" s="174" t="str">
        <f t="shared" si="40"/>
        <v/>
      </c>
      <c r="W271" s="174" t="str">
        <f t="shared" si="40"/>
        <v/>
      </c>
      <c r="X271" s="174" t="str">
        <f t="shared" si="40"/>
        <v/>
      </c>
      <c r="Y271" s="174" t="str">
        <f t="shared" si="40"/>
        <v/>
      </c>
      <c r="Z271" s="174" t="str">
        <f t="shared" si="40"/>
        <v/>
      </c>
      <c r="AA271" s="174" t="str">
        <f t="shared" si="40"/>
        <v/>
      </c>
      <c r="AB271" s="174" t="str">
        <f t="shared" si="40"/>
        <v/>
      </c>
      <c r="AC271" s="174" t="str">
        <f t="shared" si="40"/>
        <v/>
      </c>
      <c r="AD271" s="174" t="str">
        <f t="shared" si="40"/>
        <v/>
      </c>
      <c r="AE271" s="174" t="str">
        <f t="shared" si="40"/>
        <v/>
      </c>
      <c r="AF271" s="174" t="str">
        <f t="shared" si="40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41">IF(B239&lt;100,"",B239-620)</f>
        <v/>
      </c>
      <c r="C272" s="174" t="str">
        <f t="shared" si="41"/>
        <v/>
      </c>
      <c r="D272" s="174" t="str">
        <f t="shared" si="41"/>
        <v/>
      </c>
      <c r="E272" s="174" t="str">
        <f t="shared" si="41"/>
        <v/>
      </c>
      <c r="F272" s="174" t="str">
        <f t="shared" si="41"/>
        <v/>
      </c>
      <c r="G272" s="174" t="str">
        <f t="shared" si="41"/>
        <v/>
      </c>
      <c r="H272" s="174" t="str">
        <f t="shared" si="41"/>
        <v/>
      </c>
      <c r="I272" s="174" t="str">
        <f t="shared" si="41"/>
        <v/>
      </c>
      <c r="J272" s="174" t="str">
        <f t="shared" si="41"/>
        <v/>
      </c>
      <c r="K272" s="174" t="str">
        <f t="shared" si="41"/>
        <v/>
      </c>
      <c r="L272" s="174" t="str">
        <f t="shared" si="41"/>
        <v/>
      </c>
      <c r="M272" s="174" t="str">
        <f t="shared" si="41"/>
        <v/>
      </c>
      <c r="N272" s="174" t="str">
        <f t="shared" si="41"/>
        <v/>
      </c>
      <c r="O272" s="174" t="str">
        <f t="shared" si="41"/>
        <v/>
      </c>
      <c r="P272" s="174" t="str">
        <f t="shared" si="41"/>
        <v/>
      </c>
      <c r="Q272" s="174" t="str">
        <f t="shared" si="41"/>
        <v/>
      </c>
      <c r="R272" s="174" t="str">
        <f t="shared" si="41"/>
        <v/>
      </c>
      <c r="S272" s="174" t="str">
        <f t="shared" si="41"/>
        <v/>
      </c>
      <c r="T272" s="174" t="str">
        <f t="shared" si="41"/>
        <v/>
      </c>
      <c r="U272" s="174" t="str">
        <f t="shared" si="41"/>
        <v/>
      </c>
      <c r="V272" s="174" t="str">
        <f t="shared" si="41"/>
        <v/>
      </c>
      <c r="W272" s="174" t="str">
        <f t="shared" si="41"/>
        <v/>
      </c>
      <c r="X272" s="174" t="str">
        <f t="shared" si="41"/>
        <v/>
      </c>
      <c r="Y272" s="174" t="str">
        <f t="shared" si="41"/>
        <v/>
      </c>
      <c r="Z272" s="174" t="str">
        <f t="shared" si="41"/>
        <v/>
      </c>
      <c r="AA272" s="174" t="str">
        <f t="shared" si="41"/>
        <v/>
      </c>
      <c r="AB272" s="174" t="str">
        <f t="shared" si="41"/>
        <v/>
      </c>
      <c r="AC272" s="174" t="str">
        <f t="shared" si="41"/>
        <v/>
      </c>
      <c r="AD272" s="174" t="str">
        <f t="shared" si="41"/>
        <v/>
      </c>
      <c r="AE272" s="174" t="str">
        <f t="shared" si="41"/>
        <v/>
      </c>
      <c r="AF272" s="174" t="str">
        <f t="shared" si="41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42">IF(B240&lt;100,"",B240-330)</f>
        <v/>
      </c>
      <c r="C273" s="174" t="str">
        <f t="shared" si="42"/>
        <v/>
      </c>
      <c r="D273" s="174" t="str">
        <f t="shared" si="42"/>
        <v/>
      </c>
      <c r="E273" s="174" t="str">
        <f t="shared" si="42"/>
        <v/>
      </c>
      <c r="F273" s="174" t="str">
        <f t="shared" si="42"/>
        <v/>
      </c>
      <c r="G273" s="174" t="str">
        <f t="shared" si="42"/>
        <v/>
      </c>
      <c r="H273" s="174" t="str">
        <f t="shared" si="42"/>
        <v/>
      </c>
      <c r="I273" s="174" t="str">
        <f t="shared" si="42"/>
        <v/>
      </c>
      <c r="J273" s="174" t="str">
        <f t="shared" si="42"/>
        <v/>
      </c>
      <c r="K273" s="174" t="str">
        <f t="shared" si="42"/>
        <v/>
      </c>
      <c r="L273" s="174" t="str">
        <f t="shared" si="42"/>
        <v/>
      </c>
      <c r="M273" s="174" t="str">
        <f t="shared" si="42"/>
        <v/>
      </c>
      <c r="N273" s="174" t="str">
        <f t="shared" si="42"/>
        <v/>
      </c>
      <c r="O273" s="174" t="str">
        <f t="shared" si="42"/>
        <v/>
      </c>
      <c r="P273" s="174" t="str">
        <f t="shared" si="42"/>
        <v/>
      </c>
      <c r="Q273" s="174" t="str">
        <f t="shared" si="42"/>
        <v/>
      </c>
      <c r="R273" s="174" t="str">
        <f t="shared" si="42"/>
        <v/>
      </c>
      <c r="S273" s="174" t="str">
        <f t="shared" si="42"/>
        <v/>
      </c>
      <c r="T273" s="174" t="str">
        <f t="shared" si="42"/>
        <v/>
      </c>
      <c r="U273" s="174" t="str">
        <f t="shared" si="42"/>
        <v/>
      </c>
      <c r="V273" s="174" t="str">
        <f t="shared" si="42"/>
        <v/>
      </c>
      <c r="W273" s="174" t="str">
        <f t="shared" si="42"/>
        <v/>
      </c>
      <c r="X273" s="174" t="str">
        <f t="shared" si="42"/>
        <v/>
      </c>
      <c r="Y273" s="174" t="str">
        <f t="shared" si="42"/>
        <v/>
      </c>
      <c r="Z273" s="174" t="str">
        <f t="shared" si="42"/>
        <v/>
      </c>
      <c r="AA273" s="174" t="str">
        <f t="shared" si="42"/>
        <v/>
      </c>
      <c r="AB273" s="174" t="str">
        <f t="shared" si="42"/>
        <v/>
      </c>
      <c r="AC273" s="174" t="str">
        <f t="shared" si="42"/>
        <v/>
      </c>
      <c r="AD273" s="174" t="str">
        <f t="shared" si="42"/>
        <v/>
      </c>
      <c r="AE273" s="174" t="str">
        <f t="shared" si="42"/>
        <v/>
      </c>
      <c r="AF273" s="174" t="str">
        <f t="shared" si="42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43">IF(B241&lt;100,"",B241-1500)</f>
        <v/>
      </c>
      <c r="C274" s="174" t="str">
        <f t="shared" si="43"/>
        <v/>
      </c>
      <c r="D274" s="174" t="str">
        <f t="shared" si="43"/>
        <v/>
      </c>
      <c r="E274" s="174" t="str">
        <f t="shared" si="43"/>
        <v/>
      </c>
      <c r="F274" s="174" t="str">
        <f t="shared" si="43"/>
        <v/>
      </c>
      <c r="G274" s="174" t="str">
        <f t="shared" si="43"/>
        <v/>
      </c>
      <c r="H274" s="174" t="str">
        <f t="shared" si="43"/>
        <v/>
      </c>
      <c r="I274" s="174" t="str">
        <f t="shared" si="43"/>
        <v/>
      </c>
      <c r="J274" s="174" t="str">
        <f t="shared" si="43"/>
        <v/>
      </c>
      <c r="K274" s="174" t="str">
        <f t="shared" si="43"/>
        <v/>
      </c>
      <c r="L274" s="174" t="str">
        <f t="shared" si="43"/>
        <v/>
      </c>
      <c r="M274" s="174" t="str">
        <f t="shared" si="43"/>
        <v/>
      </c>
      <c r="N274" s="174" t="str">
        <f t="shared" si="43"/>
        <v/>
      </c>
      <c r="O274" s="174" t="str">
        <f t="shared" si="43"/>
        <v/>
      </c>
      <c r="P274" s="174" t="str">
        <f t="shared" si="43"/>
        <v/>
      </c>
      <c r="Q274" s="174" t="str">
        <f t="shared" si="43"/>
        <v/>
      </c>
      <c r="R274" s="174" t="str">
        <f t="shared" si="43"/>
        <v/>
      </c>
      <c r="S274" s="174" t="str">
        <f t="shared" si="43"/>
        <v/>
      </c>
      <c r="T274" s="174" t="str">
        <f t="shared" si="43"/>
        <v/>
      </c>
      <c r="U274" s="174" t="str">
        <f t="shared" si="43"/>
        <v/>
      </c>
      <c r="V274" s="174" t="str">
        <f t="shared" si="43"/>
        <v/>
      </c>
      <c r="W274" s="174" t="str">
        <f t="shared" si="43"/>
        <v/>
      </c>
      <c r="X274" s="174" t="str">
        <f t="shared" si="43"/>
        <v/>
      </c>
      <c r="Y274" s="174" t="str">
        <f t="shared" si="43"/>
        <v/>
      </c>
      <c r="Z274" s="174" t="str">
        <f t="shared" si="43"/>
        <v/>
      </c>
      <c r="AA274" s="174" t="str">
        <f t="shared" si="43"/>
        <v/>
      </c>
      <c r="AB274" s="174" t="str">
        <f t="shared" si="43"/>
        <v/>
      </c>
      <c r="AC274" s="174" t="str">
        <f t="shared" si="43"/>
        <v/>
      </c>
      <c r="AD274" s="174" t="str">
        <f t="shared" si="43"/>
        <v/>
      </c>
      <c r="AE274" s="174" t="str">
        <f t="shared" si="43"/>
        <v/>
      </c>
      <c r="AF274" s="174" t="str">
        <f t="shared" si="43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3490" priority="64">
      <formula>$AH11=0</formula>
    </cfRule>
  </conditionalFormatting>
  <conditionalFormatting sqref="B8 M8 S8 AB8">
    <cfRule type="expression" dxfId="3489" priority="115">
      <formula>AND(C$9&gt;=14/24,C$9&lt;20/24)</formula>
    </cfRule>
    <cfRule type="expression" dxfId="3488" priority="116">
      <formula>AND(C$9&gt;=8/24,C$9&lt;14/24)</formula>
    </cfRule>
    <cfRule type="expression" dxfId="3487" priority="117">
      <formula>C$9&lt;8/24</formula>
    </cfRule>
  </conditionalFormatting>
  <conditionalFormatting sqref="B54:C54">
    <cfRule type="expression" dxfId="3486" priority="38">
      <formula>B$9&gt;=20/24</formula>
    </cfRule>
    <cfRule type="expression" dxfId="3485" priority="39">
      <formula>AND(B$9&gt;=14/24,B$9&lt;20/24)</formula>
    </cfRule>
    <cfRule type="expression" dxfId="3484" priority="40">
      <formula>AND(B$9&gt;=8/24,B$9&lt;14/24)</formula>
    </cfRule>
    <cfRule type="expression" dxfId="3483" priority="41">
      <formula>B$9&lt;8/24</formula>
    </cfRule>
  </conditionalFormatting>
  <conditionalFormatting sqref="B54:C66 D55:D66">
    <cfRule type="expression" dxfId="3482" priority="33">
      <formula>B54&gt;$AG54</formula>
    </cfRule>
  </conditionalFormatting>
  <conditionalFormatting sqref="B55:D59">
    <cfRule type="expression" dxfId="3481" priority="60">
      <formula>B$9&gt;=20/24</formula>
    </cfRule>
    <cfRule type="expression" dxfId="3480" priority="61">
      <formula>AND(B$9&gt;=14/24,B$9&lt;20/24)</formula>
    </cfRule>
    <cfRule type="expression" dxfId="3479" priority="62">
      <formula>AND(B$9&gt;=8/24,B$9&lt;14/24)</formula>
    </cfRule>
    <cfRule type="expression" dxfId="3478" priority="63">
      <formula>B$9&lt;8/24</formula>
    </cfRule>
  </conditionalFormatting>
  <conditionalFormatting sqref="B60:W60">
    <cfRule type="expression" dxfId="3477" priority="51">
      <formula>B$9&gt;=20/24</formula>
    </cfRule>
    <cfRule type="expression" dxfId="3476" priority="52">
      <formula>AND(B$9&gt;=14/24,B$9&lt;20/24)</formula>
    </cfRule>
    <cfRule type="expression" dxfId="3475" priority="53">
      <formula>AND(B$9&gt;=8/24,B$9&lt;14/24)</formula>
    </cfRule>
    <cfRule type="expression" dxfId="3474" priority="54">
      <formula>B$9&lt;8/24</formula>
    </cfRule>
  </conditionalFormatting>
  <conditionalFormatting sqref="B61:AF66">
    <cfRule type="expression" dxfId="3473" priority="34">
      <formula>B$9&gt;=20/24</formula>
    </cfRule>
    <cfRule type="expression" dxfId="3472" priority="35">
      <formula>AND(B$9&gt;=14/24,B$9&lt;20/24)</formula>
    </cfRule>
    <cfRule type="expression" dxfId="3471" priority="36">
      <formula>AND(B$9&gt;=8/24,B$9&lt;14/24)</formula>
    </cfRule>
    <cfRule type="expression" dxfId="3470" priority="37">
      <formula>B$9&lt;8/24</formula>
    </cfRule>
  </conditionalFormatting>
  <conditionalFormatting sqref="B9:AF45">
    <cfRule type="expression" dxfId="3469" priority="23">
      <formula>B$9&gt;=20/24</formula>
    </cfRule>
    <cfRule type="expression" dxfId="3468" priority="24">
      <formula>AND(B$9&gt;=14/24,B$9&lt;20/24)</formula>
    </cfRule>
    <cfRule type="expression" dxfId="3467" priority="25">
      <formula>AND(B$9&gt;=8/24,B$9&lt;14/24)</formula>
    </cfRule>
    <cfRule type="expression" dxfId="3466" priority="26">
      <formula>B$9&lt;8/24</formula>
    </cfRule>
  </conditionalFormatting>
  <conditionalFormatting sqref="B11:AF46">
    <cfRule type="expression" dxfId="3465" priority="22">
      <formula>B11&gt;$AG11</formula>
    </cfRule>
  </conditionalFormatting>
  <conditionalFormatting sqref="B46:AF46">
    <cfRule type="expression" dxfId="3464" priority="18">
      <formula>B$9&gt;=20/24</formula>
    </cfRule>
    <cfRule type="expression" dxfId="3463" priority="19">
      <formula>AND(B$9&gt;=14/24,B$9&lt;20/24)</formula>
    </cfRule>
    <cfRule type="expression" dxfId="3462" priority="20">
      <formula>AND(B$9&gt;=8/24,B$9&lt;14/24)</formula>
    </cfRule>
    <cfRule type="expression" dxfId="3461" priority="21">
      <formula>B$9&lt;8/24</formula>
    </cfRule>
  </conditionalFormatting>
  <conditionalFormatting sqref="B47:AF47">
    <cfRule type="expression" dxfId="3460" priority="32">
      <formula>B47&gt;$AG47</formula>
    </cfRule>
  </conditionalFormatting>
  <conditionalFormatting sqref="B47:AF49">
    <cfRule type="expression" dxfId="3459" priority="28">
      <formula>B$9&gt;=20/24</formula>
    </cfRule>
    <cfRule type="expression" dxfId="3458" priority="29">
      <formula>AND(B$9&gt;=14/24,B$9&lt;20/24)</formula>
    </cfRule>
    <cfRule type="expression" dxfId="3457" priority="30">
      <formula>AND(B$9&gt;=8/24,B$9&lt;14/24)</formula>
    </cfRule>
    <cfRule type="expression" dxfId="3456" priority="31">
      <formula>B$9&lt;8/24</formula>
    </cfRule>
  </conditionalFormatting>
  <conditionalFormatting sqref="B48:AF53">
    <cfRule type="expression" dxfId="3455" priority="27">
      <formula>B48&gt;$AG48</formula>
    </cfRule>
  </conditionalFormatting>
  <conditionalFormatting sqref="B51:AF53">
    <cfRule type="expression" dxfId="3454" priority="47">
      <formula>B$9&gt;=20/24</formula>
    </cfRule>
    <cfRule type="expression" dxfId="3453" priority="48">
      <formula>AND(B$9&gt;=14/24,B$9&lt;20/24)</formula>
    </cfRule>
    <cfRule type="expression" dxfId="3452" priority="49">
      <formula>AND(B$9&gt;=8/24,B$9&lt;14/24)</formula>
    </cfRule>
    <cfRule type="expression" dxfId="3451" priority="50">
      <formula>B$9&lt;8/24</formula>
    </cfRule>
  </conditionalFormatting>
  <conditionalFormatting sqref="B69:AF71">
    <cfRule type="expression" dxfId="3450" priority="55">
      <formula>B69&gt;$AG69</formula>
    </cfRule>
    <cfRule type="expression" dxfId="3449" priority="56">
      <formula>B$9&gt;=20/24</formula>
    </cfRule>
    <cfRule type="expression" dxfId="3448" priority="57">
      <formula>AND(B$9&gt;=14/24,B$9&lt;20/24)</formula>
    </cfRule>
    <cfRule type="expression" dxfId="3447" priority="58">
      <formula>AND(B$9&gt;=8/24,B$9&lt;14/24)</formula>
    </cfRule>
    <cfRule type="expression" dxfId="3446" priority="59">
      <formula>B$9&lt;8/24</formula>
    </cfRule>
  </conditionalFormatting>
  <conditionalFormatting sqref="B73:AF91">
    <cfRule type="expression" dxfId="3445" priority="1">
      <formula>B$9&gt;=20/24</formula>
    </cfRule>
    <cfRule type="expression" dxfId="3444" priority="2">
      <formula>AND(B$9&gt;=14/24,B$9&lt;20/24)</formula>
    </cfRule>
    <cfRule type="expression" dxfId="3443" priority="3">
      <formula>AND(B$9&gt;=8/24,B$9&lt;14/24)</formula>
    </cfRule>
    <cfRule type="expression" dxfId="3442" priority="4">
      <formula>B$9&lt;8/24</formula>
    </cfRule>
  </conditionalFormatting>
  <conditionalFormatting sqref="B111:AF120">
    <cfRule type="expression" dxfId="3441" priority="14">
      <formula>B$9&gt;=20/24</formula>
    </cfRule>
    <cfRule type="expression" dxfId="3440" priority="15">
      <formula>AND(B$9&gt;=14/24,B$9&lt;20/24)</formula>
    </cfRule>
    <cfRule type="expression" dxfId="3439" priority="16">
      <formula>AND(B$9&gt;=8/24,B$9&lt;14/24)</formula>
    </cfRule>
    <cfRule type="expression" dxfId="3438" priority="17">
      <formula>B$9&lt;8/24</formula>
    </cfRule>
  </conditionalFormatting>
  <conditionalFormatting sqref="B227:AF227 D229:AF230 B229:B235 D231:H231 J231:AF231 D232:AF235 U248:AF248">
    <cfRule type="expression" dxfId="3437" priority="108">
      <formula>B$9&gt;=20/24</formula>
    </cfRule>
    <cfRule type="expression" dxfId="3436" priority="109">
      <formula>AND(B$9&gt;=14/24,B$9&lt;20/24)</formula>
    </cfRule>
    <cfRule type="expression" dxfId="3435" priority="110">
      <formula>AND(B$9&gt;=8/24,B$9&lt;14/24)</formula>
    </cfRule>
    <cfRule type="expression" dxfId="3434" priority="111">
      <formula>B$9&lt;8/24</formula>
    </cfRule>
  </conditionalFormatting>
  <conditionalFormatting sqref="B72:AG72 B67:AG68">
    <cfRule type="expression" dxfId="3433" priority="42">
      <formula>B67&gt;$AG67</formula>
    </cfRule>
  </conditionalFormatting>
  <conditionalFormatting sqref="B72:AG72 B93:AF109">
    <cfRule type="expression" dxfId="3432" priority="43">
      <formula>B$9&gt;=20/24</formula>
    </cfRule>
    <cfRule type="expression" dxfId="3431" priority="44">
      <formula>AND(B$9&gt;=14/24,B$9&lt;20/24)</formula>
    </cfRule>
    <cfRule type="expression" dxfId="3430" priority="45">
      <formula>AND(B$9&gt;=8/24,B$9&lt;14/24)</formula>
    </cfRule>
    <cfRule type="expression" dxfId="3429" priority="46">
      <formula>B$9&lt;8/24</formula>
    </cfRule>
  </conditionalFormatting>
  <conditionalFormatting sqref="E55:AF66">
    <cfRule type="expression" dxfId="3428" priority="5">
      <formula>E55&gt;$AG55</formula>
    </cfRule>
  </conditionalFormatting>
  <conditionalFormatting sqref="D54:AG54">
    <cfRule type="expression" dxfId="3427" priority="76">
      <formula>D54&gt;$AG54</formula>
    </cfRule>
    <cfRule type="expression" dxfId="3426" priority="77">
      <formula>D$9&gt;=20/24</formula>
    </cfRule>
    <cfRule type="expression" dxfId="3425" priority="78">
      <formula>AND(D$9&gt;=14/24,D$9&lt;20/24)</formula>
    </cfRule>
    <cfRule type="expression" dxfId="3424" priority="79">
      <formula>AND(D$9&gt;=8/24,D$9&lt;14/24)</formula>
    </cfRule>
    <cfRule type="expression" dxfId="3423" priority="80">
      <formula>D$9&lt;8/24</formula>
    </cfRule>
  </conditionalFormatting>
  <conditionalFormatting sqref="E55:W57">
    <cfRule type="expression" dxfId="3422" priority="89">
      <formula>E$9&gt;=20/24</formula>
    </cfRule>
    <cfRule type="expression" dxfId="3421" priority="90">
      <formula>AND(E$9&gt;=14/24,E$9&lt;20/24)</formula>
    </cfRule>
    <cfRule type="expression" dxfId="3420" priority="91">
      <formula>AND(E$9&gt;=8/24,E$9&lt;14/24)</formula>
    </cfRule>
    <cfRule type="expression" dxfId="3419" priority="92">
      <formula>E$9&lt;8/24</formula>
    </cfRule>
  </conditionalFormatting>
  <conditionalFormatting sqref="M55:W59">
    <cfRule type="expression" dxfId="3418" priority="93">
      <formula>M$9&gt;=20/24</formula>
    </cfRule>
    <cfRule type="expression" dxfId="3417" priority="94">
      <formula>AND(M$9&gt;=14/24,M$9&lt;20/24)</formula>
    </cfRule>
    <cfRule type="expression" dxfId="3416" priority="95">
      <formula>AND(M$9&gt;=8/24,M$9&lt;14/24)</formula>
    </cfRule>
    <cfRule type="expression" dxfId="3415" priority="96">
      <formula>M$9&lt;8/24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414" priority="114">
      <formula>C$9&gt;=20/24</formula>
    </cfRule>
  </conditionalFormatting>
  <conditionalFormatting sqref="S8">
    <cfRule type="expression" dxfId="3413" priority="101">
      <formula>U$9&gt;=20/24</formula>
    </cfRule>
    <cfRule type="expression" dxfId="3412" priority="102">
      <formula>AND(U$9&gt;=14/24,U$9&lt;20/24)</formula>
    </cfRule>
    <cfRule type="expression" dxfId="3411" priority="103">
      <formula>AND(U$9&gt;=8/24,U$9&lt;14/24)</formula>
    </cfRule>
    <cfRule type="expression" dxfId="3410" priority="104">
      <formula>U$9&lt;8/24</formula>
    </cfRule>
  </conditionalFormatting>
  <conditionalFormatting sqref="S55:AF60">
    <cfRule type="expression" dxfId="3409" priority="10">
      <formula>S$9&gt;=20/24</formula>
    </cfRule>
    <cfRule type="expression" dxfId="3408" priority="11">
      <formula>AND(S$9&gt;=14/24,S$9&lt;20/24)</formula>
    </cfRule>
    <cfRule type="expression" dxfId="3407" priority="12">
      <formula>AND(S$9&gt;=8/24,S$9&lt;14/24)</formula>
    </cfRule>
    <cfRule type="expression" dxfId="3406" priority="13">
      <formula>S$9&lt;8/24</formula>
    </cfRule>
  </conditionalFormatting>
  <conditionalFormatting sqref="T248">
    <cfRule type="expression" dxfId="3405" priority="126">
      <formula>AX$9&gt;=20/24</formula>
    </cfRule>
    <cfRule type="expression" dxfId="3404" priority="127">
      <formula>AND(AX$9&gt;=14/24,AX$9&lt;20/24)</formula>
    </cfRule>
    <cfRule type="expression" dxfId="3403" priority="128">
      <formula>AND(AX$9&gt;=8/24,AX$9&lt;14/24)</formula>
    </cfRule>
    <cfRule type="expression" dxfId="3402" priority="129">
      <formula>AX$9&lt;8/24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401" priority="97">
      <formula>AD$9&gt;=20/24</formula>
    </cfRule>
    <cfRule type="expression" dxfId="3400" priority="98">
      <formula>AND(AD$9&gt;=14/24,AD$9&lt;20/24)</formula>
    </cfRule>
    <cfRule type="expression" dxfId="3399" priority="99">
      <formula>AND(AD$9&gt;=8/24,AD$9&lt;14/24)</formula>
    </cfRule>
    <cfRule type="expression" dxfId="3398" priority="100">
      <formula>AD$9&lt;8/24</formula>
    </cfRule>
  </conditionalFormatting>
  <conditionalFormatting sqref="AE61:AF66">
    <cfRule type="expression" dxfId="3397" priority="6">
      <formula>AE$9&gt;=20/24</formula>
    </cfRule>
    <cfRule type="expression" dxfId="3396" priority="7">
      <formula>AND(AE$9&gt;=14/24,AE$9&lt;20/24)</formula>
    </cfRule>
    <cfRule type="expression" dxfId="3395" priority="8">
      <formula>AND(AE$9&gt;=8/24,AE$9&lt;14/24)</formula>
    </cfRule>
    <cfRule type="expression" dxfId="3394" priority="9">
      <formula>AE$9&lt;8/24</formula>
    </cfRule>
  </conditionalFormatting>
  <conditionalFormatting sqref="AG50">
    <cfRule type="expression" dxfId="3393" priority="84">
      <formula>AG50&gt;$AG50</formula>
    </cfRule>
  </conditionalFormatting>
  <conditionalFormatting sqref="AG89">
    <cfRule type="expression" dxfId="3392" priority="85">
      <formula>AG$9&gt;=20/24</formula>
    </cfRule>
    <cfRule type="expression" dxfId="3391" priority="86">
      <formula>AND(AG$9&gt;=14/24,AG$9&lt;20/24)</formula>
    </cfRule>
    <cfRule type="expression" dxfId="3390" priority="87">
      <formula>AND(AG$9&gt;=8/24,AG$9&lt;14/24)</formula>
    </cfRule>
    <cfRule type="expression" dxfId="3389" priority="88">
      <formula>AG$9&lt;8/24</formula>
    </cfRule>
  </conditionalFormatting>
  <conditionalFormatting sqref="AG248">
    <cfRule type="expression" dxfId="3388" priority="118">
      <formula>B$9&gt;=20/24</formula>
    </cfRule>
    <cfRule type="expression" dxfId="3387" priority="119">
      <formula>AND(B$9&gt;=14/24,B$9&lt;20/24)</formula>
    </cfRule>
    <cfRule type="expression" dxfId="3386" priority="120">
      <formula>AND(B$9&gt;=8/24,B$9&lt;14/24)</formula>
    </cfRule>
    <cfRule type="expression" dxfId="3385" priority="121">
      <formula>B$9&lt;8/24</formula>
    </cfRule>
  </conditionalFormatting>
  <conditionalFormatting sqref="AH248:AX248">
    <cfRule type="expression" dxfId="3384" priority="122">
      <formula>AG$9&gt;=20/24</formula>
    </cfRule>
    <cfRule type="expression" dxfId="3383" priority="123">
      <formula>AND(AG$9&gt;=14/24,AG$9&lt;20/24)</formula>
    </cfRule>
    <cfRule type="expression" dxfId="3382" priority="124">
      <formula>AND(AG$9&gt;=8/24,AG$9&lt;14/24)</formula>
    </cfRule>
    <cfRule type="expression" dxfId="3381" priority="125">
      <formula>AG$9&lt;8/24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380" priority="131">
      <formula>AJ$9&gt;=20/24</formula>
    </cfRule>
    <cfRule type="expression" dxfId="3379" priority="132">
      <formula>AND(AJ$9&gt;=14/24,AJ$9&lt;20/24)</formula>
    </cfRule>
    <cfRule type="expression" dxfId="3378" priority="133">
      <formula>AND(AJ$9&gt;=8/24,AJ$9&lt;14/24)</formula>
    </cfRule>
    <cfRule type="expression" dxfId="3377" priority="134">
      <formula>AJ$9&lt;8/24</formula>
    </cfRule>
  </conditionalFormatting>
  <conditionalFormatting sqref="AL80:AN80 AL86:AN86">
    <cfRule type="expression" dxfId="3376" priority="72">
      <formula>AL$9&gt;=20/24</formula>
    </cfRule>
    <cfRule type="expression" dxfId="3375" priority="73">
      <formula>AND(AL$9&gt;=14/24,AL$9&lt;20/24)</formula>
    </cfRule>
    <cfRule type="expression" dxfId="3374" priority="74">
      <formula>AND(AL$9&gt;=8/24,AL$9&lt;14/24)</formula>
    </cfRule>
    <cfRule type="expression" dxfId="3373" priority="75">
      <formula>AL$9&lt;8/24</formula>
    </cfRule>
  </conditionalFormatting>
  <conditionalFormatting sqref="AN81:AN84">
    <cfRule type="expression" dxfId="3372" priority="68">
      <formula>AN$9&gt;=20/24</formula>
    </cfRule>
    <cfRule type="expression" dxfId="3371" priority="69">
      <formula>AND(AN$9&gt;=14/24,AN$9&lt;20/24)</formula>
    </cfRule>
    <cfRule type="expression" dxfId="3370" priority="70">
      <formula>AND(AN$9&gt;=8/24,AN$9&lt;14/24)</formula>
    </cfRule>
    <cfRule type="expression" dxfId="3369" priority="71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3CBE-798C-41C0-8A3C-32245E1FF1E2}">
  <dimension ref="A1:CJ281"/>
  <sheetViews>
    <sheetView zoomScaleNormal="100"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U2" sqref="U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9.85546875" style="1" customWidth="1"/>
    <col min="12" max="12" width="7.42578125" style="1" customWidth="1"/>
    <col min="13" max="13" width="7.28515625" style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e">
        <f ca="1">"2080/"&amp;"04/"&amp;INT(MID(CELL("filename",D6),FIND("]",CELL("filename",D6))+1,200))</f>
        <v>#VALUE!</v>
      </c>
      <c r="C4" s="203"/>
      <c r="D4" s="203"/>
      <c r="E4" s="204" t="e">
        <f ca="1">"2079/"&amp;"12/"&amp;INT(MID(CELL("filename",G6),FIND("]",CELL("filename",G6))+1,200))</f>
        <v>#VALUE!</v>
      </c>
      <c r="F4" s="204"/>
      <c r="G4" s="204"/>
      <c r="H4" s="204" t="e">
        <f ca="1">TEXT(E4,"dddd")</f>
        <v>#VALUE!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B84</f>
        <v>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2005MW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2024.1399999999999</v>
      </c>
      <c r="C7" s="35">
        <f t="shared" si="1"/>
        <v>1931.1399999999999</v>
      </c>
      <c r="D7" s="35">
        <f t="shared" si="1"/>
        <v>1916.1399999999999</v>
      </c>
      <c r="E7" s="35">
        <f t="shared" si="1"/>
        <v>1931.1399999999999</v>
      </c>
      <c r="F7" s="35">
        <f t="shared" si="1"/>
        <v>1921.84</v>
      </c>
      <c r="G7" s="35">
        <f t="shared" si="1"/>
        <v>1956.84</v>
      </c>
      <c r="H7" s="35">
        <f t="shared" si="1"/>
        <v>1959.74</v>
      </c>
      <c r="I7" s="35">
        <f t="shared" si="1"/>
        <v>1959.74</v>
      </c>
      <c r="J7" s="35">
        <f t="shared" si="1"/>
        <v>1965.74</v>
      </c>
      <c r="K7" s="35">
        <f t="shared" si="1"/>
        <v>2000.24</v>
      </c>
      <c r="L7" s="35">
        <f t="shared" si="1"/>
        <v>1964.84</v>
      </c>
      <c r="M7" s="35">
        <f t="shared" si="1"/>
        <v>2004.64</v>
      </c>
      <c r="N7" s="35">
        <f>N91</f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3.54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90</v>
      </c>
      <c r="C11" s="45">
        <v>90</v>
      </c>
      <c r="D11" s="45">
        <v>90</v>
      </c>
      <c r="E11" s="45">
        <v>90</v>
      </c>
      <c r="F11" s="45">
        <v>90</v>
      </c>
      <c r="G11" s="45">
        <v>90</v>
      </c>
      <c r="H11" s="45">
        <v>90</v>
      </c>
      <c r="I11" s="45">
        <v>90</v>
      </c>
      <c r="J11" s="45">
        <v>90</v>
      </c>
      <c r="K11" s="45">
        <v>90</v>
      </c>
      <c r="L11" s="45">
        <v>90</v>
      </c>
      <c r="M11" s="45">
        <v>90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86</v>
      </c>
      <c r="AH11" s="47">
        <f t="shared" ref="AH11:AH76" si="2">MAX(B11:AF11)</f>
        <v>90</v>
      </c>
      <c r="AI11" s="48">
        <f t="shared" ref="AI11:AI76" si="3">MIN(B11:AF11)</f>
        <v>90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13</v>
      </c>
      <c r="C12" s="45">
        <v>13</v>
      </c>
      <c r="D12" s="45">
        <v>13</v>
      </c>
      <c r="E12" s="45">
        <v>13</v>
      </c>
      <c r="F12" s="45">
        <v>13</v>
      </c>
      <c r="G12" s="45">
        <v>13</v>
      </c>
      <c r="H12" s="45">
        <v>13</v>
      </c>
      <c r="I12" s="45">
        <v>13</v>
      </c>
      <c r="J12" s="45">
        <v>13</v>
      </c>
      <c r="K12" s="45">
        <v>27</v>
      </c>
      <c r="L12" s="45">
        <v>27</v>
      </c>
      <c r="M12" s="45">
        <v>27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9">
        <v>54</v>
      </c>
      <c r="AH12" s="47">
        <f t="shared" si="2"/>
        <v>27</v>
      </c>
      <c r="AI12" s="48">
        <f t="shared" si="3"/>
        <v>13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54.8</v>
      </c>
      <c r="C13" s="45">
        <v>54.8</v>
      </c>
      <c r="D13" s="45">
        <v>54.8</v>
      </c>
      <c r="E13" s="45">
        <v>54.8</v>
      </c>
      <c r="F13" s="45">
        <v>54.8</v>
      </c>
      <c r="G13" s="45">
        <v>54.8</v>
      </c>
      <c r="H13" s="45">
        <v>54.8</v>
      </c>
      <c r="I13" s="45">
        <v>54.8</v>
      </c>
      <c r="J13" s="45">
        <v>54.8</v>
      </c>
      <c r="K13" s="45">
        <v>54.8</v>
      </c>
      <c r="L13" s="45">
        <v>54.8</v>
      </c>
      <c r="M13" s="45">
        <v>54.9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6">
        <v>52.4</v>
      </c>
      <c r="AH13" s="47">
        <f t="shared" si="2"/>
        <v>54.9</v>
      </c>
      <c r="AI13" s="48">
        <f t="shared" si="3"/>
        <v>54.8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>
        <v>50.4</v>
      </c>
      <c r="C14" s="58">
        <v>50.4</v>
      </c>
      <c r="D14" s="58">
        <v>50.4</v>
      </c>
      <c r="E14" s="58">
        <v>50.4</v>
      </c>
      <c r="F14" s="58">
        <v>50.4</v>
      </c>
      <c r="G14" s="58">
        <v>50.4</v>
      </c>
      <c r="H14" s="58">
        <v>50.4</v>
      </c>
      <c r="I14" s="58">
        <v>50.4</v>
      </c>
      <c r="J14" s="58">
        <v>50.4</v>
      </c>
      <c r="K14" s="58">
        <v>50.4</v>
      </c>
      <c r="L14" s="58">
        <v>50.4</v>
      </c>
      <c r="M14" s="58">
        <v>50.4</v>
      </c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45"/>
      <c r="AA14" s="45"/>
      <c r="AB14" s="45"/>
      <c r="AC14" s="45"/>
      <c r="AD14" s="45"/>
      <c r="AE14" s="45"/>
      <c r="AF14" s="45"/>
      <c r="AG14" s="49">
        <v>50</v>
      </c>
      <c r="AH14" s="47">
        <f t="shared" si="2"/>
        <v>50.4</v>
      </c>
      <c r="AI14" s="48">
        <f t="shared" si="3"/>
        <v>50.4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45.8</v>
      </c>
      <c r="C15" s="45">
        <v>45.8</v>
      </c>
      <c r="D15" s="45">
        <v>45.8</v>
      </c>
      <c r="E15" s="45">
        <v>45.8</v>
      </c>
      <c r="F15" s="45">
        <v>45.8</v>
      </c>
      <c r="G15" s="45">
        <v>45.8</v>
      </c>
      <c r="H15" s="45">
        <v>45.8</v>
      </c>
      <c r="I15" s="45">
        <v>45.8</v>
      </c>
      <c r="J15" s="45">
        <v>45.8</v>
      </c>
      <c r="K15" s="45">
        <v>45.8</v>
      </c>
      <c r="L15" s="45">
        <v>45.8</v>
      </c>
      <c r="M15" s="45">
        <v>45.9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9">
        <v>45</v>
      </c>
      <c r="AH15" s="47">
        <f t="shared" si="2"/>
        <v>45.9</v>
      </c>
      <c r="AI15" s="48">
        <f t="shared" si="3"/>
        <v>45.8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21</v>
      </c>
      <c r="C17" s="45">
        <v>21</v>
      </c>
      <c r="D17" s="45">
        <v>21</v>
      </c>
      <c r="E17" s="45">
        <v>28</v>
      </c>
      <c r="F17" s="45">
        <v>28</v>
      </c>
      <c r="G17" s="45">
        <v>28</v>
      </c>
      <c r="H17" s="45">
        <v>28</v>
      </c>
      <c r="I17" s="45">
        <v>28</v>
      </c>
      <c r="J17" s="45">
        <v>28</v>
      </c>
      <c r="K17" s="45">
        <v>28</v>
      </c>
      <c r="L17" s="45">
        <v>28</v>
      </c>
      <c r="M17" s="45">
        <v>28.4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9">
        <v>42</v>
      </c>
      <c r="AH17" s="47">
        <f t="shared" si="2"/>
        <v>28.4</v>
      </c>
      <c r="AI17" s="48">
        <f t="shared" si="3"/>
        <v>21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9">
        <v>38.46</v>
      </c>
      <c r="AH18" s="47">
        <f t="shared" si="2"/>
        <v>38</v>
      </c>
      <c r="AI18" s="48">
        <f t="shared" si="3"/>
        <v>38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9">
        <v>36</v>
      </c>
      <c r="AH19" s="47">
        <f t="shared" si="2"/>
        <v>0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30</v>
      </c>
      <c r="C20" s="45">
        <v>30</v>
      </c>
      <c r="D20" s="45">
        <v>15</v>
      </c>
      <c r="E20" s="45">
        <v>15</v>
      </c>
      <c r="F20" s="45">
        <v>15</v>
      </c>
      <c r="G20" s="45">
        <v>15</v>
      </c>
      <c r="H20" s="45">
        <v>15</v>
      </c>
      <c r="I20" s="45">
        <v>15</v>
      </c>
      <c r="J20" s="45">
        <v>15</v>
      </c>
      <c r="K20" s="45">
        <v>25</v>
      </c>
      <c r="L20" s="45">
        <v>10</v>
      </c>
      <c r="M20" s="45">
        <v>20</v>
      </c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51">
        <v>30</v>
      </c>
      <c r="AH20" s="47">
        <f t="shared" si="2"/>
        <v>30</v>
      </c>
      <c r="AI20" s="48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20</v>
      </c>
      <c r="C21" s="45">
        <v>20</v>
      </c>
      <c r="D21" s="45">
        <v>20</v>
      </c>
      <c r="E21" s="45">
        <v>20</v>
      </c>
      <c r="F21" s="45">
        <v>20</v>
      </c>
      <c r="G21" s="45">
        <v>20</v>
      </c>
      <c r="H21" s="45">
        <v>20</v>
      </c>
      <c r="I21" s="45">
        <v>20</v>
      </c>
      <c r="J21" s="45">
        <v>20</v>
      </c>
      <c r="K21" s="45">
        <v>20</v>
      </c>
      <c r="L21" s="45">
        <v>20</v>
      </c>
      <c r="M21" s="45">
        <v>33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9">
        <v>24.2</v>
      </c>
      <c r="AH21" s="47">
        <f t="shared" si="2"/>
        <v>33</v>
      </c>
      <c r="AI21" s="48">
        <f t="shared" si="3"/>
        <v>20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28.4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9">
        <v>28</v>
      </c>
      <c r="AH22" s="47">
        <f t="shared" si="2"/>
        <v>28.4</v>
      </c>
      <c r="AI22" s="48">
        <f t="shared" si="3"/>
        <v>20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13.5</v>
      </c>
      <c r="L23" s="45">
        <v>9</v>
      </c>
      <c r="M23" s="45">
        <v>9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51">
        <v>30</v>
      </c>
      <c r="AH23" s="47">
        <f t="shared" si="2"/>
        <v>13.5</v>
      </c>
      <c r="AI23" s="48">
        <f t="shared" si="3"/>
        <v>9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24</v>
      </c>
      <c r="C24" s="45">
        <v>24</v>
      </c>
      <c r="D24" s="45">
        <v>24</v>
      </c>
      <c r="E24" s="45">
        <v>24</v>
      </c>
      <c r="F24" s="45">
        <v>24</v>
      </c>
      <c r="G24" s="45">
        <v>24</v>
      </c>
      <c r="H24" s="45">
        <v>24</v>
      </c>
      <c r="I24" s="45">
        <v>24</v>
      </c>
      <c r="J24" s="45">
        <v>24</v>
      </c>
      <c r="K24" s="45">
        <v>24</v>
      </c>
      <c r="L24" s="45">
        <v>24</v>
      </c>
      <c r="M24" s="45">
        <v>26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9">
        <v>25</v>
      </c>
      <c r="AH24" s="47">
        <f t="shared" si="2"/>
        <v>26</v>
      </c>
      <c r="AI24" s="48">
        <f t="shared" si="3"/>
        <v>24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22</v>
      </c>
      <c r="C26" s="45">
        <v>22</v>
      </c>
      <c r="D26" s="45">
        <v>22</v>
      </c>
      <c r="E26" s="45">
        <v>22</v>
      </c>
      <c r="F26" s="45">
        <v>22</v>
      </c>
      <c r="G26" s="45">
        <v>22</v>
      </c>
      <c r="H26" s="45">
        <v>22</v>
      </c>
      <c r="I26" s="45">
        <v>22</v>
      </c>
      <c r="J26" s="45">
        <v>22</v>
      </c>
      <c r="K26" s="45">
        <v>22</v>
      </c>
      <c r="L26" s="45">
        <v>22</v>
      </c>
      <c r="M26" s="45">
        <v>22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9">
        <v>25</v>
      </c>
      <c r="AH26" s="47">
        <f t="shared" si="2"/>
        <v>22</v>
      </c>
      <c r="AI26" s="48">
        <f t="shared" si="3"/>
        <v>22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13</v>
      </c>
      <c r="C27" s="45">
        <v>13</v>
      </c>
      <c r="D27" s="45">
        <v>13</v>
      </c>
      <c r="E27" s="45">
        <v>13</v>
      </c>
      <c r="F27" s="45">
        <v>13</v>
      </c>
      <c r="G27" s="45">
        <v>13</v>
      </c>
      <c r="H27" s="45">
        <v>13</v>
      </c>
      <c r="I27" s="45">
        <v>13</v>
      </c>
      <c r="J27" s="45">
        <v>13</v>
      </c>
      <c r="K27" s="45">
        <v>13</v>
      </c>
      <c r="L27" s="45">
        <v>9</v>
      </c>
      <c r="M27" s="45">
        <v>9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9">
        <v>25</v>
      </c>
      <c r="AH27" s="47">
        <f t="shared" si="2"/>
        <v>13</v>
      </c>
      <c r="AI27" s="48">
        <f t="shared" si="3"/>
        <v>9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24.9</v>
      </c>
      <c r="C28" s="45">
        <v>24.9</v>
      </c>
      <c r="D28" s="45">
        <v>24.9</v>
      </c>
      <c r="E28" s="45">
        <v>24.9</v>
      </c>
      <c r="F28" s="45">
        <v>24.9</v>
      </c>
      <c r="G28" s="45">
        <v>24.9</v>
      </c>
      <c r="H28" s="45">
        <v>24.9</v>
      </c>
      <c r="I28" s="45">
        <v>24.9</v>
      </c>
      <c r="J28" s="45">
        <v>24.9</v>
      </c>
      <c r="K28" s="45">
        <v>24.9</v>
      </c>
      <c r="L28" s="45">
        <v>24.9</v>
      </c>
      <c r="M28" s="45">
        <v>24.9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9">
        <v>23.5</v>
      </c>
      <c r="AH28" s="47">
        <f t="shared" si="2"/>
        <v>24.9</v>
      </c>
      <c r="AI28" s="48">
        <f t="shared" si="3"/>
        <v>24.9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9">
        <v>22.2</v>
      </c>
      <c r="AH29" s="47">
        <f t="shared" si="2"/>
        <v>0</v>
      </c>
      <c r="AI29" s="48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</v>
      </c>
      <c r="C30" s="45">
        <v>7</v>
      </c>
      <c r="D30" s="45">
        <v>7</v>
      </c>
      <c r="E30" s="45">
        <v>7</v>
      </c>
      <c r="F30" s="45">
        <v>7</v>
      </c>
      <c r="G30" s="45">
        <v>7</v>
      </c>
      <c r="H30" s="45">
        <v>7</v>
      </c>
      <c r="I30" s="45">
        <v>7</v>
      </c>
      <c r="J30" s="45">
        <v>7</v>
      </c>
      <c r="K30" s="45">
        <v>7</v>
      </c>
      <c r="L30" s="45">
        <v>7</v>
      </c>
      <c r="M30" s="45">
        <v>7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9">
        <v>22.1</v>
      </c>
      <c r="AH30" s="47">
        <f t="shared" si="2"/>
        <v>7</v>
      </c>
      <c r="AI30" s="48">
        <f t="shared" si="3"/>
        <v>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19</v>
      </c>
      <c r="C31" s="45">
        <v>19</v>
      </c>
      <c r="D31" s="45">
        <v>19</v>
      </c>
      <c r="E31" s="45">
        <v>19</v>
      </c>
      <c r="F31" s="45">
        <v>19</v>
      </c>
      <c r="G31" s="45">
        <v>19</v>
      </c>
      <c r="H31" s="45">
        <v>19</v>
      </c>
      <c r="I31" s="45">
        <v>19</v>
      </c>
      <c r="J31" s="45">
        <v>19</v>
      </c>
      <c r="K31" s="45">
        <v>19</v>
      </c>
      <c r="L31" s="45">
        <v>19</v>
      </c>
      <c r="M31" s="45">
        <v>19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9">
        <v>22</v>
      </c>
      <c r="AH31" s="47">
        <f t="shared" si="2"/>
        <v>19</v>
      </c>
      <c r="AI31" s="48">
        <f t="shared" si="3"/>
        <v>19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19</v>
      </c>
      <c r="C32" s="45">
        <v>19</v>
      </c>
      <c r="D32" s="45">
        <v>19</v>
      </c>
      <c r="E32" s="45">
        <v>19</v>
      </c>
      <c r="F32" s="45">
        <v>19</v>
      </c>
      <c r="G32" s="45">
        <v>19</v>
      </c>
      <c r="H32" s="45">
        <v>19</v>
      </c>
      <c r="I32" s="45">
        <v>19</v>
      </c>
      <c r="J32" s="45">
        <v>19</v>
      </c>
      <c r="K32" s="45">
        <v>19</v>
      </c>
      <c r="L32" s="45">
        <v>19</v>
      </c>
      <c r="M32" s="45">
        <v>22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9">
        <v>22</v>
      </c>
      <c r="AH32" s="47">
        <f t="shared" si="2"/>
        <v>22</v>
      </c>
      <c r="AI32" s="48">
        <f t="shared" si="3"/>
        <v>19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9">
        <v>20</v>
      </c>
      <c r="AH33" s="47">
        <f t="shared" si="2"/>
        <v>5</v>
      </c>
      <c r="AI33" s="48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5</v>
      </c>
      <c r="C34" s="45">
        <v>5</v>
      </c>
      <c r="D34" s="45">
        <v>5</v>
      </c>
      <c r="E34" s="45">
        <v>5</v>
      </c>
      <c r="F34" s="45">
        <v>5</v>
      </c>
      <c r="G34" s="45">
        <v>5</v>
      </c>
      <c r="H34" s="45">
        <v>5</v>
      </c>
      <c r="I34" s="45">
        <v>5</v>
      </c>
      <c r="J34" s="45">
        <v>5</v>
      </c>
      <c r="K34" s="45">
        <v>5</v>
      </c>
      <c r="L34" s="45">
        <v>5</v>
      </c>
      <c r="M34" s="45">
        <v>5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9">
        <v>18</v>
      </c>
      <c r="AH34" s="47">
        <f t="shared" si="2"/>
        <v>5</v>
      </c>
      <c r="AI34" s="48">
        <f t="shared" si="3"/>
        <v>5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9">
        <v>14.9</v>
      </c>
      <c r="AH35" s="47">
        <f t="shared" si="2"/>
        <v>15</v>
      </c>
      <c r="AI35" s="48">
        <f t="shared" si="3"/>
        <v>15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>
        <v>6.5</v>
      </c>
      <c r="C37" s="45">
        <v>6.5</v>
      </c>
      <c r="D37" s="45">
        <v>6.5</v>
      </c>
      <c r="E37" s="45">
        <v>6.5</v>
      </c>
      <c r="F37" s="45">
        <v>6.5</v>
      </c>
      <c r="G37" s="45">
        <v>6.5</v>
      </c>
      <c r="H37" s="45">
        <v>6.5</v>
      </c>
      <c r="I37" s="45">
        <v>6.5</v>
      </c>
      <c r="J37" s="45">
        <v>6.5</v>
      </c>
      <c r="K37" s="45">
        <v>6.5</v>
      </c>
      <c r="L37" s="45">
        <v>6.5</v>
      </c>
      <c r="M37" s="45">
        <v>6.5</v>
      </c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9">
        <v>13.6</v>
      </c>
      <c r="AH37" s="47">
        <f t="shared" si="2"/>
        <v>6.5</v>
      </c>
      <c r="AI37" s="48">
        <f t="shared" si="3"/>
        <v>6.5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9">
        <v>13</v>
      </c>
      <c r="AH38" s="47">
        <f t="shared" si="2"/>
        <v>6</v>
      </c>
      <c r="AI38" s="48">
        <f t="shared" si="3"/>
        <v>6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>
        <v>6</v>
      </c>
      <c r="C39" s="45">
        <v>6</v>
      </c>
      <c r="D39" s="45">
        <v>6</v>
      </c>
      <c r="E39" s="45">
        <v>6</v>
      </c>
      <c r="F39" s="45">
        <v>6</v>
      </c>
      <c r="G39" s="45">
        <v>6</v>
      </c>
      <c r="H39" s="45">
        <v>6</v>
      </c>
      <c r="I39" s="45">
        <v>6</v>
      </c>
      <c r="J39" s="45">
        <v>12</v>
      </c>
      <c r="K39" s="45">
        <v>12</v>
      </c>
      <c r="L39" s="45">
        <v>6</v>
      </c>
      <c r="M39" s="45">
        <v>6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9">
        <v>12</v>
      </c>
      <c r="AH39" s="47">
        <f t="shared" si="2"/>
        <v>12</v>
      </c>
      <c r="AI39" s="48">
        <f t="shared" si="3"/>
        <v>6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>
        <v>4.0999999999999996</v>
      </c>
      <c r="C40" s="45">
        <v>4.0999999999999996</v>
      </c>
      <c r="D40" s="45">
        <v>4.0999999999999996</v>
      </c>
      <c r="E40" s="45">
        <v>4.0999999999999996</v>
      </c>
      <c r="F40" s="45">
        <v>4.0999999999999996</v>
      </c>
      <c r="G40" s="45">
        <v>4.0999999999999996</v>
      </c>
      <c r="H40" s="45">
        <v>4.0999999999999996</v>
      </c>
      <c r="I40" s="45">
        <v>4.0999999999999996</v>
      </c>
      <c r="J40" s="45">
        <v>4.0999999999999996</v>
      </c>
      <c r="K40" s="45">
        <v>4.0999999999999996</v>
      </c>
      <c r="L40" s="45">
        <v>4.0999999999999996</v>
      </c>
      <c r="M40" s="45">
        <v>4.0999999999999996</v>
      </c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9">
        <v>12</v>
      </c>
      <c r="AH40" s="47">
        <f t="shared" si="2"/>
        <v>4.0999999999999996</v>
      </c>
      <c r="AI40" s="48">
        <f t="shared" si="3"/>
        <v>4.0999999999999996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9">
        <v>12</v>
      </c>
      <c r="AH41" s="47">
        <f t="shared" si="2"/>
        <v>0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>
        <v>0</v>
      </c>
      <c r="C42" s="45">
        <v>0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52">
        <v>22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>
        <v>12</v>
      </c>
      <c r="C43" s="45">
        <v>12</v>
      </c>
      <c r="D43" s="45">
        <v>12</v>
      </c>
      <c r="E43" s="45">
        <v>12</v>
      </c>
      <c r="F43" s="45">
        <v>12</v>
      </c>
      <c r="G43" s="45">
        <v>12</v>
      </c>
      <c r="H43" s="45">
        <v>12</v>
      </c>
      <c r="I43" s="45">
        <v>12</v>
      </c>
      <c r="J43" s="45">
        <v>12</v>
      </c>
      <c r="K43" s="45">
        <v>12</v>
      </c>
      <c r="L43" s="45">
        <v>12</v>
      </c>
      <c r="M43" s="45">
        <v>12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51">
        <v>11.88</v>
      </c>
      <c r="AH43" s="47">
        <f t="shared" si="2"/>
        <v>12</v>
      </c>
      <c r="AI43" s="48">
        <f t="shared" si="3"/>
        <v>12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>
        <v>10</v>
      </c>
      <c r="C44" s="45">
        <v>10</v>
      </c>
      <c r="D44" s="45">
        <v>10</v>
      </c>
      <c r="E44" s="45">
        <v>10</v>
      </c>
      <c r="F44" s="45">
        <v>10</v>
      </c>
      <c r="G44" s="45">
        <v>10</v>
      </c>
      <c r="H44" s="45">
        <v>10</v>
      </c>
      <c r="I44" s="45">
        <v>10</v>
      </c>
      <c r="J44" s="45">
        <v>10</v>
      </c>
      <c r="K44" s="45">
        <v>10</v>
      </c>
      <c r="L44" s="45">
        <v>10</v>
      </c>
      <c r="M44" s="45">
        <v>10</v>
      </c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54">
        <v>11</v>
      </c>
      <c r="AH44" s="47">
        <f t="shared" si="2"/>
        <v>10</v>
      </c>
      <c r="AI44" s="48">
        <f t="shared" si="3"/>
        <v>10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>
        <v>8</v>
      </c>
      <c r="C45" s="45">
        <v>8</v>
      </c>
      <c r="D45" s="45">
        <v>8</v>
      </c>
      <c r="E45" s="45">
        <v>8</v>
      </c>
      <c r="F45" s="45">
        <v>8</v>
      </c>
      <c r="G45" s="45">
        <v>8</v>
      </c>
      <c r="H45" s="45">
        <v>8</v>
      </c>
      <c r="I45" s="45">
        <v>8</v>
      </c>
      <c r="J45" s="45">
        <v>8</v>
      </c>
      <c r="K45" s="45">
        <v>8</v>
      </c>
      <c r="L45" s="45">
        <v>8</v>
      </c>
      <c r="M45" s="45">
        <v>8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54">
        <v>10</v>
      </c>
      <c r="AH45" s="47">
        <f t="shared" si="2"/>
        <v>8</v>
      </c>
      <c r="AI45" s="48">
        <f t="shared" si="3"/>
        <v>8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>
        <v>9</v>
      </c>
      <c r="C46" s="45">
        <v>9</v>
      </c>
      <c r="D46" s="45">
        <v>9</v>
      </c>
      <c r="E46" s="45">
        <v>9</v>
      </c>
      <c r="F46" s="45">
        <v>9</v>
      </c>
      <c r="G46" s="45">
        <v>9</v>
      </c>
      <c r="H46" s="45">
        <v>9</v>
      </c>
      <c r="I46" s="45">
        <v>9</v>
      </c>
      <c r="J46" s="45">
        <v>9</v>
      </c>
      <c r="K46" s="45">
        <v>9</v>
      </c>
      <c r="L46" s="45">
        <v>9</v>
      </c>
      <c r="M46" s="45">
        <v>9</v>
      </c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54">
        <v>10</v>
      </c>
      <c r="AH46" s="47">
        <f t="shared" si="2"/>
        <v>9</v>
      </c>
      <c r="AI46" s="48">
        <f t="shared" si="3"/>
        <v>9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>
        <v>400</v>
      </c>
      <c r="C48" s="56">
        <v>400</v>
      </c>
      <c r="D48" s="56">
        <v>400</v>
      </c>
      <c r="E48" s="56">
        <v>400</v>
      </c>
      <c r="F48" s="56">
        <v>400</v>
      </c>
      <c r="G48" s="56">
        <v>400</v>
      </c>
      <c r="H48" s="56">
        <v>400</v>
      </c>
      <c r="I48" s="56">
        <v>400</v>
      </c>
      <c r="J48" s="56">
        <v>400</v>
      </c>
      <c r="K48" s="56">
        <v>400</v>
      </c>
      <c r="L48" s="56">
        <v>400</v>
      </c>
      <c r="M48" s="56">
        <v>400</v>
      </c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4">
        <v>85</v>
      </c>
      <c r="AH48" s="47">
        <f t="shared" si="2"/>
        <v>400</v>
      </c>
      <c r="AI48" s="48">
        <f t="shared" si="3"/>
        <v>400</v>
      </c>
      <c r="AK48" s="50"/>
    </row>
    <row r="49" spans="1:41" ht="15.75" thickBot="1" x14ac:dyDescent="0.3">
      <c r="A49" s="57" t="s">
        <v>57</v>
      </c>
      <c r="B49" s="56">
        <v>83.5</v>
      </c>
      <c r="C49" s="56">
        <v>83.5</v>
      </c>
      <c r="D49" s="56">
        <v>83.5</v>
      </c>
      <c r="E49" s="56">
        <v>83.5</v>
      </c>
      <c r="F49" s="56">
        <v>83.5</v>
      </c>
      <c r="G49" s="56">
        <v>83.5</v>
      </c>
      <c r="H49" s="56">
        <v>83.5</v>
      </c>
      <c r="I49" s="56">
        <v>83.5</v>
      </c>
      <c r="J49" s="56">
        <v>83.5</v>
      </c>
      <c r="K49" s="56">
        <v>83.5</v>
      </c>
      <c r="L49" s="56">
        <v>83.5</v>
      </c>
      <c r="M49" s="56">
        <v>83.5</v>
      </c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83.5</v>
      </c>
      <c r="AI49" s="48">
        <f t="shared" si="3"/>
        <v>83.5</v>
      </c>
      <c r="AK49" s="50"/>
    </row>
    <row r="50" spans="1:41" ht="15.75" thickBot="1" x14ac:dyDescent="0.3">
      <c r="A50" s="59" t="s">
        <v>58</v>
      </c>
      <c r="B50" s="60">
        <v>1067</v>
      </c>
      <c r="C50" s="60">
        <f t="shared" ref="C50:AF50" si="4">SUM(C11:C48)</f>
        <v>1055.5</v>
      </c>
      <c r="D50" s="60">
        <f t="shared" si="4"/>
        <v>1040.5</v>
      </c>
      <c r="E50" s="60">
        <f t="shared" si="4"/>
        <v>1047.5</v>
      </c>
      <c r="F50" s="60">
        <f t="shared" si="4"/>
        <v>1047.5</v>
      </c>
      <c r="G50" s="60">
        <f t="shared" si="4"/>
        <v>1047.5</v>
      </c>
      <c r="H50" s="60">
        <f t="shared" si="4"/>
        <v>1047.5</v>
      </c>
      <c r="I50" s="60">
        <f t="shared" si="4"/>
        <v>1047.5</v>
      </c>
      <c r="J50" s="60">
        <f t="shared" si="4"/>
        <v>1053.5</v>
      </c>
      <c r="K50" s="60">
        <f t="shared" si="4"/>
        <v>1078</v>
      </c>
      <c r="L50" s="60">
        <f t="shared" si="4"/>
        <v>1048.5</v>
      </c>
      <c r="M50" s="60">
        <f t="shared" si="4"/>
        <v>1085.5</v>
      </c>
      <c r="N50" s="60">
        <f t="shared" si="4"/>
        <v>0</v>
      </c>
      <c r="O50" s="60">
        <f t="shared" si="4"/>
        <v>0</v>
      </c>
      <c r="P50" s="60">
        <f t="shared" si="4"/>
        <v>0</v>
      </c>
      <c r="Q50" s="60">
        <f t="shared" si="4"/>
        <v>0</v>
      </c>
      <c r="R50" s="60">
        <f t="shared" si="4"/>
        <v>0</v>
      </c>
      <c r="S50" s="60">
        <f t="shared" si="4"/>
        <v>0</v>
      </c>
      <c r="T50" s="60">
        <f t="shared" si="4"/>
        <v>0</v>
      </c>
      <c r="U50" s="60">
        <f t="shared" si="4"/>
        <v>0</v>
      </c>
      <c r="V50" s="60">
        <f t="shared" si="4"/>
        <v>0</v>
      </c>
      <c r="W50" s="60">
        <f t="shared" si="4"/>
        <v>0</v>
      </c>
      <c r="X50" s="60">
        <f t="shared" si="4"/>
        <v>0</v>
      </c>
      <c r="Y50" s="60">
        <f t="shared" si="4"/>
        <v>0</v>
      </c>
      <c r="Z50" s="60">
        <f t="shared" si="4"/>
        <v>0</v>
      </c>
      <c r="AA50" s="60">
        <f t="shared" si="4"/>
        <v>0</v>
      </c>
      <c r="AB50" s="60">
        <f t="shared" si="4"/>
        <v>0</v>
      </c>
      <c r="AC50" s="60">
        <f t="shared" si="4"/>
        <v>0</v>
      </c>
      <c r="AD50" s="60">
        <f t="shared" si="4"/>
        <v>0</v>
      </c>
      <c r="AE50" s="60">
        <f t="shared" si="4"/>
        <v>0</v>
      </c>
      <c r="AF50" s="60">
        <f t="shared" si="4"/>
        <v>0</v>
      </c>
      <c r="AG50" s="61">
        <f>SUM(AG13:AG48)</f>
        <v>922.14</v>
      </c>
      <c r="AH50" s="47">
        <f t="shared" si="2"/>
        <v>1085.5</v>
      </c>
      <c r="AI50" s="48">
        <f t="shared" si="3"/>
        <v>0</v>
      </c>
      <c r="AK50" s="50"/>
    </row>
    <row r="51" spans="1:41" x14ac:dyDescent="0.25">
      <c r="A51" s="62" t="s">
        <v>59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175"/>
      <c r="O51" s="175"/>
      <c r="P51" s="175"/>
      <c r="Q51" s="175"/>
      <c r="R51" s="17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51">
        <v>456</v>
      </c>
      <c r="AH51" s="47">
        <f t="shared" si="2"/>
        <v>456</v>
      </c>
      <c r="AI51" s="48">
        <f t="shared" si="3"/>
        <v>456</v>
      </c>
      <c r="AK51" s="50"/>
    </row>
    <row r="52" spans="1:41" x14ac:dyDescent="0.25">
      <c r="A52" s="63" t="s">
        <v>60</v>
      </c>
      <c r="B52" s="64">
        <v>60</v>
      </c>
      <c r="C52" s="64">
        <v>60</v>
      </c>
      <c r="D52" s="64">
        <v>60</v>
      </c>
      <c r="E52" s="64">
        <v>60</v>
      </c>
      <c r="F52" s="64">
        <v>60</v>
      </c>
      <c r="G52" s="64">
        <v>60</v>
      </c>
      <c r="H52" s="64">
        <v>60</v>
      </c>
      <c r="I52" s="64">
        <v>60</v>
      </c>
      <c r="J52" s="64">
        <v>60</v>
      </c>
      <c r="K52" s="64">
        <v>60</v>
      </c>
      <c r="L52" s="64">
        <v>60</v>
      </c>
      <c r="M52" s="64">
        <v>60</v>
      </c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54">
        <v>60</v>
      </c>
      <c r="AH52" s="47">
        <f t="shared" si="2"/>
        <v>60</v>
      </c>
      <c r="AI52" s="48">
        <f t="shared" si="3"/>
        <v>60</v>
      </c>
      <c r="AK52" s="50"/>
    </row>
    <row r="53" spans="1:41" ht="15.75" thickBot="1" x14ac:dyDescent="0.3">
      <c r="A53" s="65" t="s">
        <v>61</v>
      </c>
      <c r="B53" s="66">
        <v>20.100000000000001</v>
      </c>
      <c r="C53" s="66">
        <v>20.100000000000001</v>
      </c>
      <c r="D53" s="66">
        <v>20.100000000000001</v>
      </c>
      <c r="E53" s="66">
        <v>20.100000000000001</v>
      </c>
      <c r="F53" s="66">
        <v>20.100000000000001</v>
      </c>
      <c r="G53" s="66">
        <v>20.100000000000001</v>
      </c>
      <c r="H53" s="66">
        <v>20.100000000000001</v>
      </c>
      <c r="I53" s="66">
        <v>20.100000000000001</v>
      </c>
      <c r="J53" s="66">
        <v>20.100000000000001</v>
      </c>
      <c r="K53" s="66">
        <v>20.100000000000001</v>
      </c>
      <c r="L53" s="66">
        <v>20.100000000000001</v>
      </c>
      <c r="M53" s="66">
        <v>22</v>
      </c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7">
        <v>22.1</v>
      </c>
      <c r="AH53" s="47">
        <f t="shared" si="2"/>
        <v>22</v>
      </c>
      <c r="AI53" s="48">
        <f t="shared" si="3"/>
        <v>20.100000000000001</v>
      </c>
      <c r="AK53" s="50"/>
    </row>
    <row r="54" spans="1:41" ht="15.75" thickBot="1" x14ac:dyDescent="0.3">
      <c r="A54" s="68" t="s">
        <v>62</v>
      </c>
      <c r="B54" s="60">
        <v>536.1</v>
      </c>
      <c r="C54" s="60">
        <f t="shared" ref="C54:AG54" si="5">SUM(C51:C53)</f>
        <v>536.1</v>
      </c>
      <c r="D54" s="60">
        <f t="shared" si="5"/>
        <v>536.1</v>
      </c>
      <c r="E54" s="60">
        <f t="shared" si="5"/>
        <v>536.1</v>
      </c>
      <c r="F54" s="60">
        <f t="shared" si="5"/>
        <v>536.1</v>
      </c>
      <c r="G54" s="60">
        <f t="shared" si="5"/>
        <v>536.1</v>
      </c>
      <c r="H54" s="60">
        <f t="shared" si="5"/>
        <v>536.1</v>
      </c>
      <c r="I54" s="60">
        <f t="shared" si="5"/>
        <v>536.1</v>
      </c>
      <c r="J54" s="60">
        <f t="shared" si="5"/>
        <v>536.1</v>
      </c>
      <c r="K54" s="60">
        <f t="shared" si="5"/>
        <v>536.1</v>
      </c>
      <c r="L54" s="60">
        <f t="shared" si="5"/>
        <v>536.1</v>
      </c>
      <c r="M54" s="60">
        <f t="shared" si="5"/>
        <v>538</v>
      </c>
      <c r="N54" s="60">
        <f t="shared" si="5"/>
        <v>0</v>
      </c>
      <c r="O54" s="60">
        <f t="shared" si="5"/>
        <v>0</v>
      </c>
      <c r="P54" s="60">
        <f t="shared" si="5"/>
        <v>0</v>
      </c>
      <c r="Q54" s="60">
        <f t="shared" si="5"/>
        <v>0</v>
      </c>
      <c r="R54" s="60">
        <f t="shared" si="5"/>
        <v>0</v>
      </c>
      <c r="S54" s="60">
        <f t="shared" si="5"/>
        <v>0</v>
      </c>
      <c r="T54" s="60">
        <f t="shared" si="5"/>
        <v>0</v>
      </c>
      <c r="U54" s="60">
        <f t="shared" si="5"/>
        <v>0</v>
      </c>
      <c r="V54" s="60">
        <f t="shared" si="5"/>
        <v>0</v>
      </c>
      <c r="W54" s="60">
        <f t="shared" si="5"/>
        <v>0</v>
      </c>
      <c r="X54" s="60">
        <f t="shared" si="5"/>
        <v>0</v>
      </c>
      <c r="Y54" s="60">
        <f t="shared" si="5"/>
        <v>0</v>
      </c>
      <c r="Z54" s="60">
        <f t="shared" si="5"/>
        <v>0</v>
      </c>
      <c r="AA54" s="60">
        <f t="shared" si="5"/>
        <v>0</v>
      </c>
      <c r="AB54" s="60">
        <f t="shared" si="5"/>
        <v>0</v>
      </c>
      <c r="AC54" s="60">
        <f t="shared" si="5"/>
        <v>0</v>
      </c>
      <c r="AD54" s="60">
        <f t="shared" si="5"/>
        <v>0</v>
      </c>
      <c r="AE54" s="60">
        <f t="shared" si="5"/>
        <v>0</v>
      </c>
      <c r="AF54" s="60">
        <f t="shared" si="5"/>
        <v>0</v>
      </c>
      <c r="AG54" s="61">
        <f t="shared" si="5"/>
        <v>538.1</v>
      </c>
      <c r="AH54" s="47">
        <f t="shared" si="2"/>
        <v>538</v>
      </c>
      <c r="AI54" s="48">
        <f t="shared" si="3"/>
        <v>0</v>
      </c>
      <c r="AK54" s="50"/>
    </row>
    <row r="55" spans="1:41" x14ac:dyDescent="0.25">
      <c r="A55" s="44" t="s">
        <v>63</v>
      </c>
      <c r="B55" s="45">
        <v>131.9</v>
      </c>
      <c r="C55" s="45">
        <v>131.9</v>
      </c>
      <c r="D55" s="45">
        <v>131.9</v>
      </c>
      <c r="E55" s="45">
        <v>131.9</v>
      </c>
      <c r="F55" s="45">
        <v>131.9</v>
      </c>
      <c r="G55" s="45">
        <v>131.9</v>
      </c>
      <c r="H55" s="45">
        <v>131.9</v>
      </c>
      <c r="I55" s="45">
        <v>131.9</v>
      </c>
      <c r="J55" s="45">
        <v>131.9</v>
      </c>
      <c r="K55" s="45">
        <v>131.9</v>
      </c>
      <c r="L55" s="45">
        <v>126</v>
      </c>
      <c r="M55" s="45">
        <v>126.5</v>
      </c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51">
        <v>144</v>
      </c>
      <c r="AH55" s="47">
        <f t="shared" si="2"/>
        <v>131.9</v>
      </c>
      <c r="AI55" s="48">
        <f t="shared" si="3"/>
        <v>126</v>
      </c>
      <c r="AK55" s="50"/>
    </row>
    <row r="56" spans="1:41" x14ac:dyDescent="0.25">
      <c r="A56" s="53" t="s">
        <v>64</v>
      </c>
      <c r="B56" s="64">
        <v>0</v>
      </c>
      <c r="C56" s="64">
        <v>22</v>
      </c>
      <c r="D56" s="64">
        <v>22</v>
      </c>
      <c r="E56" s="64">
        <v>50</v>
      </c>
      <c r="F56" s="64">
        <v>55</v>
      </c>
      <c r="G56" s="64">
        <v>60</v>
      </c>
      <c r="H56" s="64">
        <v>70</v>
      </c>
      <c r="I56" s="64">
        <v>70</v>
      </c>
      <c r="J56" s="64">
        <v>70</v>
      </c>
      <c r="K56" s="64">
        <v>70</v>
      </c>
      <c r="L56" s="64">
        <v>70</v>
      </c>
      <c r="M56" s="64">
        <v>70</v>
      </c>
      <c r="N56" s="64"/>
      <c r="O56" s="64"/>
      <c r="P56" s="64"/>
      <c r="Q56" s="64"/>
      <c r="R56" s="64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64"/>
      <c r="AE56" s="45"/>
      <c r="AF56" s="45"/>
      <c r="AG56" s="54">
        <v>70</v>
      </c>
      <c r="AH56" s="47">
        <f t="shared" si="2"/>
        <v>70</v>
      </c>
      <c r="AI56" s="48">
        <f t="shared" si="3"/>
        <v>0</v>
      </c>
      <c r="AK56" s="50"/>
    </row>
    <row r="57" spans="1:41" x14ac:dyDescent="0.25">
      <c r="A57" s="53" t="s">
        <v>65</v>
      </c>
      <c r="B57" s="64">
        <v>64.3</v>
      </c>
      <c r="C57" s="64">
        <v>64.3</v>
      </c>
      <c r="D57" s="64">
        <v>64.3</v>
      </c>
      <c r="E57" s="64">
        <v>64.3</v>
      </c>
      <c r="F57" s="64">
        <v>50</v>
      </c>
      <c r="G57" s="64">
        <v>60</v>
      </c>
      <c r="H57" s="64">
        <v>62.9</v>
      </c>
      <c r="I57" s="64">
        <v>62.9</v>
      </c>
      <c r="J57" s="64">
        <v>62.9</v>
      </c>
      <c r="K57" s="64">
        <v>62.9</v>
      </c>
      <c r="L57" s="64">
        <v>62.9</v>
      </c>
      <c r="M57" s="64">
        <v>59.2</v>
      </c>
      <c r="N57" s="64"/>
      <c r="O57" s="64"/>
      <c r="P57" s="64"/>
      <c r="Q57" s="64"/>
      <c r="R57" s="64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64"/>
      <c r="AE57" s="45"/>
      <c r="AF57" s="45"/>
      <c r="AG57" s="54">
        <v>69</v>
      </c>
      <c r="AH57" s="47">
        <f t="shared" si="2"/>
        <v>64.3</v>
      </c>
      <c r="AI57" s="48">
        <f t="shared" si="3"/>
        <v>50</v>
      </c>
      <c r="AK57" s="50"/>
    </row>
    <row r="58" spans="1:41" x14ac:dyDescent="0.25">
      <c r="A58" s="53" t="s">
        <v>66</v>
      </c>
      <c r="B58" s="64">
        <v>60</v>
      </c>
      <c r="C58" s="64">
        <v>60</v>
      </c>
      <c r="D58" s="64">
        <v>60</v>
      </c>
      <c r="E58" s="64">
        <v>40</v>
      </c>
      <c r="F58" s="64">
        <v>40</v>
      </c>
      <c r="G58" s="64">
        <v>60</v>
      </c>
      <c r="H58" s="64">
        <v>50</v>
      </c>
      <c r="I58" s="64">
        <v>50</v>
      </c>
      <c r="J58" s="64">
        <v>50</v>
      </c>
      <c r="K58" s="64">
        <v>60</v>
      </c>
      <c r="L58" s="64">
        <v>60</v>
      </c>
      <c r="M58" s="64">
        <v>42</v>
      </c>
      <c r="N58" s="64"/>
      <c r="O58" s="64"/>
      <c r="P58" s="64"/>
      <c r="Q58" s="64"/>
      <c r="R58" s="64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64"/>
      <c r="AE58" s="45"/>
      <c r="AF58" s="45"/>
      <c r="AG58" s="54">
        <v>60</v>
      </c>
      <c r="AH58" s="47">
        <f t="shared" si="2"/>
        <v>60</v>
      </c>
      <c r="AI58" s="48">
        <f t="shared" si="3"/>
        <v>40</v>
      </c>
      <c r="AK58" s="50"/>
    </row>
    <row r="59" spans="1:41" x14ac:dyDescent="0.25">
      <c r="A59" s="53" t="s">
        <v>67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15</v>
      </c>
      <c r="N59" s="64"/>
      <c r="O59" s="64"/>
      <c r="P59" s="64"/>
      <c r="Q59" s="64"/>
      <c r="R59" s="64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64"/>
      <c r="AE59" s="45"/>
      <c r="AF59" s="45"/>
      <c r="AG59" s="54">
        <v>30</v>
      </c>
      <c r="AH59" s="47">
        <f t="shared" si="2"/>
        <v>15</v>
      </c>
      <c r="AI59" s="48">
        <f t="shared" si="3"/>
        <v>0</v>
      </c>
      <c r="AK59" s="50"/>
    </row>
    <row r="60" spans="1:41" x14ac:dyDescent="0.25">
      <c r="A60" s="53" t="s">
        <v>68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7.1</v>
      </c>
      <c r="N60" s="64"/>
      <c r="O60" s="64"/>
      <c r="P60" s="64"/>
      <c r="Q60" s="64"/>
      <c r="R60" s="64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64"/>
      <c r="AE60" s="45"/>
      <c r="AF60" s="45"/>
      <c r="AG60" s="54">
        <v>25</v>
      </c>
      <c r="AH60" s="47">
        <f t="shared" si="2"/>
        <v>7.1</v>
      </c>
      <c r="AI60" s="48">
        <f t="shared" si="3"/>
        <v>0</v>
      </c>
      <c r="AK60" s="50"/>
    </row>
    <row r="61" spans="1:41" x14ac:dyDescent="0.25">
      <c r="A61" s="53" t="s">
        <v>69</v>
      </c>
      <c r="B61" s="64">
        <v>16</v>
      </c>
      <c r="C61" s="64">
        <v>16</v>
      </c>
      <c r="D61" s="64">
        <v>16</v>
      </c>
      <c r="E61" s="64">
        <v>16</v>
      </c>
      <c r="F61" s="64">
        <v>16</v>
      </c>
      <c r="G61" s="64">
        <v>16</v>
      </c>
      <c r="H61" s="64">
        <v>16</v>
      </c>
      <c r="I61" s="64">
        <v>16</v>
      </c>
      <c r="J61" s="64">
        <v>16</v>
      </c>
      <c r="K61" s="64">
        <v>16</v>
      </c>
      <c r="L61" s="64">
        <v>16</v>
      </c>
      <c r="M61" s="64">
        <v>16</v>
      </c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54">
        <v>24</v>
      </c>
      <c r="AH61" s="47">
        <f t="shared" si="2"/>
        <v>16</v>
      </c>
      <c r="AI61" s="48">
        <f t="shared" si="3"/>
        <v>16</v>
      </c>
      <c r="AK61" s="50"/>
    </row>
    <row r="62" spans="1:41" x14ac:dyDescent="0.25">
      <c r="A62" s="53" t="s">
        <v>70</v>
      </c>
      <c r="B62" s="64">
        <v>5.5</v>
      </c>
      <c r="C62" s="64">
        <v>5.5</v>
      </c>
      <c r="D62" s="64">
        <v>5.5</v>
      </c>
      <c r="E62" s="64">
        <v>5.5</v>
      </c>
      <c r="F62" s="64">
        <v>5.5</v>
      </c>
      <c r="G62" s="64">
        <v>5.5</v>
      </c>
      <c r="H62" s="64">
        <v>5.5</v>
      </c>
      <c r="I62" s="64">
        <v>5.5</v>
      </c>
      <c r="J62" s="64">
        <v>5.5</v>
      </c>
      <c r="K62" s="64">
        <v>5.5</v>
      </c>
      <c r="L62" s="64">
        <v>5.5</v>
      </c>
      <c r="M62" s="64">
        <v>5.5</v>
      </c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54">
        <v>15</v>
      </c>
      <c r="AH62" s="47">
        <f t="shared" si="2"/>
        <v>5.5</v>
      </c>
      <c r="AI62" s="48">
        <f t="shared" si="3"/>
        <v>5.5</v>
      </c>
      <c r="AK62" s="50"/>
      <c r="AL62" s="69"/>
      <c r="AO62" s="69"/>
    </row>
    <row r="63" spans="1:41" s="69" customFormat="1" x14ac:dyDescent="0.25">
      <c r="A63" s="53" t="s">
        <v>71</v>
      </c>
      <c r="B63" s="64">
        <v>8</v>
      </c>
      <c r="C63" s="64">
        <v>8</v>
      </c>
      <c r="D63" s="64">
        <v>8</v>
      </c>
      <c r="E63" s="64">
        <v>8</v>
      </c>
      <c r="F63" s="64">
        <v>8</v>
      </c>
      <c r="G63" s="64">
        <v>8</v>
      </c>
      <c r="H63" s="64">
        <v>8</v>
      </c>
      <c r="I63" s="64">
        <v>8</v>
      </c>
      <c r="J63" s="64">
        <v>8</v>
      </c>
      <c r="K63" s="64">
        <v>8</v>
      </c>
      <c r="L63" s="64">
        <v>8</v>
      </c>
      <c r="M63" s="64">
        <v>8</v>
      </c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54">
        <v>14.1</v>
      </c>
      <c r="AH63" s="47">
        <f t="shared" si="2"/>
        <v>8</v>
      </c>
      <c r="AI63" s="48">
        <f t="shared" si="3"/>
        <v>8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>
        <v>13.1</v>
      </c>
      <c r="C64" s="64">
        <v>13.1</v>
      </c>
      <c r="D64" s="64">
        <v>13.1</v>
      </c>
      <c r="E64" s="64">
        <v>13.1</v>
      </c>
      <c r="F64" s="64">
        <v>13.1</v>
      </c>
      <c r="G64" s="64">
        <v>13.1</v>
      </c>
      <c r="H64" s="64">
        <v>13.1</v>
      </c>
      <c r="I64" s="64">
        <v>13.1</v>
      </c>
      <c r="J64" s="64">
        <v>13.1</v>
      </c>
      <c r="K64" s="64">
        <v>13.1</v>
      </c>
      <c r="L64" s="64">
        <v>13.1</v>
      </c>
      <c r="M64" s="64">
        <v>13.1</v>
      </c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54">
        <v>14</v>
      </c>
      <c r="AH64" s="47">
        <f t="shared" si="2"/>
        <v>13.1</v>
      </c>
      <c r="AI64" s="48">
        <f t="shared" si="3"/>
        <v>13.1</v>
      </c>
      <c r="AK64" s="50"/>
    </row>
    <row r="65" spans="1:40" x14ac:dyDescent="0.25">
      <c r="A65" s="53" t="s">
        <v>73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>
        <v>9</v>
      </c>
      <c r="L65" s="64">
        <v>9</v>
      </c>
      <c r="M65" s="64">
        <v>9</v>
      </c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54">
        <v>10.050000000000001</v>
      </c>
      <c r="AH65" s="47">
        <f t="shared" si="2"/>
        <v>9</v>
      </c>
      <c r="AI65" s="48">
        <f t="shared" si="3"/>
        <v>9</v>
      </c>
      <c r="AK65" s="50"/>
    </row>
    <row r="66" spans="1:40" x14ac:dyDescent="0.25">
      <c r="A66" s="53" t="s">
        <v>74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54">
        <v>6.2</v>
      </c>
      <c r="AH66" s="47">
        <f t="shared" si="2"/>
        <v>6.2</v>
      </c>
      <c r="AI66" s="48">
        <f t="shared" si="3"/>
        <v>6.2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v>419.04</v>
      </c>
      <c r="C68" s="60">
        <f t="shared" ref="C68:AG68" si="6">SUM(C55:C67)</f>
        <v>339.54</v>
      </c>
      <c r="D68" s="60">
        <f t="shared" si="6"/>
        <v>339.54</v>
      </c>
      <c r="E68" s="60">
        <f t="shared" si="6"/>
        <v>347.54</v>
      </c>
      <c r="F68" s="60">
        <f t="shared" si="6"/>
        <v>338.24</v>
      </c>
      <c r="G68" s="60">
        <f t="shared" si="6"/>
        <v>373.24</v>
      </c>
      <c r="H68" s="60">
        <f t="shared" si="6"/>
        <v>376.14000000000004</v>
      </c>
      <c r="I68" s="60">
        <f t="shared" si="6"/>
        <v>376.14000000000004</v>
      </c>
      <c r="J68" s="60">
        <f t="shared" si="6"/>
        <v>376.14000000000004</v>
      </c>
      <c r="K68" s="60">
        <f t="shared" si="6"/>
        <v>386.14000000000004</v>
      </c>
      <c r="L68" s="60">
        <f t="shared" si="6"/>
        <v>380.24</v>
      </c>
      <c r="M68" s="60">
        <f t="shared" si="6"/>
        <v>381.14000000000004</v>
      </c>
      <c r="N68" s="60">
        <f t="shared" si="6"/>
        <v>3.54</v>
      </c>
      <c r="O68" s="60">
        <f t="shared" si="6"/>
        <v>3.54</v>
      </c>
      <c r="P68" s="60">
        <f t="shared" si="6"/>
        <v>3.54</v>
      </c>
      <c r="Q68" s="60">
        <f t="shared" si="6"/>
        <v>3.54</v>
      </c>
      <c r="R68" s="60">
        <f t="shared" si="6"/>
        <v>3.54</v>
      </c>
      <c r="S68" s="60">
        <f t="shared" si="6"/>
        <v>3.54</v>
      </c>
      <c r="T68" s="60">
        <f t="shared" si="6"/>
        <v>3.54</v>
      </c>
      <c r="U68" s="60">
        <f t="shared" si="6"/>
        <v>3.54</v>
      </c>
      <c r="V68" s="60">
        <f t="shared" si="6"/>
        <v>3.54</v>
      </c>
      <c r="W68" s="60">
        <f t="shared" si="6"/>
        <v>3.54</v>
      </c>
      <c r="X68" s="60">
        <f t="shared" si="6"/>
        <v>3.54</v>
      </c>
      <c r="Y68" s="60">
        <f t="shared" si="6"/>
        <v>3.54</v>
      </c>
      <c r="Z68" s="60">
        <f t="shared" si="6"/>
        <v>3.54</v>
      </c>
      <c r="AA68" s="60">
        <f t="shared" si="6"/>
        <v>3.54</v>
      </c>
      <c r="AB68" s="60">
        <f t="shared" si="6"/>
        <v>3.54</v>
      </c>
      <c r="AC68" s="60">
        <f t="shared" si="6"/>
        <v>3.54</v>
      </c>
      <c r="AD68" s="60">
        <f t="shared" si="6"/>
        <v>3.54</v>
      </c>
      <c r="AE68" s="60">
        <f t="shared" si="6"/>
        <v>3.54</v>
      </c>
      <c r="AF68" s="60">
        <f t="shared" si="6"/>
        <v>3.54</v>
      </c>
      <c r="AG68" s="61">
        <f t="shared" si="6"/>
        <v>489.91</v>
      </c>
      <c r="AH68" s="47">
        <f t="shared" si="2"/>
        <v>419.04</v>
      </c>
      <c r="AI68" s="48">
        <f t="shared" si="3"/>
        <v>3.54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7">M69+M70+M71</f>
        <v>0</v>
      </c>
      <c r="N72" s="60">
        <f t="shared" si="7"/>
        <v>0</v>
      </c>
      <c r="O72" s="60">
        <f t="shared" si="7"/>
        <v>0</v>
      </c>
      <c r="P72" s="60">
        <f t="shared" si="7"/>
        <v>0</v>
      </c>
      <c r="Q72" s="60">
        <f t="shared" si="7"/>
        <v>0</v>
      </c>
      <c r="R72" s="60">
        <f t="shared" si="7"/>
        <v>0</v>
      </c>
      <c r="S72" s="60">
        <f t="shared" si="7"/>
        <v>0</v>
      </c>
      <c r="T72" s="60">
        <f t="shared" si="7"/>
        <v>0</v>
      </c>
      <c r="U72" s="60">
        <f t="shared" si="7"/>
        <v>0</v>
      </c>
      <c r="V72" s="60">
        <f t="shared" si="7"/>
        <v>0</v>
      </c>
      <c r="W72" s="60">
        <f t="shared" si="7"/>
        <v>0</v>
      </c>
      <c r="X72" s="60">
        <f t="shared" si="7"/>
        <v>0</v>
      </c>
      <c r="Y72" s="60">
        <f t="shared" si="7"/>
        <v>0</v>
      </c>
      <c r="Z72" s="60">
        <f t="shared" si="7"/>
        <v>0</v>
      </c>
      <c r="AA72" s="60">
        <f t="shared" si="7"/>
        <v>0</v>
      </c>
      <c r="AB72" s="60">
        <f t="shared" si="7"/>
        <v>0</v>
      </c>
      <c r="AC72" s="60">
        <f t="shared" si="7"/>
        <v>0</v>
      </c>
      <c r="AD72" s="60">
        <f t="shared" si="7"/>
        <v>0</v>
      </c>
      <c r="AE72" s="60">
        <f t="shared" si="7"/>
        <v>0</v>
      </c>
      <c r="AF72" s="60">
        <f t="shared" si="7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>
        <v>5</v>
      </c>
      <c r="C73" s="45">
        <v>-14</v>
      </c>
      <c r="D73" s="45">
        <v>-15</v>
      </c>
      <c r="E73" s="45">
        <v>-21</v>
      </c>
      <c r="F73" s="45">
        <v>-26</v>
      </c>
      <c r="G73" s="45">
        <v>-27</v>
      </c>
      <c r="H73" s="45">
        <v>-27</v>
      </c>
      <c r="I73" s="45">
        <v>-27</v>
      </c>
      <c r="J73" s="45">
        <v>-27</v>
      </c>
      <c r="K73" s="45">
        <v>-27</v>
      </c>
      <c r="L73" s="45">
        <v>-34.200000000000003</v>
      </c>
      <c r="M73" s="45">
        <v>-31.8</v>
      </c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51"/>
      <c r="AH73" s="47">
        <f t="shared" si="2"/>
        <v>5</v>
      </c>
      <c r="AI73" s="48">
        <f t="shared" si="3"/>
        <v>-34.200000000000003</v>
      </c>
      <c r="AK73" s="50"/>
    </row>
    <row r="74" spans="1:40" x14ac:dyDescent="0.25">
      <c r="A74" s="53" t="s">
        <v>82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>
        <v>-280</v>
      </c>
      <c r="C75" s="64">
        <v>-300</v>
      </c>
      <c r="D75" s="64">
        <v>-296</v>
      </c>
      <c r="E75" s="64">
        <v>-296</v>
      </c>
      <c r="F75" s="64">
        <v>-296</v>
      </c>
      <c r="G75" s="64">
        <v>-296</v>
      </c>
      <c r="H75" s="64">
        <v>-296</v>
      </c>
      <c r="I75" s="64">
        <v>-400</v>
      </c>
      <c r="J75" s="64">
        <v>-420</v>
      </c>
      <c r="K75" s="64">
        <v>-430</v>
      </c>
      <c r="L75" s="64">
        <v>-330</v>
      </c>
      <c r="M75" s="64">
        <v>-377</v>
      </c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74"/>
      <c r="AH75" s="47">
        <f t="shared" si="2"/>
        <v>-280</v>
      </c>
      <c r="AI75" s="48">
        <f t="shared" si="3"/>
        <v>-430</v>
      </c>
      <c r="AK75" s="50"/>
    </row>
    <row r="76" spans="1:40" x14ac:dyDescent="0.25">
      <c r="A76" s="53" t="s">
        <v>84</v>
      </c>
      <c r="B76" s="64"/>
      <c r="C76" s="64"/>
      <c r="D76" s="64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64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45"/>
      <c r="D77" s="64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4"/>
      <c r="AH77" s="47">
        <f t="shared" ref="AH77:AH120" si="8">MAX(B77:AF77)</f>
        <v>0</v>
      </c>
      <c r="AI77" s="48">
        <f t="shared" ref="AI77:AI120" si="9">MIN(B77:AF77)</f>
        <v>0</v>
      </c>
      <c r="AK77" s="50"/>
    </row>
    <row r="78" spans="1:40" x14ac:dyDescent="0.25">
      <c r="A78" s="53" t="s">
        <v>86</v>
      </c>
      <c r="B78" s="45"/>
      <c r="C78" s="76"/>
      <c r="D78" s="64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4"/>
      <c r="AH78" s="47">
        <f t="shared" si="8"/>
        <v>0</v>
      </c>
      <c r="AI78" s="48">
        <f t="shared" si="9"/>
        <v>0</v>
      </c>
      <c r="AK78" s="50"/>
    </row>
    <row r="79" spans="1:40" ht="15.75" thickBot="1" x14ac:dyDescent="0.3">
      <c r="A79" s="53" t="s">
        <v>87</v>
      </c>
      <c r="B79" s="45"/>
      <c r="C79" s="76"/>
      <c r="D79" s="64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4"/>
      <c r="AH79" s="47">
        <f t="shared" si="8"/>
        <v>0</v>
      </c>
      <c r="AI79" s="48">
        <f t="shared" si="9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/>
      <c r="C80" s="76"/>
      <c r="D80" s="64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4"/>
      <c r="AH80" s="47">
        <f t="shared" si="8"/>
        <v>0</v>
      </c>
      <c r="AI80" s="48">
        <f t="shared" si="9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/>
      <c r="C81" s="76"/>
      <c r="D81" s="64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4"/>
      <c r="AH81" s="47">
        <f t="shared" si="8"/>
        <v>0</v>
      </c>
      <c r="AI81" s="48">
        <f t="shared" si="9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/>
      <c r="C82" s="76"/>
      <c r="D82" s="64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84"/>
      <c r="AH82" s="47">
        <f t="shared" si="8"/>
        <v>0</v>
      </c>
      <c r="AI82" s="48">
        <f t="shared" si="9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/>
      <c r="C83" s="76"/>
      <c r="D83" s="64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4"/>
      <c r="AH83" s="47">
        <f t="shared" si="8"/>
        <v>0</v>
      </c>
      <c r="AI83" s="48">
        <f t="shared" si="9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v>2</v>
      </c>
      <c r="C84" s="60">
        <f t="shared" ref="C84:AF84" si="10">SUMIF(C73:C83,"&gt;0")</f>
        <v>0</v>
      </c>
      <c r="D84" s="60">
        <f t="shared" si="10"/>
        <v>0</v>
      </c>
      <c r="E84" s="60">
        <f t="shared" si="10"/>
        <v>0</v>
      </c>
      <c r="F84" s="60">
        <f t="shared" si="10"/>
        <v>0</v>
      </c>
      <c r="G84" s="60">
        <f t="shared" si="10"/>
        <v>0</v>
      </c>
      <c r="H84" s="60">
        <f t="shared" si="10"/>
        <v>0</v>
      </c>
      <c r="I84" s="60">
        <f t="shared" si="10"/>
        <v>0</v>
      </c>
      <c r="J84" s="60">
        <f t="shared" si="10"/>
        <v>0</v>
      </c>
      <c r="K84" s="60">
        <f t="shared" si="10"/>
        <v>0</v>
      </c>
      <c r="L84" s="60">
        <f t="shared" si="10"/>
        <v>0</v>
      </c>
      <c r="M84" s="60">
        <f t="shared" si="10"/>
        <v>0</v>
      </c>
      <c r="N84" s="60">
        <f t="shared" si="10"/>
        <v>0</v>
      </c>
      <c r="O84" s="60">
        <f t="shared" si="10"/>
        <v>0</v>
      </c>
      <c r="P84" s="60">
        <f t="shared" si="10"/>
        <v>0</v>
      </c>
      <c r="Q84" s="60">
        <f t="shared" si="10"/>
        <v>0</v>
      </c>
      <c r="R84" s="60">
        <f t="shared" si="10"/>
        <v>0</v>
      </c>
      <c r="S84" s="60">
        <f t="shared" si="10"/>
        <v>0</v>
      </c>
      <c r="T84" s="60">
        <f t="shared" si="10"/>
        <v>0</v>
      </c>
      <c r="U84" s="60">
        <f t="shared" si="10"/>
        <v>0</v>
      </c>
      <c r="V84" s="60">
        <f t="shared" si="10"/>
        <v>0</v>
      </c>
      <c r="W84" s="60">
        <f t="shared" si="10"/>
        <v>0</v>
      </c>
      <c r="X84" s="60">
        <f t="shared" si="10"/>
        <v>0</v>
      </c>
      <c r="Y84" s="60">
        <f t="shared" si="10"/>
        <v>0</v>
      </c>
      <c r="Z84" s="60">
        <f t="shared" si="10"/>
        <v>0</v>
      </c>
      <c r="AA84" s="60">
        <f t="shared" si="10"/>
        <v>0</v>
      </c>
      <c r="AB84" s="60">
        <f t="shared" si="10"/>
        <v>0</v>
      </c>
      <c r="AC84" s="60">
        <f t="shared" si="10"/>
        <v>0</v>
      </c>
      <c r="AD84" s="60">
        <f t="shared" si="10"/>
        <v>0</v>
      </c>
      <c r="AE84" s="60">
        <f t="shared" si="10"/>
        <v>0</v>
      </c>
      <c r="AF84" s="60">
        <f t="shared" si="10"/>
        <v>0</v>
      </c>
      <c r="AG84" s="87">
        <f>SUM(AG73:AG83)</f>
        <v>0</v>
      </c>
      <c r="AH84" s="47">
        <f t="shared" si="8"/>
        <v>2</v>
      </c>
      <c r="AI84" s="48">
        <f t="shared" si="9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8"/>
        <v>0</v>
      </c>
      <c r="AI85" s="48">
        <f t="shared" si="9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8"/>
        <v>0</v>
      </c>
      <c r="AI86" s="48">
        <f t="shared" si="9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3" t="s">
        <v>100</v>
      </c>
      <c r="B89" s="94">
        <v>2024.1399999999999</v>
      </c>
      <c r="C89" s="94">
        <f t="shared" ref="C89:AG89" si="11">C50+C54+C72+C68+C84+C88</f>
        <v>1931.1399999999999</v>
      </c>
      <c r="D89" s="94">
        <f t="shared" si="11"/>
        <v>1916.1399999999999</v>
      </c>
      <c r="E89" s="94">
        <f t="shared" si="11"/>
        <v>1931.1399999999999</v>
      </c>
      <c r="F89" s="94">
        <f t="shared" si="11"/>
        <v>1921.84</v>
      </c>
      <c r="G89" s="94">
        <f t="shared" si="11"/>
        <v>1956.84</v>
      </c>
      <c r="H89" s="94">
        <f t="shared" si="11"/>
        <v>1959.74</v>
      </c>
      <c r="I89" s="94">
        <f t="shared" si="11"/>
        <v>1959.74</v>
      </c>
      <c r="J89" s="94">
        <f t="shared" si="11"/>
        <v>1965.74</v>
      </c>
      <c r="K89" s="94">
        <f t="shared" si="11"/>
        <v>2000.24</v>
      </c>
      <c r="L89" s="94">
        <f t="shared" si="11"/>
        <v>1964.84</v>
      </c>
      <c r="M89" s="94">
        <f t="shared" si="11"/>
        <v>2004.64</v>
      </c>
      <c r="N89" s="94">
        <f t="shared" si="11"/>
        <v>3.54</v>
      </c>
      <c r="O89" s="94">
        <f t="shared" si="11"/>
        <v>3.54</v>
      </c>
      <c r="P89" s="94">
        <f t="shared" si="11"/>
        <v>3.54</v>
      </c>
      <c r="Q89" s="94">
        <f t="shared" si="11"/>
        <v>3.54</v>
      </c>
      <c r="R89" s="94">
        <f t="shared" si="11"/>
        <v>3.54</v>
      </c>
      <c r="S89" s="94">
        <f t="shared" si="11"/>
        <v>3.54</v>
      </c>
      <c r="T89" s="94">
        <f t="shared" si="11"/>
        <v>3.54</v>
      </c>
      <c r="U89" s="94">
        <f t="shared" si="11"/>
        <v>3.54</v>
      </c>
      <c r="V89" s="94">
        <f t="shared" si="11"/>
        <v>3.54</v>
      </c>
      <c r="W89" s="94">
        <f t="shared" si="11"/>
        <v>3.54</v>
      </c>
      <c r="X89" s="94">
        <f t="shared" si="11"/>
        <v>3.54</v>
      </c>
      <c r="Y89" s="94">
        <f t="shared" si="11"/>
        <v>3.54</v>
      </c>
      <c r="Z89" s="94">
        <f t="shared" si="11"/>
        <v>3.54</v>
      </c>
      <c r="AA89" s="94">
        <f t="shared" si="11"/>
        <v>3.54</v>
      </c>
      <c r="AB89" s="94">
        <f t="shared" si="11"/>
        <v>3.54</v>
      </c>
      <c r="AC89" s="94">
        <f t="shared" si="11"/>
        <v>3.54</v>
      </c>
      <c r="AD89" s="94">
        <f t="shared" si="11"/>
        <v>3.54</v>
      </c>
      <c r="AE89" s="94">
        <f t="shared" si="11"/>
        <v>3.54</v>
      </c>
      <c r="AF89" s="94">
        <f t="shared" si="11"/>
        <v>3.54</v>
      </c>
      <c r="AG89" s="61">
        <f t="shared" si="11"/>
        <v>2111.5500000000002</v>
      </c>
      <c r="AH89" s="47">
        <f t="shared" si="8"/>
        <v>2024.1399999999999</v>
      </c>
      <c r="AI89" s="48">
        <f t="shared" si="9"/>
        <v>3.54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8"/>
        <v>0</v>
      </c>
      <c r="AI90" s="48">
        <f t="shared" si="9"/>
        <v>0</v>
      </c>
    </row>
    <row r="91" spans="1:40" ht="15.75" thickBot="1" x14ac:dyDescent="0.3">
      <c r="A91" s="73" t="s">
        <v>102</v>
      </c>
      <c r="B91" s="94">
        <v>2024.1399999999999</v>
      </c>
      <c r="C91" s="94">
        <f t="shared" ref="C91:AF91" si="12">C89+C90</f>
        <v>1931.1399999999999</v>
      </c>
      <c r="D91" s="94">
        <f t="shared" si="12"/>
        <v>1916.1399999999999</v>
      </c>
      <c r="E91" s="94">
        <f t="shared" si="12"/>
        <v>1931.1399999999999</v>
      </c>
      <c r="F91" s="94">
        <f t="shared" si="12"/>
        <v>1921.84</v>
      </c>
      <c r="G91" s="94">
        <f t="shared" si="12"/>
        <v>1956.84</v>
      </c>
      <c r="H91" s="94">
        <f t="shared" si="12"/>
        <v>1959.74</v>
      </c>
      <c r="I91" s="94">
        <f t="shared" si="12"/>
        <v>1959.74</v>
      </c>
      <c r="J91" s="94">
        <f t="shared" si="12"/>
        <v>1965.74</v>
      </c>
      <c r="K91" s="94">
        <f t="shared" si="12"/>
        <v>2000.24</v>
      </c>
      <c r="L91" s="94">
        <f t="shared" si="12"/>
        <v>1964.84</v>
      </c>
      <c r="M91" s="94">
        <f t="shared" si="12"/>
        <v>2004.64</v>
      </c>
      <c r="N91" s="94">
        <f t="shared" si="12"/>
        <v>3.54</v>
      </c>
      <c r="O91" s="94">
        <f t="shared" si="12"/>
        <v>3.54</v>
      </c>
      <c r="P91" s="94">
        <f t="shared" si="12"/>
        <v>3.54</v>
      </c>
      <c r="Q91" s="94">
        <f t="shared" si="12"/>
        <v>3.54</v>
      </c>
      <c r="R91" s="94">
        <f t="shared" si="12"/>
        <v>3.54</v>
      </c>
      <c r="S91" s="94">
        <f t="shared" si="12"/>
        <v>3.54</v>
      </c>
      <c r="T91" s="94">
        <f t="shared" si="12"/>
        <v>3.54</v>
      </c>
      <c r="U91" s="94">
        <f t="shared" si="12"/>
        <v>3.54</v>
      </c>
      <c r="V91" s="94">
        <f t="shared" si="12"/>
        <v>3.54</v>
      </c>
      <c r="W91" s="94">
        <f t="shared" si="12"/>
        <v>3.54</v>
      </c>
      <c r="X91" s="94">
        <f t="shared" si="12"/>
        <v>3.54</v>
      </c>
      <c r="Y91" s="94">
        <f t="shared" si="12"/>
        <v>3.54</v>
      </c>
      <c r="Z91" s="94">
        <f t="shared" si="12"/>
        <v>3.54</v>
      </c>
      <c r="AA91" s="94">
        <f t="shared" si="12"/>
        <v>3.54</v>
      </c>
      <c r="AB91" s="94">
        <f t="shared" si="12"/>
        <v>3.54</v>
      </c>
      <c r="AC91" s="94">
        <f t="shared" si="12"/>
        <v>3.54</v>
      </c>
      <c r="AD91" s="94">
        <f t="shared" si="12"/>
        <v>3.54</v>
      </c>
      <c r="AE91" s="94">
        <f t="shared" si="12"/>
        <v>3.54</v>
      </c>
      <c r="AF91" s="94">
        <f t="shared" si="12"/>
        <v>3.54</v>
      </c>
      <c r="AG91" s="87">
        <f>AG88+AG84+AG72+AG68+AG50+AG90</f>
        <v>1573.45</v>
      </c>
      <c r="AH91" s="47">
        <f t="shared" si="8"/>
        <v>2024.1399999999999</v>
      </c>
      <c r="AI91" s="48">
        <f t="shared" si="9"/>
        <v>3.54</v>
      </c>
    </row>
    <row r="92" spans="1:40" ht="15.75" thickBot="1" x14ac:dyDescent="0.3">
      <c r="A92" s="73" t="s">
        <v>103</v>
      </c>
      <c r="B92" s="94">
        <v>2024.1399999999999</v>
      </c>
      <c r="C92" s="94">
        <f t="shared" ref="C92:AF92" si="13">C91-C99</f>
        <v>1931.1399999999999</v>
      </c>
      <c r="D92" s="94">
        <f t="shared" si="13"/>
        <v>1916.1399999999999</v>
      </c>
      <c r="E92" s="94">
        <f t="shared" si="13"/>
        <v>1931.1399999999999</v>
      </c>
      <c r="F92" s="94">
        <f t="shared" si="13"/>
        <v>1921.84</v>
      </c>
      <c r="G92" s="94">
        <f t="shared" si="13"/>
        <v>1956.84</v>
      </c>
      <c r="H92" s="94">
        <f t="shared" si="13"/>
        <v>1959.74</v>
      </c>
      <c r="I92" s="94">
        <f t="shared" si="13"/>
        <v>1959.74</v>
      </c>
      <c r="J92" s="94">
        <f t="shared" si="13"/>
        <v>1965.74</v>
      </c>
      <c r="K92" s="94">
        <f t="shared" si="13"/>
        <v>2000.24</v>
      </c>
      <c r="L92" s="94">
        <f t="shared" si="13"/>
        <v>1964.84</v>
      </c>
      <c r="M92" s="94">
        <f t="shared" si="13"/>
        <v>2004.64</v>
      </c>
      <c r="N92" s="94">
        <f t="shared" si="13"/>
        <v>3.54</v>
      </c>
      <c r="O92" s="94">
        <f t="shared" si="13"/>
        <v>3.54</v>
      </c>
      <c r="P92" s="94">
        <f t="shared" si="13"/>
        <v>3.54</v>
      </c>
      <c r="Q92" s="94">
        <f t="shared" si="13"/>
        <v>3.54</v>
      </c>
      <c r="R92" s="94">
        <f t="shared" si="13"/>
        <v>3.54</v>
      </c>
      <c r="S92" s="94">
        <f t="shared" si="13"/>
        <v>3.54</v>
      </c>
      <c r="T92" s="94">
        <f t="shared" si="13"/>
        <v>3.54</v>
      </c>
      <c r="U92" s="94">
        <f t="shared" si="13"/>
        <v>3.54</v>
      </c>
      <c r="V92" s="94">
        <f t="shared" si="13"/>
        <v>3.54</v>
      </c>
      <c r="W92" s="94">
        <f t="shared" si="13"/>
        <v>3.54</v>
      </c>
      <c r="X92" s="94">
        <f t="shared" si="13"/>
        <v>3.54</v>
      </c>
      <c r="Y92" s="94">
        <f t="shared" si="13"/>
        <v>3.54</v>
      </c>
      <c r="Z92" s="94">
        <f t="shared" si="13"/>
        <v>3.54</v>
      </c>
      <c r="AA92" s="94">
        <f t="shared" si="13"/>
        <v>3.54</v>
      </c>
      <c r="AB92" s="94">
        <f t="shared" si="13"/>
        <v>3.54</v>
      </c>
      <c r="AC92" s="94">
        <f t="shared" si="13"/>
        <v>3.54</v>
      </c>
      <c r="AD92" s="94">
        <f t="shared" si="13"/>
        <v>3.54</v>
      </c>
      <c r="AE92" s="94">
        <f t="shared" si="13"/>
        <v>3.54</v>
      </c>
      <c r="AF92" s="94">
        <f t="shared" si="13"/>
        <v>3.54</v>
      </c>
      <c r="AG92" s="87"/>
      <c r="AH92" s="47">
        <f t="shared" si="8"/>
        <v>2024.1399999999999</v>
      </c>
      <c r="AI92" s="48">
        <f t="shared" si="9"/>
        <v>3.54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8"/>
        <v>0</v>
      </c>
      <c r="AI95" s="48">
        <f t="shared" si="9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8"/>
        <v>0</v>
      </c>
      <c r="AI96" s="48">
        <f t="shared" si="9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8"/>
        <v>0</v>
      </c>
      <c r="AI99" s="48">
        <f t="shared" si="9"/>
        <v>0</v>
      </c>
      <c r="AK99" s="50"/>
    </row>
    <row r="100" spans="1:37" ht="15.75" thickBot="1" x14ac:dyDescent="0.3">
      <c r="A100" s="73" t="s">
        <v>108</v>
      </c>
      <c r="B100" s="60">
        <v>2</v>
      </c>
      <c r="C100" s="60">
        <f t="shared" ref="C100:AF100" si="14">C84-C99</f>
        <v>0</v>
      </c>
      <c r="D100" s="60">
        <f t="shared" si="14"/>
        <v>0</v>
      </c>
      <c r="E100" s="60">
        <f t="shared" si="14"/>
        <v>0</v>
      </c>
      <c r="F100" s="60">
        <f t="shared" si="14"/>
        <v>0</v>
      </c>
      <c r="G100" s="60">
        <f t="shared" si="14"/>
        <v>0</v>
      </c>
      <c r="H100" s="60">
        <f t="shared" si="14"/>
        <v>0</v>
      </c>
      <c r="I100" s="60">
        <f t="shared" ref="I100:K100" si="15">I84-I99</f>
        <v>0</v>
      </c>
      <c r="J100" s="60">
        <f t="shared" si="15"/>
        <v>0</v>
      </c>
      <c r="K100" s="60">
        <f t="shared" si="15"/>
        <v>0</v>
      </c>
      <c r="L100" s="60">
        <f t="shared" si="14"/>
        <v>0</v>
      </c>
      <c r="M100" s="60">
        <f t="shared" si="14"/>
        <v>0</v>
      </c>
      <c r="N100" s="60">
        <f t="shared" si="14"/>
        <v>0</v>
      </c>
      <c r="O100" s="60">
        <f t="shared" si="14"/>
        <v>0</v>
      </c>
      <c r="P100" s="60">
        <f t="shared" si="14"/>
        <v>0</v>
      </c>
      <c r="Q100" s="60">
        <f t="shared" si="14"/>
        <v>0</v>
      </c>
      <c r="R100" s="60">
        <f t="shared" si="14"/>
        <v>0</v>
      </c>
      <c r="S100" s="60">
        <f t="shared" si="14"/>
        <v>0</v>
      </c>
      <c r="T100" s="60">
        <f t="shared" si="14"/>
        <v>0</v>
      </c>
      <c r="U100" s="60">
        <f t="shared" si="14"/>
        <v>0</v>
      </c>
      <c r="V100" s="60">
        <f t="shared" si="14"/>
        <v>0</v>
      </c>
      <c r="W100" s="60">
        <f t="shared" si="14"/>
        <v>0</v>
      </c>
      <c r="X100" s="60">
        <f t="shared" si="14"/>
        <v>0</v>
      </c>
      <c r="Y100" s="60">
        <f t="shared" si="14"/>
        <v>0</v>
      </c>
      <c r="Z100" s="60">
        <f t="shared" si="14"/>
        <v>0</v>
      </c>
      <c r="AA100" s="60">
        <f t="shared" si="14"/>
        <v>0</v>
      </c>
      <c r="AB100" s="60">
        <f t="shared" si="14"/>
        <v>0</v>
      </c>
      <c r="AC100" s="60">
        <f t="shared" si="14"/>
        <v>0</v>
      </c>
      <c r="AD100" s="60">
        <f t="shared" si="14"/>
        <v>0</v>
      </c>
      <c r="AE100" s="60">
        <f t="shared" si="14"/>
        <v>0</v>
      </c>
      <c r="AF100" s="60">
        <f t="shared" si="14"/>
        <v>0</v>
      </c>
      <c r="AG100" s="87"/>
      <c r="AH100" s="47">
        <f t="shared" si="8"/>
        <v>2</v>
      </c>
      <c r="AI100" s="48">
        <f t="shared" si="9"/>
        <v>0</v>
      </c>
    </row>
    <row r="101" spans="1:37" x14ac:dyDescent="0.25">
      <c r="A101" s="99" t="s">
        <v>109</v>
      </c>
      <c r="B101" s="100">
        <v>50.04</v>
      </c>
      <c r="C101" s="100">
        <v>50.04</v>
      </c>
      <c r="D101" s="100">
        <v>50.04</v>
      </c>
      <c r="E101" s="100">
        <v>50.04</v>
      </c>
      <c r="F101" s="100">
        <v>50.04</v>
      </c>
      <c r="G101" s="100">
        <v>50.04</v>
      </c>
      <c r="H101" s="100">
        <v>49.93</v>
      </c>
      <c r="I101" s="100">
        <v>49.93</v>
      </c>
      <c r="J101" s="100">
        <v>49.93</v>
      </c>
      <c r="K101" s="100">
        <v>49.96</v>
      </c>
      <c r="L101" s="100">
        <v>50.03</v>
      </c>
      <c r="M101" s="100">
        <v>50.02</v>
      </c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1"/>
      <c r="AH101" s="47">
        <f t="shared" si="8"/>
        <v>50.04</v>
      </c>
      <c r="AI101" s="48">
        <f t="shared" si="9"/>
        <v>49.93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8"/>
        <v>0</v>
      </c>
      <c r="AI102" s="48">
        <f t="shared" si="9"/>
        <v>0</v>
      </c>
    </row>
    <row r="103" spans="1:37" x14ac:dyDescent="0.25">
      <c r="A103" s="102" t="s">
        <v>111</v>
      </c>
      <c r="B103" s="64">
        <v>129</v>
      </c>
      <c r="C103" s="64">
        <v>129</v>
      </c>
      <c r="D103" s="64">
        <v>128.5</v>
      </c>
      <c r="E103" s="64">
        <v>128.5</v>
      </c>
      <c r="F103" s="64">
        <v>128.5</v>
      </c>
      <c r="G103" s="64">
        <v>128.5</v>
      </c>
      <c r="H103" s="64">
        <v>129.19999999999999</v>
      </c>
      <c r="I103" s="64">
        <v>129.19999999999999</v>
      </c>
      <c r="J103" s="64">
        <v>129.19999999999999</v>
      </c>
      <c r="K103" s="64">
        <v>127.4</v>
      </c>
      <c r="L103" s="64">
        <v>125.9</v>
      </c>
      <c r="M103" s="64">
        <v>126.5</v>
      </c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103"/>
      <c r="AH103" s="47">
        <f t="shared" si="8"/>
        <v>129.19999999999999</v>
      </c>
      <c r="AI103" s="48">
        <f t="shared" si="9"/>
        <v>125.9</v>
      </c>
    </row>
    <row r="104" spans="1:37" x14ac:dyDescent="0.25">
      <c r="A104" s="102" t="s">
        <v>112</v>
      </c>
      <c r="B104" s="64">
        <v>129</v>
      </c>
      <c r="C104" s="64">
        <v>129</v>
      </c>
      <c r="D104" s="64">
        <v>127.4</v>
      </c>
      <c r="E104" s="64">
        <v>127.4</v>
      </c>
      <c r="F104" s="64">
        <v>127.4</v>
      </c>
      <c r="G104" s="64">
        <v>127.4</v>
      </c>
      <c r="H104" s="64">
        <v>130.5</v>
      </c>
      <c r="I104" s="64">
        <v>130.5</v>
      </c>
      <c r="J104" s="64">
        <v>130.5</v>
      </c>
      <c r="K104" s="64">
        <v>126.7</v>
      </c>
      <c r="L104" s="64">
        <v>130</v>
      </c>
      <c r="M104" s="64">
        <v>127.8</v>
      </c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103"/>
      <c r="AH104" s="47">
        <f t="shared" si="8"/>
        <v>130.5</v>
      </c>
      <c r="AI104" s="48">
        <f t="shared" si="9"/>
        <v>126.7</v>
      </c>
    </row>
    <row r="105" spans="1:37" x14ac:dyDescent="0.25">
      <c r="A105" s="104" t="s">
        <v>113</v>
      </c>
      <c r="B105" s="64">
        <v>131</v>
      </c>
      <c r="C105" s="64">
        <v>131</v>
      </c>
      <c r="D105" s="64">
        <v>130</v>
      </c>
      <c r="E105" s="64">
        <v>130</v>
      </c>
      <c r="F105" s="64">
        <v>130</v>
      </c>
      <c r="G105" s="64">
        <v>130</v>
      </c>
      <c r="H105" s="64">
        <v>133.80000000000001</v>
      </c>
      <c r="I105" s="64">
        <v>133.80000000000001</v>
      </c>
      <c r="J105" s="64">
        <v>133.80000000000001</v>
      </c>
      <c r="K105" s="64">
        <v>129.69999999999999</v>
      </c>
      <c r="L105" s="64">
        <v>132.6</v>
      </c>
      <c r="M105" s="64">
        <v>130</v>
      </c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3"/>
      <c r="AH105" s="47">
        <f t="shared" si="8"/>
        <v>133.80000000000001</v>
      </c>
      <c r="AI105" s="48">
        <f t="shared" si="9"/>
        <v>129.69999999999999</v>
      </c>
    </row>
    <row r="106" spans="1:37" x14ac:dyDescent="0.25">
      <c r="A106" s="104" t="s">
        <v>114</v>
      </c>
      <c r="B106" s="105">
        <v>131.6</v>
      </c>
      <c r="C106" s="105">
        <v>129</v>
      </c>
      <c r="D106" s="105">
        <v>133</v>
      </c>
      <c r="E106" s="105">
        <v>133</v>
      </c>
      <c r="F106" s="105">
        <v>133</v>
      </c>
      <c r="G106" s="105">
        <v>133</v>
      </c>
      <c r="H106" s="105">
        <v>133.1</v>
      </c>
      <c r="I106" s="105">
        <v>133.1</v>
      </c>
      <c r="J106" s="105">
        <v>133.1</v>
      </c>
      <c r="K106" s="105">
        <v>131.69999999999999</v>
      </c>
      <c r="L106" s="105">
        <v>128.30000000000001</v>
      </c>
      <c r="M106" s="105">
        <v>132.85</v>
      </c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6"/>
      <c r="AH106" s="47">
        <f t="shared" si="8"/>
        <v>133.1</v>
      </c>
      <c r="AI106" s="48">
        <f t="shared" si="9"/>
        <v>128.30000000000001</v>
      </c>
    </row>
    <row r="107" spans="1:37" x14ac:dyDescent="0.25">
      <c r="A107" s="102" t="s">
        <v>115</v>
      </c>
      <c r="B107" s="64">
        <v>131</v>
      </c>
      <c r="C107" s="64">
        <v>129</v>
      </c>
      <c r="D107" s="64">
        <v>129.4</v>
      </c>
      <c r="E107" s="64">
        <v>129.4</v>
      </c>
      <c r="F107" s="64">
        <v>129.4</v>
      </c>
      <c r="G107" s="64">
        <v>129.4</v>
      </c>
      <c r="H107" s="64">
        <v>132.69999999999999</v>
      </c>
      <c r="I107" s="64">
        <v>132.69999999999999</v>
      </c>
      <c r="J107" s="64">
        <v>132.69999999999999</v>
      </c>
      <c r="K107" s="64">
        <v>132.69999999999999</v>
      </c>
      <c r="L107" s="64">
        <v>127.8</v>
      </c>
      <c r="M107" s="64">
        <v>128.5</v>
      </c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103"/>
      <c r="AH107" s="47">
        <f t="shared" si="8"/>
        <v>132.69999999999999</v>
      </c>
      <c r="AI107" s="48">
        <f t="shared" si="9"/>
        <v>127.8</v>
      </c>
    </row>
    <row r="108" spans="1:37" ht="15.75" thickBot="1" x14ac:dyDescent="0.3">
      <c r="A108" s="102" t="s">
        <v>116</v>
      </c>
      <c r="B108" s="91">
        <v>64.400000000000006</v>
      </c>
      <c r="C108" s="91">
        <v>64.8</v>
      </c>
      <c r="D108" s="91">
        <v>64.599999999999994</v>
      </c>
      <c r="E108" s="91">
        <v>64.599999999999994</v>
      </c>
      <c r="F108" s="91">
        <v>64.599999999999994</v>
      </c>
      <c r="G108" s="91">
        <v>64.599999999999994</v>
      </c>
      <c r="H108" s="91">
        <v>64.900000000000006</v>
      </c>
      <c r="I108" s="91">
        <v>64.900000000000006</v>
      </c>
      <c r="J108" s="91">
        <v>64.900000000000006</v>
      </c>
      <c r="K108" s="91">
        <v>64.900000000000006</v>
      </c>
      <c r="L108" s="91">
        <v>63.3</v>
      </c>
      <c r="M108" s="91">
        <v>63.4</v>
      </c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107"/>
      <c r="AH108" s="47">
        <f t="shared" si="8"/>
        <v>64.900000000000006</v>
      </c>
      <c r="AI108" s="48">
        <f t="shared" si="9"/>
        <v>63.3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09" t="s">
        <v>118</v>
      </c>
      <c r="B110" s="110">
        <v>106.39999999999998</v>
      </c>
      <c r="C110" s="110">
        <f t="shared" ref="C110:O110" si="16">SUM(C20,C26,C29:C30,C58,C60:C61,C63,C65,C111:C115,C138,C144,C150,C159,C161,C173,C180,C183:C184,C191,C193,C195,C199:C201,C203:C205,C210,C216:C217,C219:C221,C229,C234)</f>
        <v>74.44</v>
      </c>
      <c r="D110" s="110">
        <f t="shared" si="16"/>
        <v>113.94</v>
      </c>
      <c r="E110" s="110">
        <f t="shared" si="16"/>
        <v>92.84</v>
      </c>
      <c r="F110" s="110">
        <f t="shared" si="16"/>
        <v>82.74</v>
      </c>
      <c r="G110" s="110">
        <f t="shared" si="16"/>
        <v>118.63999999999999</v>
      </c>
      <c r="H110" s="110">
        <f t="shared" si="16"/>
        <v>91.039999999999992</v>
      </c>
      <c r="I110" s="110">
        <f t="shared" si="16"/>
        <v>91.039999999999992</v>
      </c>
      <c r="J110" s="110">
        <f t="shared" si="16"/>
        <v>91.039999999999992</v>
      </c>
      <c r="K110" s="110">
        <f t="shared" si="16"/>
        <v>218.64000000000001</v>
      </c>
      <c r="L110" s="110">
        <f t="shared" si="16"/>
        <v>203.94000000000003</v>
      </c>
      <c r="M110" s="110">
        <f t="shared" si="16"/>
        <v>212.73999999999998</v>
      </c>
      <c r="N110" s="110">
        <f t="shared" si="16"/>
        <v>0.94</v>
      </c>
      <c r="O110" s="110">
        <f t="shared" si="16"/>
        <v>0.94</v>
      </c>
      <c r="P110" s="110">
        <v>42</v>
      </c>
      <c r="Q110" s="110">
        <f t="shared" ref="Q110:AF110" si="17">SUM(Q20,Q26,Q29:Q30,Q58,Q60:Q61,Q63,Q65,Q111:Q115,Q138,Q144,Q150,Q159,Q161,Q173,Q180,Q183:Q184,Q191,Q193,Q195,Q199:Q201,Q203:Q205,Q210,Q216:Q217,Q219:Q221,Q229,Q234)</f>
        <v>0</v>
      </c>
      <c r="R110" s="110">
        <f t="shared" si="17"/>
        <v>0</v>
      </c>
      <c r="S110" s="110">
        <f t="shared" si="17"/>
        <v>0</v>
      </c>
      <c r="T110" s="110">
        <f t="shared" si="17"/>
        <v>0</v>
      </c>
      <c r="U110" s="110">
        <f t="shared" si="17"/>
        <v>0</v>
      </c>
      <c r="V110" s="110">
        <f t="shared" si="17"/>
        <v>0</v>
      </c>
      <c r="W110" s="110">
        <f t="shared" si="17"/>
        <v>0</v>
      </c>
      <c r="X110" s="110">
        <f t="shared" si="17"/>
        <v>0</v>
      </c>
      <c r="Y110" s="110">
        <f t="shared" si="17"/>
        <v>0</v>
      </c>
      <c r="Z110" s="110">
        <f t="shared" si="17"/>
        <v>0</v>
      </c>
      <c r="AA110" s="110">
        <f t="shared" si="17"/>
        <v>0</v>
      </c>
      <c r="AB110" s="110">
        <f t="shared" si="17"/>
        <v>0</v>
      </c>
      <c r="AC110" s="110">
        <f t="shared" si="17"/>
        <v>0</v>
      </c>
      <c r="AD110" s="110"/>
      <c r="AE110" s="110">
        <f t="shared" si="17"/>
        <v>0</v>
      </c>
      <c r="AF110" s="110">
        <f t="shared" si="17"/>
        <v>0</v>
      </c>
      <c r="AG110" s="111"/>
      <c r="AH110" s="47">
        <f t="shared" si="8"/>
        <v>218.64000000000001</v>
      </c>
      <c r="AI110" s="48">
        <f t="shared" si="9"/>
        <v>0</v>
      </c>
    </row>
    <row r="111" spans="1:37" x14ac:dyDescent="0.25">
      <c r="A111" s="99" t="s">
        <v>119</v>
      </c>
      <c r="B111" s="112">
        <v>70</v>
      </c>
      <c r="C111" s="112">
        <v>26</v>
      </c>
      <c r="D111" s="112">
        <v>46</v>
      </c>
      <c r="E111" s="112">
        <v>46</v>
      </c>
      <c r="F111" s="112">
        <v>38</v>
      </c>
      <c r="G111" s="112">
        <v>32</v>
      </c>
      <c r="H111" s="112">
        <v>23.2</v>
      </c>
      <c r="I111" s="112">
        <v>23.2</v>
      </c>
      <c r="J111" s="112">
        <v>23.2</v>
      </c>
      <c r="K111" s="112">
        <v>31.6</v>
      </c>
      <c r="L111" s="112">
        <v>33.299999999999997</v>
      </c>
      <c r="M111" s="112">
        <v>39.799999999999997</v>
      </c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3">
        <v>75</v>
      </c>
      <c r="AH111" s="47">
        <f t="shared" si="8"/>
        <v>70</v>
      </c>
      <c r="AI111" s="48">
        <f t="shared" si="9"/>
        <v>23.2</v>
      </c>
    </row>
    <row r="112" spans="1:37" x14ac:dyDescent="0.25">
      <c r="A112" s="102" t="s">
        <v>120</v>
      </c>
      <c r="B112" s="114">
        <v>45</v>
      </c>
      <c r="C112" s="114">
        <v>14</v>
      </c>
      <c r="D112" s="114">
        <v>27</v>
      </c>
      <c r="E112" s="114">
        <v>27</v>
      </c>
      <c r="F112" s="114">
        <v>27</v>
      </c>
      <c r="G112" s="114">
        <v>43.2</v>
      </c>
      <c r="H112" s="114">
        <v>36.799999999999997</v>
      </c>
      <c r="I112" s="114">
        <v>36.799999999999997</v>
      </c>
      <c r="J112" s="114">
        <v>36.799999999999997</v>
      </c>
      <c r="K112" s="114">
        <v>43</v>
      </c>
      <c r="L112" s="114">
        <v>45.5</v>
      </c>
      <c r="M112" s="114">
        <v>54</v>
      </c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3">
        <v>240</v>
      </c>
      <c r="AH112" s="47">
        <f t="shared" si="8"/>
        <v>54</v>
      </c>
      <c r="AI112" s="48">
        <f t="shared" si="9"/>
        <v>14</v>
      </c>
    </row>
    <row r="113" spans="1:37" x14ac:dyDescent="0.25">
      <c r="A113" s="102" t="s">
        <v>121</v>
      </c>
      <c r="B113" s="114">
        <v>-170</v>
      </c>
      <c r="C113" s="114">
        <v>-140</v>
      </c>
      <c r="D113" s="114">
        <v>-120</v>
      </c>
      <c r="E113" s="114">
        <v>-120</v>
      </c>
      <c r="F113" s="114">
        <v>-120</v>
      </c>
      <c r="G113" s="114">
        <v>-122</v>
      </c>
      <c r="H113" s="114">
        <f>-59.9-64.4</f>
        <v>-124.30000000000001</v>
      </c>
      <c r="I113" s="114">
        <f t="shared" ref="I113:J113" si="18">-59.9-64.4</f>
        <v>-124.30000000000001</v>
      </c>
      <c r="J113" s="114">
        <f t="shared" si="18"/>
        <v>-124.30000000000001</v>
      </c>
      <c r="K113" s="114">
        <f>-26.1-29</f>
        <v>-55.1</v>
      </c>
      <c r="L113" s="114">
        <f>-27.9-30.6</f>
        <v>-58.5</v>
      </c>
      <c r="M113" s="114">
        <v>-65</v>
      </c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3">
        <v>240</v>
      </c>
      <c r="AH113" s="47">
        <f t="shared" si="8"/>
        <v>-55.1</v>
      </c>
      <c r="AI113" s="48">
        <f t="shared" si="9"/>
        <v>-170</v>
      </c>
    </row>
    <row r="114" spans="1:37" x14ac:dyDescent="0.25">
      <c r="A114" s="102" t="s">
        <v>122</v>
      </c>
      <c r="B114" s="114">
        <v>-15</v>
      </c>
      <c r="C114" s="114">
        <v>-12</v>
      </c>
      <c r="D114" s="114">
        <v>-11</v>
      </c>
      <c r="E114" s="114">
        <v>-12.1</v>
      </c>
      <c r="F114" s="114">
        <v>-14.2</v>
      </c>
      <c r="G114" s="114">
        <v>-6.5</v>
      </c>
      <c r="H114" s="114">
        <v>-5.6</v>
      </c>
      <c r="I114" s="114">
        <v>-5.6</v>
      </c>
      <c r="J114" s="114">
        <v>-5.6</v>
      </c>
      <c r="K114" s="114">
        <v>5.3</v>
      </c>
      <c r="L114" s="114">
        <v>4.8</v>
      </c>
      <c r="M114" s="114">
        <v>5.3</v>
      </c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3">
        <v>60</v>
      </c>
      <c r="AH114" s="47">
        <f t="shared" si="8"/>
        <v>5.3</v>
      </c>
      <c r="AI114" s="48">
        <f t="shared" si="9"/>
        <v>-15</v>
      </c>
    </row>
    <row r="115" spans="1:37" x14ac:dyDescent="0.25">
      <c r="A115" s="115" t="s">
        <v>123</v>
      </c>
      <c r="B115" s="116">
        <v>23</v>
      </c>
      <c r="C115" s="116">
        <v>33.5</v>
      </c>
      <c r="D115" s="116">
        <v>34</v>
      </c>
      <c r="E115" s="116">
        <v>34</v>
      </c>
      <c r="F115" s="116">
        <v>34</v>
      </c>
      <c r="G115" s="116">
        <v>34</v>
      </c>
      <c r="H115" s="116">
        <v>33</v>
      </c>
      <c r="I115" s="116">
        <v>33</v>
      </c>
      <c r="J115" s="116">
        <v>33</v>
      </c>
      <c r="K115" s="116">
        <v>45.9</v>
      </c>
      <c r="L115" s="116">
        <v>45.9</v>
      </c>
      <c r="M115" s="116">
        <v>46.6</v>
      </c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7">
        <v>120</v>
      </c>
      <c r="AH115" s="47">
        <f t="shared" si="8"/>
        <v>46.6</v>
      </c>
      <c r="AI115" s="48">
        <f t="shared" si="9"/>
        <v>23</v>
      </c>
    </row>
    <row r="116" spans="1:37" x14ac:dyDescent="0.25">
      <c r="A116" s="115" t="s">
        <v>124</v>
      </c>
      <c r="B116" s="116">
        <v>47</v>
      </c>
      <c r="C116" s="116">
        <v>39</v>
      </c>
      <c r="D116" s="116">
        <v>45</v>
      </c>
      <c r="E116" s="116">
        <v>45</v>
      </c>
      <c r="F116" s="116">
        <v>45</v>
      </c>
      <c r="G116" s="116">
        <v>45</v>
      </c>
      <c r="H116" s="116">
        <v>46.3</v>
      </c>
      <c r="I116" s="116">
        <v>46.3</v>
      </c>
      <c r="J116" s="116">
        <v>46.3</v>
      </c>
      <c r="K116" s="116">
        <v>81.099999999999994</v>
      </c>
      <c r="L116" s="116">
        <v>82.2</v>
      </c>
      <c r="M116" s="116">
        <v>66</v>
      </c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7"/>
      <c r="AH116" s="47">
        <f t="shared" si="8"/>
        <v>82.2</v>
      </c>
      <c r="AI116" s="48">
        <f t="shared" si="9"/>
        <v>39</v>
      </c>
    </row>
    <row r="117" spans="1:37" x14ac:dyDescent="0.25">
      <c r="A117" s="115" t="s">
        <v>125</v>
      </c>
      <c r="B117" s="116">
        <v>7</v>
      </c>
      <c r="C117" s="116">
        <v>3</v>
      </c>
      <c r="D117" s="116">
        <v>0</v>
      </c>
      <c r="E117" s="116">
        <v>0</v>
      </c>
      <c r="F117" s="116">
        <v>0</v>
      </c>
      <c r="G117" s="116">
        <v>0</v>
      </c>
      <c r="H117" s="116">
        <v>-4.5</v>
      </c>
      <c r="I117" s="116">
        <v>-4.5</v>
      </c>
      <c r="J117" s="116">
        <v>-4.5</v>
      </c>
      <c r="K117" s="116">
        <v>4.8</v>
      </c>
      <c r="L117" s="116">
        <v>3.5</v>
      </c>
      <c r="M117" s="116">
        <v>-10.9</v>
      </c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8"/>
      <c r="AH117" s="47">
        <f t="shared" si="8"/>
        <v>7</v>
      </c>
      <c r="AI117" s="48">
        <f t="shared" si="9"/>
        <v>-10.9</v>
      </c>
    </row>
    <row r="118" spans="1:37" x14ac:dyDescent="0.25">
      <c r="A118" s="119" t="s">
        <v>126</v>
      </c>
      <c r="B118" s="105">
        <v>2</v>
      </c>
      <c r="C118" s="105">
        <v>12</v>
      </c>
      <c r="D118" s="105">
        <v>14</v>
      </c>
      <c r="E118" s="105">
        <v>14</v>
      </c>
      <c r="F118" s="105">
        <v>14</v>
      </c>
      <c r="G118" s="105">
        <v>14</v>
      </c>
      <c r="H118" s="105">
        <v>24.5</v>
      </c>
      <c r="I118" s="105">
        <v>24.5</v>
      </c>
      <c r="J118" s="105">
        <v>24.5</v>
      </c>
      <c r="K118" s="105" t="s">
        <v>302</v>
      </c>
      <c r="L118" s="105">
        <v>28.4</v>
      </c>
      <c r="M118" s="105">
        <v>30</v>
      </c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18"/>
      <c r="AH118" s="47">
        <f t="shared" si="8"/>
        <v>30</v>
      </c>
      <c r="AI118" s="48">
        <f t="shared" si="9"/>
        <v>2</v>
      </c>
    </row>
    <row r="119" spans="1:37" x14ac:dyDescent="0.25">
      <c r="A119" s="120" t="s">
        <v>127</v>
      </c>
      <c r="B119" s="105">
        <v>85</v>
      </c>
      <c r="C119" s="105">
        <v>86</v>
      </c>
      <c r="D119" s="105">
        <v>84</v>
      </c>
      <c r="E119" s="105">
        <v>90</v>
      </c>
      <c r="F119" s="105">
        <v>87</v>
      </c>
      <c r="G119" s="105">
        <v>91.2</v>
      </c>
      <c r="H119" s="105">
        <v>92</v>
      </c>
      <c r="I119" s="105">
        <v>92</v>
      </c>
      <c r="J119" s="105">
        <v>92</v>
      </c>
      <c r="K119" s="105">
        <v>64.8</v>
      </c>
      <c r="L119" s="105">
        <v>66.599999999999994</v>
      </c>
      <c r="M119" s="105">
        <v>79.8</v>
      </c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18"/>
      <c r="AH119" s="47">
        <f t="shared" si="8"/>
        <v>92</v>
      </c>
      <c r="AI119" s="48">
        <f t="shared" si="9"/>
        <v>64.8</v>
      </c>
    </row>
    <row r="120" spans="1:37" ht="15.75" thickBot="1" x14ac:dyDescent="0.3">
      <c r="A120" s="119" t="s">
        <v>128</v>
      </c>
      <c r="B120" s="105">
        <v>59</v>
      </c>
      <c r="C120" s="105">
        <v>58</v>
      </c>
      <c r="D120" s="105">
        <v>52</v>
      </c>
      <c r="E120" s="105">
        <v>59</v>
      </c>
      <c r="F120" s="105">
        <v>49</v>
      </c>
      <c r="G120" s="105">
        <v>39</v>
      </c>
      <c r="H120" s="105">
        <v>28</v>
      </c>
      <c r="I120" s="105">
        <v>28</v>
      </c>
      <c r="J120" s="105">
        <v>28</v>
      </c>
      <c r="K120" s="105">
        <v>20.7</v>
      </c>
      <c r="L120" s="105">
        <v>17.3</v>
      </c>
      <c r="M120" s="105">
        <v>16.5</v>
      </c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18"/>
      <c r="AH120" s="47">
        <f t="shared" si="8"/>
        <v>59</v>
      </c>
      <c r="AI120" s="48">
        <f t="shared" si="9"/>
        <v>16.5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19">SUM(B122:B226)</f>
        <v>0</v>
      </c>
      <c r="C227" s="136">
        <f t="shared" si="19"/>
        <v>0</v>
      </c>
      <c r="D227" s="136">
        <f t="shared" si="19"/>
        <v>0</v>
      </c>
      <c r="E227" s="136">
        <f t="shared" si="19"/>
        <v>0</v>
      </c>
      <c r="F227" s="136">
        <f t="shared" si="19"/>
        <v>0</v>
      </c>
      <c r="G227" s="136">
        <f t="shared" si="19"/>
        <v>0</v>
      </c>
      <c r="H227" s="136">
        <f t="shared" si="19"/>
        <v>0</v>
      </c>
      <c r="I227" s="136">
        <f t="shared" si="19"/>
        <v>0</v>
      </c>
      <c r="J227" s="136">
        <f t="shared" si="19"/>
        <v>0</v>
      </c>
      <c r="K227" s="136">
        <f t="shared" si="19"/>
        <v>0</v>
      </c>
      <c r="L227" s="136">
        <f t="shared" si="19"/>
        <v>0</v>
      </c>
      <c r="M227" s="136">
        <f t="shared" si="19"/>
        <v>0</v>
      </c>
      <c r="N227" s="136">
        <f t="shared" si="19"/>
        <v>0</v>
      </c>
      <c r="O227" s="136">
        <f t="shared" si="19"/>
        <v>0</v>
      </c>
      <c r="P227" s="136">
        <f t="shared" si="19"/>
        <v>0</v>
      </c>
      <c r="Q227" s="136">
        <f t="shared" si="19"/>
        <v>0</v>
      </c>
      <c r="R227" s="136">
        <f t="shared" si="19"/>
        <v>0</v>
      </c>
      <c r="S227" s="136">
        <f t="shared" si="19"/>
        <v>0</v>
      </c>
      <c r="T227" s="136">
        <f t="shared" si="19"/>
        <v>0</v>
      </c>
      <c r="U227" s="136">
        <f t="shared" si="19"/>
        <v>0</v>
      </c>
      <c r="V227" s="136">
        <f t="shared" si="19"/>
        <v>0</v>
      </c>
      <c r="W227" s="136">
        <f t="shared" si="19"/>
        <v>0</v>
      </c>
      <c r="X227" s="136">
        <f t="shared" si="19"/>
        <v>0</v>
      </c>
      <c r="Y227" s="136">
        <f t="shared" si="19"/>
        <v>0</v>
      </c>
      <c r="Z227" s="136">
        <f t="shared" si="19"/>
        <v>0</v>
      </c>
      <c r="AA227" s="136">
        <f t="shared" si="19"/>
        <v>0</v>
      </c>
      <c r="AB227" s="136">
        <f t="shared" si="19"/>
        <v>0</v>
      </c>
      <c r="AC227" s="136">
        <f t="shared" si="19"/>
        <v>0</v>
      </c>
      <c r="AD227" s="136">
        <f t="shared" si="19"/>
        <v>0</v>
      </c>
      <c r="AE227" s="136">
        <f t="shared" si="19"/>
        <v>0</v>
      </c>
      <c r="AF227" s="137">
        <f t="shared" si="19"/>
        <v>0</v>
      </c>
      <c r="AG227" s="138">
        <f t="shared" si="19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20">AF229</f>
        <v>0</v>
      </c>
      <c r="C229" s="140">
        <v>0.3</v>
      </c>
      <c r="D229" s="140">
        <f t="shared" ref="D229:P234" si="21">C229</f>
        <v>0.3</v>
      </c>
      <c r="E229" s="140">
        <f t="shared" si="21"/>
        <v>0.3</v>
      </c>
      <c r="F229" s="140">
        <f t="shared" si="21"/>
        <v>0.3</v>
      </c>
      <c r="G229" s="140">
        <f t="shared" si="21"/>
        <v>0.3</v>
      </c>
      <c r="H229" s="140">
        <f t="shared" si="21"/>
        <v>0.3</v>
      </c>
      <c r="I229" s="140">
        <f t="shared" si="21"/>
        <v>0.3</v>
      </c>
      <c r="J229" s="140">
        <f t="shared" si="21"/>
        <v>0.3</v>
      </c>
      <c r="K229" s="140">
        <f t="shared" si="21"/>
        <v>0.3</v>
      </c>
      <c r="L229" s="140">
        <f t="shared" si="21"/>
        <v>0.3</v>
      </c>
      <c r="M229" s="140">
        <f t="shared" si="21"/>
        <v>0.3</v>
      </c>
      <c r="N229" s="140">
        <f t="shared" si="21"/>
        <v>0.3</v>
      </c>
      <c r="O229" s="140">
        <f t="shared" si="21"/>
        <v>0.3</v>
      </c>
      <c r="P229" s="140">
        <f t="shared" si="21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20"/>
        <v>0</v>
      </c>
      <c r="C230" s="128">
        <v>0.4</v>
      </c>
      <c r="D230" s="128">
        <f t="shared" si="21"/>
        <v>0.4</v>
      </c>
      <c r="E230" s="128">
        <f t="shared" si="21"/>
        <v>0.4</v>
      </c>
      <c r="F230" s="128">
        <f t="shared" si="21"/>
        <v>0.4</v>
      </c>
      <c r="G230" s="128">
        <f t="shared" si="21"/>
        <v>0.4</v>
      </c>
      <c r="H230" s="128">
        <f t="shared" si="21"/>
        <v>0.4</v>
      </c>
      <c r="I230" s="128">
        <f t="shared" si="21"/>
        <v>0.4</v>
      </c>
      <c r="J230" s="128">
        <f t="shared" si="21"/>
        <v>0.4</v>
      </c>
      <c r="K230" s="128">
        <f t="shared" si="21"/>
        <v>0.4</v>
      </c>
      <c r="L230" s="128">
        <f t="shared" si="21"/>
        <v>0.4</v>
      </c>
      <c r="M230" s="128">
        <f t="shared" si="21"/>
        <v>0.4</v>
      </c>
      <c r="N230" s="128">
        <f t="shared" si="21"/>
        <v>0.4</v>
      </c>
      <c r="O230" s="128">
        <f t="shared" si="21"/>
        <v>0.4</v>
      </c>
      <c r="P230" s="128">
        <f t="shared" si="21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20"/>
        <v>0</v>
      </c>
      <c r="C231" s="128">
        <v>1.5</v>
      </c>
      <c r="D231" s="128">
        <f t="shared" si="21"/>
        <v>1.5</v>
      </c>
      <c r="E231" s="128">
        <f t="shared" si="21"/>
        <v>1.5</v>
      </c>
      <c r="F231" s="128">
        <f t="shared" si="21"/>
        <v>1.5</v>
      </c>
      <c r="G231" s="128">
        <f t="shared" si="21"/>
        <v>1.5</v>
      </c>
      <c r="H231" s="128">
        <f t="shared" si="21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21"/>
        <v>123.21900000000009</v>
      </c>
      <c r="K231" s="128">
        <f t="shared" ca="1" si="21"/>
        <v>123.21900000000009</v>
      </c>
      <c r="L231" s="128">
        <f t="shared" ca="1" si="21"/>
        <v>123.21900000000009</v>
      </c>
      <c r="M231" s="128">
        <f t="shared" ca="1" si="21"/>
        <v>119.19900000000008</v>
      </c>
      <c r="N231" s="128">
        <f t="shared" ca="1" si="21"/>
        <v>119.19900000000008</v>
      </c>
      <c r="O231" s="128">
        <f t="shared" ca="1" si="21"/>
        <v>119.19900000000008</v>
      </c>
      <c r="P231" s="128">
        <f t="shared" ca="1" si="21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20"/>
        <v>0</v>
      </c>
      <c r="C232" s="128">
        <v>0.3</v>
      </c>
      <c r="D232" s="128">
        <f t="shared" si="21"/>
        <v>0.3</v>
      </c>
      <c r="E232" s="128">
        <f t="shared" si="21"/>
        <v>0.3</v>
      </c>
      <c r="F232" s="128">
        <f t="shared" si="21"/>
        <v>0.3</v>
      </c>
      <c r="G232" s="128">
        <f t="shared" si="21"/>
        <v>0.3</v>
      </c>
      <c r="H232" s="128">
        <f t="shared" si="21"/>
        <v>0.3</v>
      </c>
      <c r="I232" s="128">
        <f t="shared" si="21"/>
        <v>0.3</v>
      </c>
      <c r="J232" s="128">
        <f t="shared" si="21"/>
        <v>0.3</v>
      </c>
      <c r="K232" s="128">
        <f t="shared" si="21"/>
        <v>0.3</v>
      </c>
      <c r="L232" s="128">
        <f t="shared" si="21"/>
        <v>0.3</v>
      </c>
      <c r="M232" s="128">
        <f t="shared" si="21"/>
        <v>0.3</v>
      </c>
      <c r="N232" s="128">
        <f t="shared" si="21"/>
        <v>0.3</v>
      </c>
      <c r="O232" s="128">
        <f t="shared" si="21"/>
        <v>0.3</v>
      </c>
      <c r="P232" s="128">
        <f t="shared" si="21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20"/>
        <v>0</v>
      </c>
      <c r="C233" s="128">
        <v>0.4</v>
      </c>
      <c r="D233" s="128">
        <f t="shared" si="21"/>
        <v>0.4</v>
      </c>
      <c r="E233" s="128">
        <f t="shared" si="21"/>
        <v>0.4</v>
      </c>
      <c r="F233" s="128">
        <f t="shared" si="21"/>
        <v>0.4</v>
      </c>
      <c r="G233" s="128">
        <f t="shared" si="21"/>
        <v>0.4</v>
      </c>
      <c r="H233" s="128">
        <f t="shared" si="21"/>
        <v>0.4</v>
      </c>
      <c r="I233" s="128">
        <f t="shared" si="21"/>
        <v>0.4</v>
      </c>
      <c r="J233" s="128">
        <f t="shared" si="21"/>
        <v>0.4</v>
      </c>
      <c r="K233" s="128">
        <f t="shared" si="21"/>
        <v>0.4</v>
      </c>
      <c r="L233" s="128">
        <f t="shared" si="21"/>
        <v>0.4</v>
      </c>
      <c r="M233" s="128">
        <f t="shared" si="21"/>
        <v>0.4</v>
      </c>
      <c r="N233" s="128">
        <f t="shared" si="21"/>
        <v>0.4</v>
      </c>
      <c r="O233" s="128">
        <f t="shared" si="21"/>
        <v>0.4</v>
      </c>
      <c r="P233" s="128">
        <f t="shared" si="21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20"/>
        <v>0</v>
      </c>
      <c r="C234" s="132">
        <v>0.64</v>
      </c>
      <c r="D234" s="132">
        <f t="shared" si="21"/>
        <v>0.64</v>
      </c>
      <c r="E234" s="132">
        <f t="shared" si="21"/>
        <v>0.64</v>
      </c>
      <c r="F234" s="132">
        <f t="shared" si="21"/>
        <v>0.64</v>
      </c>
      <c r="G234" s="132">
        <f t="shared" si="21"/>
        <v>0.64</v>
      </c>
      <c r="H234" s="132">
        <f t="shared" si="21"/>
        <v>0.64</v>
      </c>
      <c r="I234" s="132">
        <f t="shared" si="21"/>
        <v>0.64</v>
      </c>
      <c r="J234" s="132">
        <f t="shared" si="21"/>
        <v>0.64</v>
      </c>
      <c r="K234" s="132">
        <f t="shared" si="21"/>
        <v>0.64</v>
      </c>
      <c r="L234" s="132">
        <f t="shared" si="21"/>
        <v>0.64</v>
      </c>
      <c r="M234" s="132">
        <f t="shared" si="21"/>
        <v>0.64</v>
      </c>
      <c r="N234" s="132">
        <f t="shared" si="21"/>
        <v>0.64</v>
      </c>
      <c r="O234" s="132">
        <f t="shared" si="21"/>
        <v>0.64</v>
      </c>
      <c r="P234" s="132">
        <f t="shared" si="21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22">SUM(B229:B234)</f>
        <v>0</v>
      </c>
      <c r="C235" s="136">
        <f t="shared" si="22"/>
        <v>3.54</v>
      </c>
      <c r="D235" s="136">
        <f t="shared" si="22"/>
        <v>3.54</v>
      </c>
      <c r="E235" s="136">
        <f t="shared" si="22"/>
        <v>3.54</v>
      </c>
      <c r="F235" s="136">
        <f t="shared" si="22"/>
        <v>3.54</v>
      </c>
      <c r="G235" s="136">
        <f t="shared" si="22"/>
        <v>3.54</v>
      </c>
      <c r="H235" s="136">
        <f t="shared" si="22"/>
        <v>3.54</v>
      </c>
      <c r="I235" s="136">
        <f t="shared" ca="1" si="22"/>
        <v>121.23900000000009</v>
      </c>
      <c r="J235" s="136">
        <f t="shared" ca="1" si="22"/>
        <v>121.23900000000009</v>
      </c>
      <c r="K235" s="136">
        <f t="shared" ca="1" si="22"/>
        <v>121.23900000000009</v>
      </c>
      <c r="L235" s="136">
        <f t="shared" ca="1" si="22"/>
        <v>125.2590000000001</v>
      </c>
      <c r="M235" s="136">
        <f t="shared" ca="1" si="22"/>
        <v>121.23900000000009</v>
      </c>
      <c r="N235" s="136">
        <f t="shared" ca="1" si="22"/>
        <v>121.23900000000009</v>
      </c>
      <c r="O235" s="136">
        <f t="shared" ca="1" si="22"/>
        <v>121.23900000000009</v>
      </c>
      <c r="P235" s="136">
        <f t="shared" ca="1" si="22"/>
        <v>121.23900000000009</v>
      </c>
      <c r="Q235" s="136">
        <f t="shared" si="22"/>
        <v>0</v>
      </c>
      <c r="R235" s="136">
        <f t="shared" si="22"/>
        <v>0</v>
      </c>
      <c r="S235" s="136">
        <f t="shared" si="22"/>
        <v>0</v>
      </c>
      <c r="T235" s="136">
        <f t="shared" si="22"/>
        <v>0</v>
      </c>
      <c r="U235" s="136">
        <f t="shared" si="22"/>
        <v>0</v>
      </c>
      <c r="V235" s="136">
        <f t="shared" si="22"/>
        <v>0</v>
      </c>
      <c r="W235" s="136">
        <f t="shared" si="22"/>
        <v>0</v>
      </c>
      <c r="X235" s="136">
        <f t="shared" si="22"/>
        <v>0</v>
      </c>
      <c r="Y235" s="136">
        <f t="shared" si="22"/>
        <v>0</v>
      </c>
      <c r="Z235" s="136">
        <f t="shared" si="22"/>
        <v>0</v>
      </c>
      <c r="AA235" s="136">
        <f t="shared" si="22"/>
        <v>0</v>
      </c>
      <c r="AB235" s="136">
        <f t="shared" si="22"/>
        <v>0</v>
      </c>
      <c r="AC235" s="136">
        <f t="shared" si="22"/>
        <v>0</v>
      </c>
      <c r="AD235" s="136">
        <f t="shared" si="22"/>
        <v>0</v>
      </c>
      <c r="AE235" s="136">
        <f t="shared" si="22"/>
        <v>0</v>
      </c>
      <c r="AF235" s="136">
        <f t="shared" si="22"/>
        <v>0</v>
      </c>
      <c r="AG235" s="145">
        <f t="shared" si="2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2004.64</v>
      </c>
      <c r="C244" s="161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bhadra1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e">
        <f ca="1">"Pie Chart of Daily Peak Demand(Inclusive of Export) of Nepal ("&amp;A4&amp;" "&amp;B4&amp;")"</f>
        <v>#VALUE!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e">
        <f ca="1">"Daily Load Curve(Excluding of Export) of Nepal ("&amp;A4&amp;" "&amp;B4&amp;")"</f>
        <v>#VALUE!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23">B91</f>
        <v>2024.1399999999999</v>
      </c>
      <c r="U249" s="170">
        <f t="shared" si="23"/>
        <v>1931.1399999999999</v>
      </c>
      <c r="V249" s="170">
        <f t="shared" si="23"/>
        <v>1916.1399999999999</v>
      </c>
      <c r="W249" s="170">
        <f t="shared" si="23"/>
        <v>1931.1399999999999</v>
      </c>
      <c r="X249" s="170">
        <f t="shared" si="23"/>
        <v>1921.84</v>
      </c>
      <c r="Y249" s="170">
        <f t="shared" si="23"/>
        <v>1956.84</v>
      </c>
      <c r="Z249" s="170">
        <f t="shared" si="23"/>
        <v>1959.74</v>
      </c>
      <c r="AA249" s="170">
        <f t="shared" si="23"/>
        <v>1959.74</v>
      </c>
      <c r="AB249" s="170">
        <f t="shared" si="23"/>
        <v>1965.74</v>
      </c>
      <c r="AC249" s="170">
        <f t="shared" si="23"/>
        <v>2000.24</v>
      </c>
      <c r="AD249" s="170">
        <f t="shared" si="23"/>
        <v>1964.84</v>
      </c>
      <c r="AE249" s="170">
        <f t="shared" si="23"/>
        <v>2004.64</v>
      </c>
      <c r="AF249" s="170">
        <f t="shared" si="23"/>
        <v>3.54</v>
      </c>
      <c r="AG249" s="170">
        <f t="shared" si="23"/>
        <v>3.54</v>
      </c>
      <c r="AH249" s="170">
        <f t="shared" si="23"/>
        <v>3.54</v>
      </c>
      <c r="AI249" s="170">
        <f t="shared" si="23"/>
        <v>3.54</v>
      </c>
      <c r="AJ249" s="170">
        <f t="shared" si="23"/>
        <v>3.54</v>
      </c>
      <c r="AK249" s="170">
        <f t="shared" si="23"/>
        <v>3.54</v>
      </c>
      <c r="AL249" s="170">
        <f t="shared" si="23"/>
        <v>3.54</v>
      </c>
      <c r="AM249" s="170">
        <f t="shared" si="23"/>
        <v>3.54</v>
      </c>
      <c r="AN249" s="170">
        <f t="shared" si="23"/>
        <v>3.54</v>
      </c>
      <c r="AO249" s="170">
        <f t="shared" si="23"/>
        <v>3.54</v>
      </c>
      <c r="AP249" s="170">
        <f t="shared" si="23"/>
        <v>3.54</v>
      </c>
      <c r="AQ249" s="170">
        <f t="shared" si="23"/>
        <v>3.54</v>
      </c>
      <c r="AR249" s="170">
        <f t="shared" si="23"/>
        <v>3.54</v>
      </c>
      <c r="AS249" s="170">
        <f t="shared" si="23"/>
        <v>3.54</v>
      </c>
      <c r="AT249" s="170">
        <f t="shared" si="23"/>
        <v>3.54</v>
      </c>
      <c r="AU249" s="170">
        <f t="shared" si="23"/>
        <v>3.54</v>
      </c>
      <c r="AV249" s="170">
        <f t="shared" si="23"/>
        <v>3.54</v>
      </c>
      <c r="AW249" s="170">
        <f t="shared" si="23"/>
        <v>3.54</v>
      </c>
      <c r="AX249" s="170">
        <f t="shared" si="23"/>
        <v>3.54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24">C234</f>
        <v>0.64</v>
      </c>
      <c r="C270" s="173">
        <f t="shared" si="24"/>
        <v>0.64</v>
      </c>
      <c r="D270" s="173">
        <f t="shared" si="24"/>
        <v>0.64</v>
      </c>
      <c r="E270" s="173">
        <f t="shared" si="24"/>
        <v>0.64</v>
      </c>
      <c r="F270" s="173">
        <f t="shared" si="24"/>
        <v>0.64</v>
      </c>
      <c r="G270" s="173">
        <f t="shared" si="24"/>
        <v>0.64</v>
      </c>
      <c r="H270" s="173">
        <f t="shared" si="24"/>
        <v>0.64</v>
      </c>
      <c r="I270" s="173">
        <f t="shared" si="24"/>
        <v>0.64</v>
      </c>
      <c r="J270" s="173">
        <f t="shared" si="24"/>
        <v>0.64</v>
      </c>
      <c r="K270" s="173">
        <f t="shared" si="24"/>
        <v>0.64</v>
      </c>
      <c r="L270" s="173">
        <f t="shared" si="24"/>
        <v>0.64</v>
      </c>
      <c r="M270" s="173">
        <f t="shared" si="24"/>
        <v>0.64</v>
      </c>
      <c r="N270" s="173">
        <f t="shared" si="24"/>
        <v>0.64</v>
      </c>
      <c r="O270" s="173">
        <f t="shared" si="24"/>
        <v>0.64</v>
      </c>
      <c r="P270" s="173">
        <f t="shared" si="24"/>
        <v>0</v>
      </c>
      <c r="Q270" s="173">
        <f t="shared" si="24"/>
        <v>0</v>
      </c>
      <c r="R270" s="173">
        <f t="shared" si="24"/>
        <v>0</v>
      </c>
      <c r="S270" s="173">
        <f t="shared" si="24"/>
        <v>0</v>
      </c>
      <c r="T270" s="173">
        <f t="shared" si="24"/>
        <v>0</v>
      </c>
      <c r="U270" s="173">
        <f t="shared" si="24"/>
        <v>0</v>
      </c>
      <c r="V270" s="173">
        <f t="shared" si="24"/>
        <v>0</v>
      </c>
      <c r="W270" s="173">
        <f t="shared" si="24"/>
        <v>0</v>
      </c>
      <c r="X270" s="173">
        <f t="shared" si="24"/>
        <v>0</v>
      </c>
      <c r="Y270" s="173">
        <f t="shared" si="24"/>
        <v>0</v>
      </c>
      <c r="Z270" s="173">
        <f t="shared" si="24"/>
        <v>0</v>
      </c>
      <c r="AA270" s="173">
        <f t="shared" si="24"/>
        <v>0</v>
      </c>
      <c r="AB270" s="173">
        <f t="shared" si="24"/>
        <v>0</v>
      </c>
      <c r="AC270" s="173">
        <f t="shared" si="24"/>
        <v>0</v>
      </c>
      <c r="AD270" s="173">
        <f t="shared" si="24"/>
        <v>0</v>
      </c>
      <c r="AE270" s="173">
        <f t="shared" si="24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5">IF(B238&lt;100,"",B238-520)</f>
        <v/>
      </c>
      <c r="C271" s="174" t="str">
        <f t="shared" si="25"/>
        <v/>
      </c>
      <c r="D271" s="174" t="str">
        <f t="shared" si="25"/>
        <v/>
      </c>
      <c r="E271" s="174" t="str">
        <f t="shared" si="25"/>
        <v/>
      </c>
      <c r="F271" s="174" t="str">
        <f t="shared" si="25"/>
        <v/>
      </c>
      <c r="G271" s="174" t="str">
        <f t="shared" si="25"/>
        <v/>
      </c>
      <c r="H271" s="174" t="str">
        <f t="shared" si="25"/>
        <v/>
      </c>
      <c r="I271" s="174" t="str">
        <f t="shared" si="25"/>
        <v/>
      </c>
      <c r="J271" s="174" t="str">
        <f t="shared" si="25"/>
        <v/>
      </c>
      <c r="K271" s="174" t="str">
        <f t="shared" si="25"/>
        <v/>
      </c>
      <c r="L271" s="174" t="str">
        <f t="shared" si="25"/>
        <v/>
      </c>
      <c r="M271" s="174" t="str">
        <f t="shared" si="25"/>
        <v/>
      </c>
      <c r="N271" s="174" t="str">
        <f t="shared" si="25"/>
        <v/>
      </c>
      <c r="O271" s="174" t="str">
        <f t="shared" si="25"/>
        <v/>
      </c>
      <c r="P271" s="174" t="str">
        <f t="shared" si="25"/>
        <v/>
      </c>
      <c r="Q271" s="174" t="str">
        <f t="shared" si="25"/>
        <v/>
      </c>
      <c r="R271" s="174" t="str">
        <f t="shared" si="25"/>
        <v/>
      </c>
      <c r="S271" s="174" t="str">
        <f t="shared" si="25"/>
        <v/>
      </c>
      <c r="T271" s="174" t="str">
        <f t="shared" si="25"/>
        <v/>
      </c>
      <c r="U271" s="174" t="str">
        <f t="shared" si="25"/>
        <v/>
      </c>
      <c r="V271" s="174" t="str">
        <f t="shared" si="25"/>
        <v/>
      </c>
      <c r="W271" s="174" t="str">
        <f t="shared" si="25"/>
        <v/>
      </c>
      <c r="X271" s="174" t="str">
        <f t="shared" si="25"/>
        <v/>
      </c>
      <c r="Y271" s="174" t="str">
        <f t="shared" si="25"/>
        <v/>
      </c>
      <c r="Z271" s="174" t="str">
        <f t="shared" si="25"/>
        <v/>
      </c>
      <c r="AA271" s="174" t="str">
        <f t="shared" si="25"/>
        <v/>
      </c>
      <c r="AB271" s="174" t="str">
        <f t="shared" si="25"/>
        <v/>
      </c>
      <c r="AC271" s="174" t="str">
        <f t="shared" si="25"/>
        <v/>
      </c>
      <c r="AD271" s="174" t="str">
        <f t="shared" si="25"/>
        <v/>
      </c>
      <c r="AE271" s="174" t="str">
        <f t="shared" si="25"/>
        <v/>
      </c>
      <c r="AF271" s="174" t="str">
        <f t="shared" si="25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6">IF(B239&lt;100,"",B239-620)</f>
        <v/>
      </c>
      <c r="C272" s="174" t="str">
        <f t="shared" si="26"/>
        <v/>
      </c>
      <c r="D272" s="174" t="str">
        <f t="shared" si="26"/>
        <v/>
      </c>
      <c r="E272" s="174" t="str">
        <f t="shared" si="26"/>
        <v/>
      </c>
      <c r="F272" s="174" t="str">
        <f t="shared" si="26"/>
        <v/>
      </c>
      <c r="G272" s="174" t="str">
        <f t="shared" si="26"/>
        <v/>
      </c>
      <c r="H272" s="174" t="str">
        <f t="shared" si="26"/>
        <v/>
      </c>
      <c r="I272" s="174" t="str">
        <f t="shared" si="26"/>
        <v/>
      </c>
      <c r="J272" s="174" t="str">
        <f t="shared" si="26"/>
        <v/>
      </c>
      <c r="K272" s="174" t="str">
        <f t="shared" si="26"/>
        <v/>
      </c>
      <c r="L272" s="174" t="str">
        <f t="shared" si="26"/>
        <v/>
      </c>
      <c r="M272" s="174" t="str">
        <f t="shared" si="26"/>
        <v/>
      </c>
      <c r="N272" s="174" t="str">
        <f t="shared" si="26"/>
        <v/>
      </c>
      <c r="O272" s="174" t="str">
        <f t="shared" si="26"/>
        <v/>
      </c>
      <c r="P272" s="174" t="str">
        <f t="shared" si="26"/>
        <v/>
      </c>
      <c r="Q272" s="174" t="str">
        <f t="shared" si="26"/>
        <v/>
      </c>
      <c r="R272" s="174" t="str">
        <f t="shared" si="26"/>
        <v/>
      </c>
      <c r="S272" s="174" t="str">
        <f t="shared" si="26"/>
        <v/>
      </c>
      <c r="T272" s="174" t="str">
        <f t="shared" si="26"/>
        <v/>
      </c>
      <c r="U272" s="174" t="str">
        <f t="shared" si="26"/>
        <v/>
      </c>
      <c r="V272" s="174" t="str">
        <f t="shared" si="26"/>
        <v/>
      </c>
      <c r="W272" s="174" t="str">
        <f t="shared" si="26"/>
        <v/>
      </c>
      <c r="X272" s="174" t="str">
        <f t="shared" si="26"/>
        <v/>
      </c>
      <c r="Y272" s="174" t="str">
        <f t="shared" si="26"/>
        <v/>
      </c>
      <c r="Z272" s="174" t="str">
        <f t="shared" si="26"/>
        <v/>
      </c>
      <c r="AA272" s="174" t="str">
        <f t="shared" si="26"/>
        <v/>
      </c>
      <c r="AB272" s="174" t="str">
        <f t="shared" si="26"/>
        <v/>
      </c>
      <c r="AC272" s="174" t="str">
        <f t="shared" si="26"/>
        <v/>
      </c>
      <c r="AD272" s="174" t="str">
        <f t="shared" si="26"/>
        <v/>
      </c>
      <c r="AE272" s="174" t="str">
        <f t="shared" si="26"/>
        <v/>
      </c>
      <c r="AF272" s="174" t="str">
        <f t="shared" si="26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7">IF(B240&lt;100,"",B240-330)</f>
        <v/>
      </c>
      <c r="C273" s="174" t="str">
        <f t="shared" si="27"/>
        <v/>
      </c>
      <c r="D273" s="174" t="str">
        <f t="shared" si="27"/>
        <v/>
      </c>
      <c r="E273" s="174" t="str">
        <f t="shared" si="27"/>
        <v/>
      </c>
      <c r="F273" s="174" t="str">
        <f t="shared" si="27"/>
        <v/>
      </c>
      <c r="G273" s="174" t="str">
        <f t="shared" si="27"/>
        <v/>
      </c>
      <c r="H273" s="174" t="str">
        <f t="shared" si="27"/>
        <v/>
      </c>
      <c r="I273" s="174" t="str">
        <f t="shared" si="27"/>
        <v/>
      </c>
      <c r="J273" s="174" t="str">
        <f t="shared" si="27"/>
        <v/>
      </c>
      <c r="K273" s="174" t="str">
        <f t="shared" si="27"/>
        <v/>
      </c>
      <c r="L273" s="174" t="str">
        <f t="shared" si="27"/>
        <v/>
      </c>
      <c r="M273" s="174" t="str">
        <f t="shared" si="27"/>
        <v/>
      </c>
      <c r="N273" s="174" t="str">
        <f t="shared" si="27"/>
        <v/>
      </c>
      <c r="O273" s="174" t="str">
        <f t="shared" si="27"/>
        <v/>
      </c>
      <c r="P273" s="174" t="str">
        <f t="shared" si="27"/>
        <v/>
      </c>
      <c r="Q273" s="174" t="str">
        <f t="shared" si="27"/>
        <v/>
      </c>
      <c r="R273" s="174" t="str">
        <f t="shared" si="27"/>
        <v/>
      </c>
      <c r="S273" s="174" t="str">
        <f t="shared" si="27"/>
        <v/>
      </c>
      <c r="T273" s="174" t="str">
        <f t="shared" si="27"/>
        <v/>
      </c>
      <c r="U273" s="174" t="str">
        <f t="shared" si="27"/>
        <v/>
      </c>
      <c r="V273" s="174" t="str">
        <f t="shared" si="27"/>
        <v/>
      </c>
      <c r="W273" s="174" t="str">
        <f t="shared" si="27"/>
        <v/>
      </c>
      <c r="X273" s="174" t="str">
        <f t="shared" si="27"/>
        <v/>
      </c>
      <c r="Y273" s="174" t="str">
        <f t="shared" si="27"/>
        <v/>
      </c>
      <c r="Z273" s="174" t="str">
        <f t="shared" si="27"/>
        <v/>
      </c>
      <c r="AA273" s="174" t="str">
        <f t="shared" si="27"/>
        <v/>
      </c>
      <c r="AB273" s="174" t="str">
        <f t="shared" si="27"/>
        <v/>
      </c>
      <c r="AC273" s="174" t="str">
        <f t="shared" si="27"/>
        <v/>
      </c>
      <c r="AD273" s="174" t="str">
        <f t="shared" si="27"/>
        <v/>
      </c>
      <c r="AE273" s="174" t="str">
        <f t="shared" si="27"/>
        <v/>
      </c>
      <c r="AF273" s="174" t="str">
        <f t="shared" si="27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8">IF(B241&lt;100,"",B241-1500)</f>
        <v/>
      </c>
      <c r="C274" s="174" t="str">
        <f t="shared" si="28"/>
        <v/>
      </c>
      <c r="D274" s="174" t="str">
        <f t="shared" si="28"/>
        <v/>
      </c>
      <c r="E274" s="174" t="str">
        <f t="shared" si="28"/>
        <v/>
      </c>
      <c r="F274" s="174" t="str">
        <f t="shared" si="28"/>
        <v/>
      </c>
      <c r="G274" s="174" t="str">
        <f t="shared" si="28"/>
        <v/>
      </c>
      <c r="H274" s="174" t="str">
        <f t="shared" si="28"/>
        <v/>
      </c>
      <c r="I274" s="174" t="str">
        <f t="shared" si="28"/>
        <v/>
      </c>
      <c r="J274" s="174" t="str">
        <f t="shared" si="28"/>
        <v/>
      </c>
      <c r="K274" s="174" t="str">
        <f t="shared" si="28"/>
        <v/>
      </c>
      <c r="L274" s="174" t="str">
        <f t="shared" si="28"/>
        <v/>
      </c>
      <c r="M274" s="174" t="str">
        <f t="shared" si="28"/>
        <v/>
      </c>
      <c r="N274" s="174" t="str">
        <f t="shared" si="28"/>
        <v/>
      </c>
      <c r="O274" s="174" t="str">
        <f t="shared" si="28"/>
        <v/>
      </c>
      <c r="P274" s="174" t="str">
        <f t="shared" si="28"/>
        <v/>
      </c>
      <c r="Q274" s="174" t="str">
        <f t="shared" si="28"/>
        <v/>
      </c>
      <c r="R274" s="174" t="str">
        <f t="shared" si="28"/>
        <v/>
      </c>
      <c r="S274" s="174" t="str">
        <f t="shared" si="28"/>
        <v/>
      </c>
      <c r="T274" s="174" t="str">
        <f t="shared" si="28"/>
        <v/>
      </c>
      <c r="U274" s="174" t="str">
        <f t="shared" si="28"/>
        <v/>
      </c>
      <c r="V274" s="174" t="str">
        <f t="shared" si="28"/>
        <v/>
      </c>
      <c r="W274" s="174" t="str">
        <f t="shared" si="28"/>
        <v/>
      </c>
      <c r="X274" s="174" t="str">
        <f t="shared" si="28"/>
        <v/>
      </c>
      <c r="Y274" s="174" t="str">
        <f t="shared" si="28"/>
        <v/>
      </c>
      <c r="Z274" s="174" t="str">
        <f t="shared" si="28"/>
        <v/>
      </c>
      <c r="AA274" s="174" t="str">
        <f t="shared" si="28"/>
        <v/>
      </c>
      <c r="AB274" s="174" t="str">
        <f t="shared" si="28"/>
        <v/>
      </c>
      <c r="AC274" s="174" t="str">
        <f t="shared" si="28"/>
        <v/>
      </c>
      <c r="AD274" s="174" t="str">
        <f t="shared" si="28"/>
        <v/>
      </c>
      <c r="AE274" s="174" t="str">
        <f t="shared" si="28"/>
        <v/>
      </c>
      <c r="AF274" s="174" t="str">
        <f t="shared" si="28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3368" priority="64">
      <formula>$AH11=0</formula>
    </cfRule>
  </conditionalFormatting>
  <conditionalFormatting sqref="B8 M8 S8 AB8">
    <cfRule type="expression" dxfId="3367" priority="115">
      <formula>AND(C$9&gt;=14/24,C$9&lt;20/24)</formula>
    </cfRule>
    <cfRule type="expression" dxfId="3366" priority="116">
      <formula>AND(C$9&gt;=8/24,C$9&lt;14/24)</formula>
    </cfRule>
    <cfRule type="expression" dxfId="3365" priority="117">
      <formula>C$9&lt;8/24</formula>
    </cfRule>
  </conditionalFormatting>
  <conditionalFormatting sqref="B54:C54">
    <cfRule type="expression" dxfId="3364" priority="38">
      <formula>B$9&gt;=20/24</formula>
    </cfRule>
    <cfRule type="expression" dxfId="3363" priority="39">
      <formula>AND(B$9&gt;=14/24,B$9&lt;20/24)</formula>
    </cfRule>
    <cfRule type="expression" dxfId="3362" priority="40">
      <formula>AND(B$9&gt;=8/24,B$9&lt;14/24)</formula>
    </cfRule>
    <cfRule type="expression" dxfId="3361" priority="41">
      <formula>B$9&lt;8/24</formula>
    </cfRule>
  </conditionalFormatting>
  <conditionalFormatting sqref="B54:C66 D55:L66 M61:M66">
    <cfRule type="expression" dxfId="3360" priority="33">
      <formula>B54&gt;$AG54</formula>
    </cfRule>
  </conditionalFormatting>
  <conditionalFormatting sqref="B55:L59">
    <cfRule type="expression" dxfId="3359" priority="60">
      <formula>B$9&gt;=20/24</formula>
    </cfRule>
    <cfRule type="expression" dxfId="3358" priority="61">
      <formula>AND(B$9&gt;=14/24,B$9&lt;20/24)</formula>
    </cfRule>
    <cfRule type="expression" dxfId="3357" priority="62">
      <formula>AND(B$9&gt;=8/24,B$9&lt;14/24)</formula>
    </cfRule>
    <cfRule type="expression" dxfId="3356" priority="63">
      <formula>B$9&lt;8/24</formula>
    </cfRule>
  </conditionalFormatting>
  <conditionalFormatting sqref="B60:R60">
    <cfRule type="expression" dxfId="3355" priority="51">
      <formula>B$9&gt;=20/24</formula>
    </cfRule>
    <cfRule type="expression" dxfId="3354" priority="52">
      <formula>AND(B$9&gt;=14/24,B$9&lt;20/24)</formula>
    </cfRule>
    <cfRule type="expression" dxfId="3353" priority="53">
      <formula>AND(B$9&gt;=8/24,B$9&lt;14/24)</formula>
    </cfRule>
    <cfRule type="expression" dxfId="3352" priority="54">
      <formula>B$9&lt;8/24</formula>
    </cfRule>
  </conditionalFormatting>
  <conditionalFormatting sqref="B61:AD66">
    <cfRule type="expression" dxfId="3351" priority="34">
      <formula>B$9&gt;=20/24</formula>
    </cfRule>
    <cfRule type="expression" dxfId="3350" priority="35">
      <formula>AND(B$9&gt;=14/24,B$9&lt;20/24)</formula>
    </cfRule>
    <cfRule type="expression" dxfId="3349" priority="36">
      <formula>AND(B$9&gt;=8/24,B$9&lt;14/24)</formula>
    </cfRule>
    <cfRule type="expression" dxfId="3348" priority="37">
      <formula>B$9&lt;8/24</formula>
    </cfRule>
  </conditionalFormatting>
  <conditionalFormatting sqref="B9:AF45">
    <cfRule type="expression" dxfId="3347" priority="23">
      <formula>B$9&gt;=20/24</formula>
    </cfRule>
    <cfRule type="expression" dxfId="3346" priority="24">
      <formula>AND(B$9&gt;=14/24,B$9&lt;20/24)</formula>
    </cfRule>
    <cfRule type="expression" dxfId="3345" priority="25">
      <formula>AND(B$9&gt;=8/24,B$9&lt;14/24)</formula>
    </cfRule>
    <cfRule type="expression" dxfId="3344" priority="26">
      <formula>B$9&lt;8/24</formula>
    </cfRule>
  </conditionalFormatting>
  <conditionalFormatting sqref="B11:AF46">
    <cfRule type="expression" dxfId="3343" priority="22">
      <formula>B11&gt;$AG11</formula>
    </cfRule>
  </conditionalFormatting>
  <conditionalFormatting sqref="B46:AF46">
    <cfRule type="expression" dxfId="3342" priority="18">
      <formula>B$9&gt;=20/24</formula>
    </cfRule>
    <cfRule type="expression" dxfId="3341" priority="19">
      <formula>AND(B$9&gt;=14/24,B$9&lt;20/24)</formula>
    </cfRule>
    <cfRule type="expression" dxfId="3340" priority="20">
      <formula>AND(B$9&gt;=8/24,B$9&lt;14/24)</formula>
    </cfRule>
    <cfRule type="expression" dxfId="3339" priority="21">
      <formula>B$9&lt;8/24</formula>
    </cfRule>
  </conditionalFormatting>
  <conditionalFormatting sqref="B47:AF47">
    <cfRule type="expression" dxfId="3338" priority="32">
      <formula>B47&gt;$AG47</formula>
    </cfRule>
  </conditionalFormatting>
  <conditionalFormatting sqref="B47:AF49">
    <cfRule type="expression" dxfId="3337" priority="28">
      <formula>B$9&gt;=20/24</formula>
    </cfRule>
    <cfRule type="expression" dxfId="3336" priority="29">
      <formula>AND(B$9&gt;=14/24,B$9&lt;20/24)</formula>
    </cfRule>
    <cfRule type="expression" dxfId="3335" priority="30">
      <formula>AND(B$9&gt;=8/24,B$9&lt;14/24)</formula>
    </cfRule>
    <cfRule type="expression" dxfId="3334" priority="31">
      <formula>B$9&lt;8/24</formula>
    </cfRule>
  </conditionalFormatting>
  <conditionalFormatting sqref="B48:AF53">
    <cfRule type="expression" dxfId="3333" priority="27">
      <formula>B48&gt;$AG48</formula>
    </cfRule>
  </conditionalFormatting>
  <conditionalFormatting sqref="B51:AF53">
    <cfRule type="expression" dxfId="3332" priority="47">
      <formula>B$9&gt;=20/24</formula>
    </cfRule>
    <cfRule type="expression" dxfId="3331" priority="48">
      <formula>AND(B$9&gt;=14/24,B$9&lt;20/24)</formula>
    </cfRule>
    <cfRule type="expression" dxfId="3330" priority="49">
      <formula>AND(B$9&gt;=8/24,B$9&lt;14/24)</formula>
    </cfRule>
    <cfRule type="expression" dxfId="3329" priority="50">
      <formula>B$9&lt;8/24</formula>
    </cfRule>
  </conditionalFormatting>
  <conditionalFormatting sqref="B69:AF71">
    <cfRule type="expression" dxfId="3328" priority="55">
      <formula>B69&gt;$AG69</formula>
    </cfRule>
    <cfRule type="expression" dxfId="3327" priority="56">
      <formula>B$9&gt;=20/24</formula>
    </cfRule>
    <cfRule type="expression" dxfId="3326" priority="57">
      <formula>AND(B$9&gt;=14/24,B$9&lt;20/24)</formula>
    </cfRule>
    <cfRule type="expression" dxfId="3325" priority="58">
      <formula>AND(B$9&gt;=8/24,B$9&lt;14/24)</formula>
    </cfRule>
    <cfRule type="expression" dxfId="3324" priority="59">
      <formula>B$9&lt;8/24</formula>
    </cfRule>
  </conditionalFormatting>
  <conditionalFormatting sqref="B73:AF91">
    <cfRule type="expression" dxfId="3323" priority="1">
      <formula>B$9&gt;=20/24</formula>
    </cfRule>
    <cfRule type="expression" dxfId="3322" priority="2">
      <formula>AND(B$9&gt;=14/24,B$9&lt;20/24)</formula>
    </cfRule>
    <cfRule type="expression" dxfId="3321" priority="3">
      <formula>AND(B$9&gt;=8/24,B$9&lt;14/24)</formula>
    </cfRule>
    <cfRule type="expression" dxfId="3320" priority="4">
      <formula>B$9&lt;8/24</formula>
    </cfRule>
  </conditionalFormatting>
  <conditionalFormatting sqref="B111:AF120">
    <cfRule type="expression" dxfId="3319" priority="14">
      <formula>B$9&gt;=20/24</formula>
    </cfRule>
    <cfRule type="expression" dxfId="3318" priority="15">
      <formula>AND(B$9&gt;=14/24,B$9&lt;20/24)</formula>
    </cfRule>
    <cfRule type="expression" dxfId="3317" priority="16">
      <formula>AND(B$9&gt;=8/24,B$9&lt;14/24)</formula>
    </cfRule>
    <cfRule type="expression" dxfId="3316" priority="17">
      <formula>B$9&lt;8/24</formula>
    </cfRule>
  </conditionalFormatting>
  <conditionalFormatting sqref="B227:AF227 D229:AF230 B229:B235 D231:H231 J231:AF231 D232:AF235 U248:AF248">
    <cfRule type="expression" dxfId="3315" priority="108">
      <formula>B$9&gt;=20/24</formula>
    </cfRule>
    <cfRule type="expression" dxfId="3314" priority="109">
      <formula>AND(B$9&gt;=14/24,B$9&lt;20/24)</formula>
    </cfRule>
    <cfRule type="expression" dxfId="3313" priority="110">
      <formula>AND(B$9&gt;=8/24,B$9&lt;14/24)</formula>
    </cfRule>
    <cfRule type="expression" dxfId="3312" priority="111">
      <formula>B$9&lt;8/24</formula>
    </cfRule>
  </conditionalFormatting>
  <conditionalFormatting sqref="B67:AG68 B72:AG72">
    <cfRule type="expression" dxfId="3311" priority="42">
      <formula>B67&gt;$AG67</formula>
    </cfRule>
  </conditionalFormatting>
  <conditionalFormatting sqref="B72:AG72 B93:AF109">
    <cfRule type="expression" dxfId="3310" priority="43">
      <formula>B$9&gt;=20/24</formula>
    </cfRule>
    <cfRule type="expression" dxfId="3309" priority="44">
      <formula>AND(B$9&gt;=14/24,B$9&lt;20/24)</formula>
    </cfRule>
    <cfRule type="expression" dxfId="3308" priority="45">
      <formula>AND(B$9&gt;=8/24,B$9&lt;14/24)</formula>
    </cfRule>
    <cfRule type="expression" dxfId="3307" priority="46">
      <formula>B$9&lt;8/24</formula>
    </cfRule>
  </conditionalFormatting>
  <conditionalFormatting sqref="M55:AF66">
    <cfRule type="expression" dxfId="3306" priority="5">
      <formula>M55&gt;$AG55</formula>
    </cfRule>
  </conditionalFormatting>
  <conditionalFormatting sqref="D54:AG54">
    <cfRule type="expression" dxfId="3305" priority="76">
      <formula>D54&gt;$AG54</formula>
    </cfRule>
    <cfRule type="expression" dxfId="3304" priority="77">
      <formula>D$9&gt;=20/24</formula>
    </cfRule>
    <cfRule type="expression" dxfId="3303" priority="78">
      <formula>AND(D$9&gt;=14/24,D$9&lt;20/24)</formula>
    </cfRule>
    <cfRule type="expression" dxfId="3302" priority="79">
      <formula>AND(D$9&gt;=8/24,D$9&lt;14/24)</formula>
    </cfRule>
    <cfRule type="expression" dxfId="3301" priority="80">
      <formula>D$9&lt;8/24</formula>
    </cfRule>
  </conditionalFormatting>
  <conditionalFormatting sqref="M55:R59">
    <cfRule type="expression" dxfId="3300" priority="93">
      <formula>M$9&gt;=20/24</formula>
    </cfRule>
    <cfRule type="expression" dxfId="3299" priority="94">
      <formula>AND(M$9&gt;=14/24,M$9&lt;20/24)</formula>
    </cfRule>
    <cfRule type="expression" dxfId="3298" priority="95">
      <formula>AND(M$9&gt;=8/24,M$9&lt;14/24)</formula>
    </cfRule>
    <cfRule type="expression" dxfId="3297" priority="96">
      <formula>M$9&lt;8/24</formula>
    </cfRule>
  </conditionalFormatting>
  <conditionalFormatting sqref="O3:P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296" priority="114">
      <formula>C$9&gt;=20/24</formula>
    </cfRule>
  </conditionalFormatting>
  <conditionalFormatting sqref="S8">
    <cfRule type="expression" dxfId="3295" priority="101">
      <formula>U$9&gt;=20/24</formula>
    </cfRule>
    <cfRule type="expression" dxfId="3294" priority="102">
      <formula>AND(U$9&gt;=14/24,U$9&lt;20/24)</formula>
    </cfRule>
    <cfRule type="expression" dxfId="3293" priority="103">
      <formula>AND(U$9&gt;=8/24,U$9&lt;14/24)</formula>
    </cfRule>
    <cfRule type="expression" dxfId="3292" priority="104">
      <formula>U$9&lt;8/24</formula>
    </cfRule>
  </conditionalFormatting>
  <conditionalFormatting sqref="S55:AF60">
    <cfRule type="expression" dxfId="3291" priority="10">
      <formula>S$9&gt;=20/24</formula>
    </cfRule>
    <cfRule type="expression" dxfId="3290" priority="11">
      <formula>AND(S$9&gt;=14/24,S$9&lt;20/24)</formula>
    </cfRule>
    <cfRule type="expression" dxfId="3289" priority="12">
      <formula>AND(S$9&gt;=8/24,S$9&lt;14/24)</formula>
    </cfRule>
    <cfRule type="expression" dxfId="3288" priority="13">
      <formula>S$9&lt;8/24</formula>
    </cfRule>
  </conditionalFormatting>
  <conditionalFormatting sqref="T248">
    <cfRule type="expression" dxfId="3287" priority="126">
      <formula>AX$9&gt;=20/24</formula>
    </cfRule>
    <cfRule type="expression" dxfId="3286" priority="127">
      <formula>AND(AX$9&gt;=14/24,AX$9&lt;20/24)</formula>
    </cfRule>
    <cfRule type="expression" dxfId="3285" priority="128">
      <formula>AND(AX$9&gt;=8/24,AX$9&lt;14/24)</formula>
    </cfRule>
    <cfRule type="expression" dxfId="3284" priority="129">
      <formula>AX$9&lt;8/24</formula>
    </cfRule>
  </conditionalFormatting>
  <conditionalFormatting sqref="V3 AB3">
    <cfRule type="iconSet" priority="113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283" priority="97">
      <formula>AD$9&gt;=20/24</formula>
    </cfRule>
    <cfRule type="expression" dxfId="3282" priority="98">
      <formula>AND(AD$9&gt;=14/24,AD$9&lt;20/24)</formula>
    </cfRule>
    <cfRule type="expression" dxfId="3281" priority="99">
      <formula>AND(AD$9&gt;=8/24,AD$9&lt;14/24)</formula>
    </cfRule>
    <cfRule type="expression" dxfId="3280" priority="100">
      <formula>AD$9&lt;8/24</formula>
    </cfRule>
  </conditionalFormatting>
  <conditionalFormatting sqref="AE61:AF66">
    <cfRule type="expression" dxfId="3279" priority="6">
      <formula>AE$9&gt;=20/24</formula>
    </cfRule>
    <cfRule type="expression" dxfId="3278" priority="7">
      <formula>AND(AE$9&gt;=14/24,AE$9&lt;20/24)</formula>
    </cfRule>
    <cfRule type="expression" dxfId="3277" priority="8">
      <formula>AND(AE$9&gt;=8/24,AE$9&lt;14/24)</formula>
    </cfRule>
    <cfRule type="expression" dxfId="3276" priority="9">
      <formula>AE$9&lt;8/24</formula>
    </cfRule>
  </conditionalFormatting>
  <conditionalFormatting sqref="AG50">
    <cfRule type="expression" dxfId="3275" priority="84">
      <formula>AG50&gt;$AG50</formula>
    </cfRule>
  </conditionalFormatting>
  <conditionalFormatting sqref="AG89">
    <cfRule type="expression" dxfId="3274" priority="85">
      <formula>AG$9&gt;=20/24</formula>
    </cfRule>
    <cfRule type="expression" dxfId="3273" priority="86">
      <formula>AND(AG$9&gt;=14/24,AG$9&lt;20/24)</formula>
    </cfRule>
    <cfRule type="expression" dxfId="3272" priority="87">
      <formula>AND(AG$9&gt;=8/24,AG$9&lt;14/24)</formula>
    </cfRule>
    <cfRule type="expression" dxfId="3271" priority="88">
      <formula>AG$9&lt;8/24</formula>
    </cfRule>
  </conditionalFormatting>
  <conditionalFormatting sqref="AG248">
    <cfRule type="expression" dxfId="3270" priority="118">
      <formula>B$9&gt;=20/24</formula>
    </cfRule>
    <cfRule type="expression" dxfId="3269" priority="119">
      <formula>AND(B$9&gt;=14/24,B$9&lt;20/24)</formula>
    </cfRule>
    <cfRule type="expression" dxfId="3268" priority="120">
      <formula>AND(B$9&gt;=8/24,B$9&lt;14/24)</formula>
    </cfRule>
    <cfRule type="expression" dxfId="3267" priority="121">
      <formula>B$9&lt;8/24</formula>
    </cfRule>
  </conditionalFormatting>
  <conditionalFormatting sqref="AH248:AX248">
    <cfRule type="expression" dxfId="3266" priority="122">
      <formula>AG$9&gt;=20/24</formula>
    </cfRule>
    <cfRule type="expression" dxfId="3265" priority="123">
      <formula>AND(AG$9&gt;=14/24,AG$9&lt;20/24)</formula>
    </cfRule>
    <cfRule type="expression" dxfId="3264" priority="124">
      <formula>AND(AG$9&gt;=8/24,AG$9&lt;14/24)</formula>
    </cfRule>
    <cfRule type="expression" dxfId="3263" priority="125">
      <formula>AG$9&lt;8/24</formula>
    </cfRule>
  </conditionalFormatting>
  <conditionalFormatting sqref="AL4:AL6">
    <cfRule type="iconSet" priority="107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81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8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262" priority="131">
      <formula>AJ$9&gt;=20/24</formula>
    </cfRule>
    <cfRule type="expression" dxfId="3261" priority="132">
      <formula>AND(AJ$9&gt;=14/24,AJ$9&lt;20/24)</formula>
    </cfRule>
    <cfRule type="expression" dxfId="3260" priority="133">
      <formula>AND(AJ$9&gt;=8/24,AJ$9&lt;14/24)</formula>
    </cfRule>
    <cfRule type="expression" dxfId="3259" priority="134">
      <formula>AJ$9&lt;8/24</formula>
    </cfRule>
  </conditionalFormatting>
  <conditionalFormatting sqref="AL80:AN80 AL86:AN86">
    <cfRule type="expression" dxfId="3258" priority="72">
      <formula>AL$9&gt;=20/24</formula>
    </cfRule>
    <cfRule type="expression" dxfId="3257" priority="73">
      <formula>AND(AL$9&gt;=14/24,AL$9&lt;20/24)</formula>
    </cfRule>
    <cfRule type="expression" dxfId="3256" priority="74">
      <formula>AND(AL$9&gt;=8/24,AL$9&lt;14/24)</formula>
    </cfRule>
    <cfRule type="expression" dxfId="3255" priority="75">
      <formula>AL$9&lt;8/24</formula>
    </cfRule>
  </conditionalFormatting>
  <conditionalFormatting sqref="AN81:AN84">
    <cfRule type="expression" dxfId="3254" priority="68">
      <formula>AN$9&gt;=20/24</formula>
    </cfRule>
    <cfRule type="expression" dxfId="3253" priority="69">
      <formula>AND(AN$9&gt;=14/24,AN$9&lt;20/24)</formula>
    </cfRule>
    <cfRule type="expression" dxfId="3252" priority="70">
      <formula>AND(AN$9&gt;=8/24,AN$9&lt;14/24)</formula>
    </cfRule>
    <cfRule type="expression" dxfId="3251" priority="71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46A8-D3D0-4410-9673-C4D89332B04A}">
  <dimension ref="A1:CJ281"/>
  <sheetViews>
    <sheetView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B16" sqref="B1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96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7" t="s">
        <v>1</v>
      </c>
      <c r="AH1" s="197"/>
      <c r="AI1" s="197"/>
      <c r="AL1" s="2"/>
    </row>
    <row r="2" spans="1:88" ht="20.25" x14ac:dyDescent="0.25">
      <c r="A2" s="3"/>
      <c r="B2" s="198" t="s">
        <v>2</v>
      </c>
      <c r="C2" s="4"/>
      <c r="D2" s="200" t="s">
        <v>3</v>
      </c>
      <c r="E2" s="4"/>
      <c r="F2" s="200" t="s">
        <v>4</v>
      </c>
      <c r="G2" s="4"/>
      <c r="H2" s="200" t="s">
        <v>5</v>
      </c>
      <c r="I2" s="5"/>
      <c r="J2" s="202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99"/>
      <c r="C3" s="16"/>
      <c r="D3" s="201"/>
      <c r="E3" s="16"/>
      <c r="F3" s="201"/>
      <c r="G3" s="16"/>
      <c r="H3" s="201"/>
      <c r="I3" s="17"/>
      <c r="J3" s="202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03" t="e">
        <f ca="1">"2080/"&amp;"04/"&amp;INT(MID(CELL("filename",D6),FIND("]",CELL("filename",D6))+1,200))</f>
        <v>#VALUE!</v>
      </c>
      <c r="C4" s="203"/>
      <c r="D4" s="203"/>
      <c r="E4" s="204" t="e">
        <f ca="1">"2079/"&amp;"12/"&amp;INT(MID(CELL("filename",G6),FIND("]",CELL("filename",G6))+1,200))</f>
        <v>#VALUE!</v>
      </c>
      <c r="F4" s="204"/>
      <c r="G4" s="204"/>
      <c r="H4" s="204" t="e">
        <f ca="1">TEXT(E4,"dddd")</f>
        <v>#VALUE!</v>
      </c>
      <c r="I4" s="204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303.54000000000002</v>
      </c>
      <c r="C7" s="35">
        <f t="shared" si="1"/>
        <v>3.54</v>
      </c>
      <c r="D7" s="35">
        <f t="shared" si="1"/>
        <v>3.54</v>
      </c>
      <c r="E7" s="35">
        <f t="shared" si="1"/>
        <v>3.54</v>
      </c>
      <c r="F7" s="35">
        <f t="shared" si="1"/>
        <v>3.54</v>
      </c>
      <c r="G7" s="35">
        <f t="shared" si="1"/>
        <v>3.54</v>
      </c>
      <c r="H7" s="35">
        <f t="shared" si="1"/>
        <v>3.54</v>
      </c>
      <c r="I7" s="35">
        <f t="shared" si="1"/>
        <v>3.54</v>
      </c>
      <c r="J7" s="35">
        <f t="shared" si="1"/>
        <v>3.54</v>
      </c>
      <c r="K7" s="35">
        <f t="shared" si="1"/>
        <v>3.54</v>
      </c>
      <c r="L7" s="35">
        <f t="shared" si="1"/>
        <v>3.54</v>
      </c>
      <c r="M7" s="35">
        <f t="shared" si="1"/>
        <v>3.54</v>
      </c>
      <c r="N7" s="35">
        <f>N91</f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3.54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05" t="s">
        <v>14</v>
      </c>
      <c r="C8" s="206"/>
      <c r="D8" s="206"/>
      <c r="E8" s="206"/>
      <c r="F8" s="206"/>
      <c r="G8" s="206"/>
      <c r="H8" s="206"/>
      <c r="I8" s="206"/>
      <c r="J8" s="206"/>
      <c r="K8" s="206"/>
      <c r="L8" s="207"/>
      <c r="M8" s="208" t="s">
        <v>15</v>
      </c>
      <c r="N8" s="209"/>
      <c r="O8" s="209"/>
      <c r="P8" s="209"/>
      <c r="Q8" s="209"/>
      <c r="R8" s="210"/>
      <c r="S8" s="208" t="s">
        <v>16</v>
      </c>
      <c r="T8" s="209"/>
      <c r="U8" s="209"/>
      <c r="V8" s="209"/>
      <c r="W8" s="209"/>
      <c r="X8" s="209"/>
      <c r="Y8" s="209"/>
      <c r="Z8" s="209"/>
      <c r="AA8" s="210"/>
      <c r="AB8" s="208" t="s">
        <v>17</v>
      </c>
      <c r="AC8" s="209"/>
      <c r="AD8" s="209"/>
      <c r="AE8" s="209"/>
      <c r="AF8" s="210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11" t="s">
        <v>18</v>
      </c>
      <c r="B9" s="213">
        <v>0</v>
      </c>
      <c r="C9" s="213">
        <v>4.1666666666666664E-2</v>
      </c>
      <c r="D9" s="213">
        <v>8.3333333333333301E-2</v>
      </c>
      <c r="E9" s="213">
        <v>0.125</v>
      </c>
      <c r="F9" s="213">
        <v>0.16666666666666699</v>
      </c>
      <c r="G9" s="213">
        <v>0.20833333333333301</v>
      </c>
      <c r="H9" s="213">
        <v>0.22916666666666666</v>
      </c>
      <c r="I9" s="213">
        <v>0.25</v>
      </c>
      <c r="J9" s="213">
        <v>0.27083333333333331</v>
      </c>
      <c r="K9" s="213">
        <v>0.29166666666666669</v>
      </c>
      <c r="L9" s="213">
        <v>0.3125</v>
      </c>
      <c r="M9" s="215">
        <v>0.33333333333333331</v>
      </c>
      <c r="N9" s="215">
        <v>0.375</v>
      </c>
      <c r="O9" s="215">
        <v>0.41666666666666702</v>
      </c>
      <c r="P9" s="215">
        <v>0.45833333333333298</v>
      </c>
      <c r="Q9" s="215">
        <v>0.5</v>
      </c>
      <c r="R9" s="215">
        <v>0.54166666666666696</v>
      </c>
      <c r="S9" s="217">
        <v>0.58333333333333304</v>
      </c>
      <c r="T9" s="217">
        <v>0.625</v>
      </c>
      <c r="U9" s="217">
        <v>0.66666666666666696</v>
      </c>
      <c r="V9" s="217">
        <v>0.70833333333333304</v>
      </c>
      <c r="W9" s="217">
        <v>0.72916666666666663</v>
      </c>
      <c r="X9" s="217">
        <v>0.75</v>
      </c>
      <c r="Y9" s="217">
        <v>0.77083333333333337</v>
      </c>
      <c r="Z9" s="217">
        <v>0.79166666666666663</v>
      </c>
      <c r="AA9" s="217">
        <v>0.8125</v>
      </c>
      <c r="AB9" s="217">
        <v>0.83333333333333337</v>
      </c>
      <c r="AC9" s="217">
        <v>0.85416666666666663</v>
      </c>
      <c r="AD9" s="217">
        <v>0.875</v>
      </c>
      <c r="AE9" s="217">
        <v>0.91666666666666696</v>
      </c>
      <c r="AF9" s="217">
        <v>0.95833333333333304</v>
      </c>
      <c r="AG9" s="22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12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6"/>
      <c r="N10" s="216"/>
      <c r="O10" s="216"/>
      <c r="P10" s="216"/>
      <c r="Q10" s="216"/>
      <c r="R10" s="216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2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86</v>
      </c>
      <c r="AH11" s="47">
        <f t="shared" ref="AH11:AH76" si="2">MAX(B11:AF11)</f>
        <v>0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9">
        <v>54</v>
      </c>
      <c r="AH12" s="47">
        <f t="shared" si="2"/>
        <v>0</v>
      </c>
      <c r="AI12" s="48">
        <f t="shared" si="3"/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6">
        <v>52.4</v>
      </c>
      <c r="AH13" s="47">
        <f t="shared" si="2"/>
        <v>0</v>
      </c>
      <c r="AI13" s="48">
        <f t="shared" si="3"/>
        <v>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45"/>
      <c r="AA14" s="45"/>
      <c r="AB14" s="45"/>
      <c r="AC14" s="45"/>
      <c r="AD14" s="45"/>
      <c r="AE14" s="45"/>
      <c r="AF14" s="45"/>
      <c r="AG14" s="49">
        <v>50</v>
      </c>
      <c r="AH14" s="47">
        <f t="shared" si="2"/>
        <v>0</v>
      </c>
      <c r="AI14" s="48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9">
        <v>45</v>
      </c>
      <c r="AH15" s="47">
        <f t="shared" si="2"/>
        <v>0</v>
      </c>
      <c r="AI15" s="48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9">
        <v>44</v>
      </c>
      <c r="AH16" s="47">
        <f>MAX(B16:AG16)</f>
        <v>44</v>
      </c>
      <c r="AI16" s="48">
        <f>MIN(B16:AG16)</f>
        <v>44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9">
        <v>42</v>
      </c>
      <c r="AH17" s="47">
        <f t="shared" si="2"/>
        <v>0</v>
      </c>
      <c r="AI17" s="48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9">
        <v>38.46</v>
      </c>
      <c r="AH18" s="47">
        <f t="shared" si="2"/>
        <v>0</v>
      </c>
      <c r="AI18" s="48">
        <f t="shared" si="3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9">
        <v>36</v>
      </c>
      <c r="AH19" s="47">
        <f t="shared" si="2"/>
        <v>0</v>
      </c>
      <c r="AI19" s="48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51">
        <v>30</v>
      </c>
      <c r="AH20" s="47">
        <f t="shared" si="2"/>
        <v>0</v>
      </c>
      <c r="AI20" s="48">
        <f t="shared" si="3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9">
        <v>24.2</v>
      </c>
      <c r="AH21" s="47">
        <f t="shared" si="2"/>
        <v>0</v>
      </c>
      <c r="AI21" s="48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9">
        <v>28</v>
      </c>
      <c r="AH22" s="47">
        <f t="shared" si="2"/>
        <v>0</v>
      </c>
      <c r="AI22" s="48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51">
        <v>30</v>
      </c>
      <c r="AH23" s="47">
        <f t="shared" si="2"/>
        <v>0</v>
      </c>
      <c r="AI23" s="48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9">
        <v>25</v>
      </c>
      <c r="AH24" s="47">
        <f t="shared" si="2"/>
        <v>0</v>
      </c>
      <c r="AI24" s="48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9">
        <v>25</v>
      </c>
      <c r="AH25" s="47">
        <f t="shared" si="2"/>
        <v>0</v>
      </c>
      <c r="AI25" s="48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9">
        <v>25</v>
      </c>
      <c r="AH26" s="47">
        <f t="shared" si="2"/>
        <v>0</v>
      </c>
      <c r="AI26" s="48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9">
        <v>25</v>
      </c>
      <c r="AH27" s="47">
        <f t="shared" si="2"/>
        <v>0</v>
      </c>
      <c r="AI27" s="48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9">
        <v>23.5</v>
      </c>
      <c r="AH28" s="47">
        <f t="shared" si="2"/>
        <v>0</v>
      </c>
      <c r="AI28" s="48">
        <f t="shared" si="3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9">
        <v>22.2</v>
      </c>
      <c r="AH29" s="47">
        <f t="shared" si="2"/>
        <v>0</v>
      </c>
      <c r="AI29" s="48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9">
        <v>22.1</v>
      </c>
      <c r="AH30" s="47">
        <f t="shared" si="2"/>
        <v>0</v>
      </c>
      <c r="AI30" s="48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9">
        <v>22</v>
      </c>
      <c r="AH31" s="47">
        <f t="shared" si="2"/>
        <v>0</v>
      </c>
      <c r="AI31" s="48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9">
        <v>22</v>
      </c>
      <c r="AH32" s="47">
        <f t="shared" si="2"/>
        <v>0</v>
      </c>
      <c r="AI32" s="48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9">
        <v>20</v>
      </c>
      <c r="AH33" s="47">
        <f t="shared" si="2"/>
        <v>0</v>
      </c>
      <c r="AI33" s="48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9">
        <v>18</v>
      </c>
      <c r="AH34" s="47">
        <f t="shared" si="2"/>
        <v>0</v>
      </c>
      <c r="AI34" s="48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9">
        <v>14.9</v>
      </c>
      <c r="AH35" s="47">
        <f t="shared" si="2"/>
        <v>0</v>
      </c>
      <c r="AI35" s="48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9">
        <v>14.9</v>
      </c>
      <c r="AH36" s="47">
        <f t="shared" si="2"/>
        <v>0</v>
      </c>
      <c r="AI36" s="48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45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9">
        <v>13.6</v>
      </c>
      <c r="AH37" s="47">
        <f t="shared" si="2"/>
        <v>0</v>
      </c>
      <c r="AI37" s="48">
        <f t="shared" si="3"/>
        <v>0</v>
      </c>
      <c r="AK37" s="50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46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9">
        <v>13</v>
      </c>
      <c r="AH38" s="47">
        <f t="shared" si="2"/>
        <v>0</v>
      </c>
      <c r="AI38" s="48">
        <f t="shared" si="3"/>
        <v>0</v>
      </c>
      <c r="AK38" s="50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47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9">
        <v>12</v>
      </c>
      <c r="AH39" s="47">
        <f t="shared" si="2"/>
        <v>0</v>
      </c>
      <c r="AI39" s="48">
        <f t="shared" si="3"/>
        <v>0</v>
      </c>
      <c r="AK39" s="50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48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9">
        <v>12</v>
      </c>
      <c r="AH40" s="47">
        <f t="shared" si="2"/>
        <v>0</v>
      </c>
      <c r="AI40" s="48">
        <f t="shared" si="3"/>
        <v>0</v>
      </c>
      <c r="AK40" s="50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49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9">
        <v>12</v>
      </c>
      <c r="AH41" s="47">
        <f t="shared" si="2"/>
        <v>0</v>
      </c>
      <c r="AI41" s="48">
        <f t="shared" si="3"/>
        <v>0</v>
      </c>
      <c r="AK41" s="50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50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52">
        <v>22</v>
      </c>
      <c r="AH42" s="47">
        <f t="shared" si="2"/>
        <v>0</v>
      </c>
      <c r="AI42" s="48">
        <f t="shared" si="3"/>
        <v>0</v>
      </c>
      <c r="AK42" s="50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51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51">
        <v>11.88</v>
      </c>
      <c r="AH43" s="47">
        <f t="shared" si="2"/>
        <v>0</v>
      </c>
      <c r="AI43" s="48">
        <f t="shared" si="3"/>
        <v>0</v>
      </c>
      <c r="AK43" s="50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52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54">
        <v>11</v>
      </c>
      <c r="AH44" s="47">
        <f t="shared" si="2"/>
        <v>0</v>
      </c>
      <c r="AI44" s="48">
        <f t="shared" si="3"/>
        <v>0</v>
      </c>
      <c r="AK44" s="50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53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54">
        <v>10</v>
      </c>
      <c r="AH45" s="47">
        <f t="shared" si="2"/>
        <v>0</v>
      </c>
      <c r="AI45" s="48">
        <f t="shared" si="3"/>
        <v>0</v>
      </c>
      <c r="AK45" s="50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54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54">
        <v>10</v>
      </c>
      <c r="AH46" s="47">
        <f t="shared" si="2"/>
        <v>0</v>
      </c>
      <c r="AI46" s="48">
        <f t="shared" si="3"/>
        <v>0</v>
      </c>
      <c r="AK46" s="50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55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54">
        <v>10</v>
      </c>
      <c r="AH47" s="47">
        <f t="shared" si="2"/>
        <v>0</v>
      </c>
      <c r="AI47" s="48">
        <f t="shared" si="3"/>
        <v>0</v>
      </c>
      <c r="AK47" s="50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56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4">
        <v>85</v>
      </c>
      <c r="AH48" s="47">
        <f t="shared" si="2"/>
        <v>0</v>
      </c>
      <c r="AI48" s="48">
        <f t="shared" si="3"/>
        <v>0</v>
      </c>
      <c r="AK48" s="50"/>
    </row>
    <row r="49" spans="1:41" ht="15.75" thickBot="1" x14ac:dyDescent="0.3">
      <c r="A49" s="57" t="s">
        <v>57</v>
      </c>
      <c r="B49" s="56"/>
      <c r="C49" s="56"/>
      <c r="D49" s="56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50"/>
    </row>
    <row r="50" spans="1:41" ht="15.75" thickBot="1" x14ac:dyDescent="0.3">
      <c r="A50" s="59" t="s">
        <v>58</v>
      </c>
      <c r="B50" s="60">
        <f t="shared" ref="B50:AF50" si="4">SUM(B11:B48)</f>
        <v>0</v>
      </c>
      <c r="C50" s="60">
        <f t="shared" si="4"/>
        <v>0</v>
      </c>
      <c r="D50" s="60">
        <f t="shared" si="4"/>
        <v>0</v>
      </c>
      <c r="E50" s="60">
        <f t="shared" si="4"/>
        <v>0</v>
      </c>
      <c r="F50" s="60">
        <f t="shared" si="4"/>
        <v>0</v>
      </c>
      <c r="G50" s="60">
        <f t="shared" si="4"/>
        <v>0</v>
      </c>
      <c r="H50" s="60">
        <f t="shared" si="4"/>
        <v>0</v>
      </c>
      <c r="I50" s="60">
        <f t="shared" si="4"/>
        <v>0</v>
      </c>
      <c r="J50" s="60">
        <f t="shared" si="4"/>
        <v>0</v>
      </c>
      <c r="K50" s="60">
        <f t="shared" si="4"/>
        <v>0</v>
      </c>
      <c r="L50" s="60">
        <f t="shared" si="4"/>
        <v>0</v>
      </c>
      <c r="M50" s="60">
        <f t="shared" si="4"/>
        <v>0</v>
      </c>
      <c r="N50" s="60">
        <f t="shared" si="4"/>
        <v>0</v>
      </c>
      <c r="O50" s="60">
        <f t="shared" si="4"/>
        <v>0</v>
      </c>
      <c r="P50" s="60">
        <f t="shared" si="4"/>
        <v>0</v>
      </c>
      <c r="Q50" s="60">
        <f t="shared" si="4"/>
        <v>0</v>
      </c>
      <c r="R50" s="60">
        <f t="shared" si="4"/>
        <v>0</v>
      </c>
      <c r="S50" s="60">
        <f t="shared" si="4"/>
        <v>0</v>
      </c>
      <c r="T50" s="60">
        <f t="shared" si="4"/>
        <v>0</v>
      </c>
      <c r="U50" s="60">
        <f t="shared" si="4"/>
        <v>0</v>
      </c>
      <c r="V50" s="60">
        <f t="shared" si="4"/>
        <v>0</v>
      </c>
      <c r="W50" s="60">
        <f t="shared" si="4"/>
        <v>0</v>
      </c>
      <c r="X50" s="60">
        <f t="shared" si="4"/>
        <v>0</v>
      </c>
      <c r="Y50" s="60">
        <f t="shared" si="4"/>
        <v>0</v>
      </c>
      <c r="Z50" s="60">
        <f t="shared" si="4"/>
        <v>0</v>
      </c>
      <c r="AA50" s="60">
        <f t="shared" si="4"/>
        <v>0</v>
      </c>
      <c r="AB50" s="60">
        <f t="shared" si="4"/>
        <v>0</v>
      </c>
      <c r="AC50" s="60">
        <f t="shared" si="4"/>
        <v>0</v>
      </c>
      <c r="AD50" s="60">
        <f t="shared" si="4"/>
        <v>0</v>
      </c>
      <c r="AE50" s="60">
        <f t="shared" si="4"/>
        <v>0</v>
      </c>
      <c r="AF50" s="60">
        <f t="shared" si="4"/>
        <v>0</v>
      </c>
      <c r="AG50" s="61">
        <f>SUM(AG13:AG48)</f>
        <v>922.14</v>
      </c>
      <c r="AH50" s="47">
        <f t="shared" si="2"/>
        <v>0</v>
      </c>
      <c r="AI50" s="48">
        <f t="shared" si="3"/>
        <v>0</v>
      </c>
      <c r="AK50" s="50"/>
    </row>
    <row r="51" spans="1:41" x14ac:dyDescent="0.25">
      <c r="A51" s="62" t="s">
        <v>59</v>
      </c>
      <c r="B51" s="45">
        <v>300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175"/>
      <c r="O51" s="175"/>
      <c r="P51" s="175"/>
      <c r="Q51" s="175"/>
      <c r="R51" s="17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51">
        <v>456</v>
      </c>
      <c r="AH51" s="47">
        <f t="shared" si="2"/>
        <v>300</v>
      </c>
      <c r="AI51" s="48">
        <f t="shared" si="3"/>
        <v>300</v>
      </c>
      <c r="AK51" s="50"/>
    </row>
    <row r="52" spans="1:41" x14ac:dyDescent="0.25">
      <c r="A52" s="63" t="s">
        <v>60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54">
        <v>60</v>
      </c>
      <c r="AH52" s="47">
        <f t="shared" si="2"/>
        <v>0</v>
      </c>
      <c r="AI52" s="48">
        <f t="shared" si="3"/>
        <v>0</v>
      </c>
      <c r="AK52" s="50"/>
    </row>
    <row r="53" spans="1:41" ht="15.75" thickBot="1" x14ac:dyDescent="0.3">
      <c r="A53" s="65" t="s">
        <v>61</v>
      </c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7">
        <v>22.1</v>
      </c>
      <c r="AH53" s="47">
        <f t="shared" si="2"/>
        <v>0</v>
      </c>
      <c r="AI53" s="48">
        <f t="shared" si="3"/>
        <v>0</v>
      </c>
      <c r="AK53" s="50"/>
    </row>
    <row r="54" spans="1:41" ht="15.75" thickBot="1" x14ac:dyDescent="0.3">
      <c r="A54" s="68" t="s">
        <v>62</v>
      </c>
      <c r="B54" s="60">
        <f t="shared" ref="B54:AG54" si="5">SUM(B51:B53)</f>
        <v>300</v>
      </c>
      <c r="C54" s="60">
        <f t="shared" si="5"/>
        <v>0</v>
      </c>
      <c r="D54" s="60">
        <f t="shared" si="5"/>
        <v>0</v>
      </c>
      <c r="E54" s="60">
        <f t="shared" si="5"/>
        <v>0</v>
      </c>
      <c r="F54" s="60">
        <f t="shared" si="5"/>
        <v>0</v>
      </c>
      <c r="G54" s="60">
        <f t="shared" si="5"/>
        <v>0</v>
      </c>
      <c r="H54" s="60">
        <f t="shared" si="5"/>
        <v>0</v>
      </c>
      <c r="I54" s="60">
        <f t="shared" si="5"/>
        <v>0</v>
      </c>
      <c r="J54" s="60">
        <f t="shared" si="5"/>
        <v>0</v>
      </c>
      <c r="K54" s="60">
        <f t="shared" si="5"/>
        <v>0</v>
      </c>
      <c r="L54" s="60">
        <f t="shared" si="5"/>
        <v>0</v>
      </c>
      <c r="M54" s="60">
        <f t="shared" si="5"/>
        <v>0</v>
      </c>
      <c r="N54" s="60">
        <f t="shared" si="5"/>
        <v>0</v>
      </c>
      <c r="O54" s="60">
        <f t="shared" si="5"/>
        <v>0</v>
      </c>
      <c r="P54" s="60">
        <f t="shared" si="5"/>
        <v>0</v>
      </c>
      <c r="Q54" s="60">
        <f t="shared" si="5"/>
        <v>0</v>
      </c>
      <c r="R54" s="60">
        <f t="shared" si="5"/>
        <v>0</v>
      </c>
      <c r="S54" s="60">
        <f t="shared" si="5"/>
        <v>0</v>
      </c>
      <c r="T54" s="60">
        <f t="shared" si="5"/>
        <v>0</v>
      </c>
      <c r="U54" s="60">
        <f t="shared" si="5"/>
        <v>0</v>
      </c>
      <c r="V54" s="60">
        <f t="shared" si="5"/>
        <v>0</v>
      </c>
      <c r="W54" s="60">
        <f t="shared" si="5"/>
        <v>0</v>
      </c>
      <c r="X54" s="60">
        <f t="shared" si="5"/>
        <v>0</v>
      </c>
      <c r="Y54" s="60">
        <f t="shared" si="5"/>
        <v>0</v>
      </c>
      <c r="Z54" s="60">
        <f t="shared" si="5"/>
        <v>0</v>
      </c>
      <c r="AA54" s="60">
        <f t="shared" si="5"/>
        <v>0</v>
      </c>
      <c r="AB54" s="60">
        <f t="shared" si="5"/>
        <v>0</v>
      </c>
      <c r="AC54" s="60">
        <f t="shared" si="5"/>
        <v>0</v>
      </c>
      <c r="AD54" s="60">
        <f t="shared" si="5"/>
        <v>0</v>
      </c>
      <c r="AE54" s="60">
        <f t="shared" si="5"/>
        <v>0</v>
      </c>
      <c r="AF54" s="60">
        <f t="shared" si="5"/>
        <v>0</v>
      </c>
      <c r="AG54" s="61">
        <f t="shared" si="5"/>
        <v>538.1</v>
      </c>
      <c r="AH54" s="47">
        <f t="shared" si="2"/>
        <v>300</v>
      </c>
      <c r="AI54" s="48">
        <f t="shared" si="3"/>
        <v>0</v>
      </c>
      <c r="AK54" s="50"/>
    </row>
    <row r="55" spans="1:41" x14ac:dyDescent="0.25">
      <c r="A55" s="44" t="s">
        <v>63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51">
        <v>144</v>
      </c>
      <c r="AH55" s="47">
        <f t="shared" si="2"/>
        <v>0</v>
      </c>
      <c r="AI55" s="48">
        <f t="shared" si="3"/>
        <v>0</v>
      </c>
      <c r="AK55" s="50"/>
    </row>
    <row r="56" spans="1:41" x14ac:dyDescent="0.25">
      <c r="A56" s="53" t="s">
        <v>64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64"/>
      <c r="AE56" s="45"/>
      <c r="AF56" s="45"/>
      <c r="AG56" s="54">
        <v>70</v>
      </c>
      <c r="AH56" s="47">
        <f t="shared" si="2"/>
        <v>0</v>
      </c>
      <c r="AI56" s="48">
        <f t="shared" si="3"/>
        <v>0</v>
      </c>
      <c r="AK56" s="50"/>
    </row>
    <row r="57" spans="1:41" x14ac:dyDescent="0.25">
      <c r="A57" s="53" t="s">
        <v>65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64"/>
      <c r="AE57" s="45"/>
      <c r="AF57" s="45"/>
      <c r="AG57" s="54">
        <v>69</v>
      </c>
      <c r="AH57" s="47">
        <f t="shared" si="2"/>
        <v>0</v>
      </c>
      <c r="AI57" s="48">
        <f t="shared" si="3"/>
        <v>0</v>
      </c>
      <c r="AK57" s="50"/>
    </row>
    <row r="58" spans="1:41" x14ac:dyDescent="0.25">
      <c r="A58" s="53" t="s">
        <v>66</v>
      </c>
      <c r="B58" s="64"/>
      <c r="C58" s="64"/>
      <c r="D58" s="64"/>
      <c r="E58" s="56"/>
      <c r="F58" s="56"/>
      <c r="G58" s="56"/>
      <c r="H58" s="56"/>
      <c r="I58" s="56"/>
      <c r="J58" s="56"/>
      <c r="K58" s="56"/>
      <c r="L58" s="56"/>
      <c r="M58" s="64"/>
      <c r="N58" s="64"/>
      <c r="O58" s="64"/>
      <c r="P58" s="64"/>
      <c r="Q58" s="64"/>
      <c r="R58" s="64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64"/>
      <c r="AE58" s="45"/>
      <c r="AF58" s="45"/>
      <c r="AG58" s="54">
        <v>60</v>
      </c>
      <c r="AH58" s="47">
        <f t="shared" si="2"/>
        <v>0</v>
      </c>
      <c r="AI58" s="48">
        <f t="shared" si="3"/>
        <v>0</v>
      </c>
      <c r="AK58" s="50"/>
    </row>
    <row r="59" spans="1:41" x14ac:dyDescent="0.25">
      <c r="A59" s="53" t="s">
        <v>67</v>
      </c>
      <c r="B59" s="64"/>
      <c r="C59" s="64"/>
      <c r="D59" s="64"/>
      <c r="E59" s="56"/>
      <c r="F59" s="56"/>
      <c r="G59" s="56"/>
      <c r="H59" s="56"/>
      <c r="I59" s="56"/>
      <c r="J59" s="56"/>
      <c r="K59" s="56"/>
      <c r="L59" s="56"/>
      <c r="M59" s="64"/>
      <c r="N59" s="64"/>
      <c r="O59" s="64"/>
      <c r="P59" s="64"/>
      <c r="Q59" s="64"/>
      <c r="R59" s="64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64"/>
      <c r="AE59" s="45"/>
      <c r="AF59" s="45"/>
      <c r="AG59" s="54">
        <v>30</v>
      </c>
      <c r="AH59" s="47">
        <f t="shared" si="2"/>
        <v>0</v>
      </c>
      <c r="AI59" s="48">
        <f t="shared" si="3"/>
        <v>0</v>
      </c>
      <c r="AK59" s="50"/>
    </row>
    <row r="60" spans="1:41" x14ac:dyDescent="0.25">
      <c r="A60" s="53" t="s">
        <v>68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64"/>
      <c r="AE60" s="45"/>
      <c r="AF60" s="45"/>
      <c r="AG60" s="54">
        <v>25</v>
      </c>
      <c r="AH60" s="47">
        <f t="shared" si="2"/>
        <v>0</v>
      </c>
      <c r="AI60" s="48">
        <f t="shared" si="3"/>
        <v>0</v>
      </c>
      <c r="AK60" s="50"/>
    </row>
    <row r="61" spans="1:41" x14ac:dyDescent="0.25">
      <c r="A61" s="53" t="s">
        <v>69</v>
      </c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54">
        <v>24</v>
      </c>
      <c r="AH61" s="47">
        <f t="shared" si="2"/>
        <v>0</v>
      </c>
      <c r="AI61" s="48">
        <f t="shared" si="3"/>
        <v>0</v>
      </c>
      <c r="AK61" s="50"/>
    </row>
    <row r="62" spans="1:41" x14ac:dyDescent="0.25">
      <c r="A62" s="53" t="s">
        <v>70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54">
        <v>15</v>
      </c>
      <c r="AH62" s="47">
        <f t="shared" si="2"/>
        <v>0</v>
      </c>
      <c r="AI62" s="48">
        <f t="shared" si="3"/>
        <v>0</v>
      </c>
      <c r="AK62" s="50"/>
      <c r="AL62" s="69"/>
      <c r="AO62" s="69"/>
    </row>
    <row r="63" spans="1:41" s="69" customFormat="1" x14ac:dyDescent="0.25">
      <c r="A63" s="53" t="s">
        <v>71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54">
        <v>14.1</v>
      </c>
      <c r="AH63" s="47">
        <f t="shared" si="2"/>
        <v>0</v>
      </c>
      <c r="AI63" s="48">
        <f t="shared" si="3"/>
        <v>0</v>
      </c>
      <c r="AJ63" s="1"/>
      <c r="AK63" s="50"/>
      <c r="AL63" s="1"/>
      <c r="AM63" s="1"/>
      <c r="AN63" s="1"/>
      <c r="AO63" s="1"/>
    </row>
    <row r="64" spans="1:41" x14ac:dyDescent="0.25">
      <c r="A64" s="70" t="s">
        <v>72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54">
        <v>14</v>
      </c>
      <c r="AH64" s="47">
        <f t="shared" si="2"/>
        <v>0</v>
      </c>
      <c r="AI64" s="48">
        <f t="shared" si="3"/>
        <v>0</v>
      </c>
      <c r="AK64" s="50"/>
    </row>
    <row r="65" spans="1:40" x14ac:dyDescent="0.25">
      <c r="A65" s="53" t="s">
        <v>73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54">
        <v>10.050000000000001</v>
      </c>
      <c r="AH65" s="47">
        <f t="shared" si="2"/>
        <v>0</v>
      </c>
      <c r="AI65" s="48">
        <f t="shared" si="3"/>
        <v>0</v>
      </c>
      <c r="AK65" s="50"/>
    </row>
    <row r="66" spans="1:40" x14ac:dyDescent="0.25">
      <c r="A66" s="53" t="s">
        <v>74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54">
        <v>6.2</v>
      </c>
      <c r="AH66" s="47">
        <f t="shared" si="2"/>
        <v>0</v>
      </c>
      <c r="AI66" s="48">
        <f t="shared" si="3"/>
        <v>0</v>
      </c>
      <c r="AK66" s="50"/>
    </row>
    <row r="67" spans="1:40" ht="15.75" thickBot="1" x14ac:dyDescent="0.3">
      <c r="A67" s="55" t="s">
        <v>75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50"/>
    </row>
    <row r="68" spans="1:40" ht="15.75" thickBot="1" x14ac:dyDescent="0.3">
      <c r="A68" s="73" t="s">
        <v>76</v>
      </c>
      <c r="B68" s="60">
        <f t="shared" ref="B68:AG68" si="6">SUM(B55:B67)</f>
        <v>3.54</v>
      </c>
      <c r="C68" s="60">
        <f t="shared" si="6"/>
        <v>3.54</v>
      </c>
      <c r="D68" s="60">
        <f t="shared" si="6"/>
        <v>3.54</v>
      </c>
      <c r="E68" s="60">
        <f t="shared" si="6"/>
        <v>3.54</v>
      </c>
      <c r="F68" s="60">
        <f t="shared" si="6"/>
        <v>3.54</v>
      </c>
      <c r="G68" s="60">
        <f t="shared" si="6"/>
        <v>3.54</v>
      </c>
      <c r="H68" s="60">
        <f t="shared" si="6"/>
        <v>3.54</v>
      </c>
      <c r="I68" s="60">
        <f t="shared" si="6"/>
        <v>3.54</v>
      </c>
      <c r="J68" s="60">
        <f t="shared" si="6"/>
        <v>3.54</v>
      </c>
      <c r="K68" s="60">
        <f t="shared" si="6"/>
        <v>3.54</v>
      </c>
      <c r="L68" s="60">
        <f t="shared" si="6"/>
        <v>3.54</v>
      </c>
      <c r="M68" s="60">
        <f t="shared" si="6"/>
        <v>3.54</v>
      </c>
      <c r="N68" s="60">
        <f t="shared" si="6"/>
        <v>3.54</v>
      </c>
      <c r="O68" s="60">
        <f t="shared" si="6"/>
        <v>3.54</v>
      </c>
      <c r="P68" s="60">
        <f t="shared" si="6"/>
        <v>3.54</v>
      </c>
      <c r="Q68" s="60">
        <f t="shared" si="6"/>
        <v>3.54</v>
      </c>
      <c r="R68" s="60">
        <f t="shared" si="6"/>
        <v>3.54</v>
      </c>
      <c r="S68" s="60">
        <f t="shared" si="6"/>
        <v>3.54</v>
      </c>
      <c r="T68" s="60">
        <f t="shared" si="6"/>
        <v>3.54</v>
      </c>
      <c r="U68" s="60">
        <f t="shared" si="6"/>
        <v>3.54</v>
      </c>
      <c r="V68" s="60">
        <f t="shared" si="6"/>
        <v>3.54</v>
      </c>
      <c r="W68" s="60">
        <f t="shared" si="6"/>
        <v>3.54</v>
      </c>
      <c r="X68" s="60">
        <f t="shared" si="6"/>
        <v>3.54</v>
      </c>
      <c r="Y68" s="60">
        <f t="shared" si="6"/>
        <v>3.54</v>
      </c>
      <c r="Z68" s="60">
        <f t="shared" si="6"/>
        <v>3.54</v>
      </c>
      <c r="AA68" s="60">
        <f t="shared" si="6"/>
        <v>3.54</v>
      </c>
      <c r="AB68" s="60">
        <f t="shared" si="6"/>
        <v>3.54</v>
      </c>
      <c r="AC68" s="60">
        <f t="shared" si="6"/>
        <v>3.54</v>
      </c>
      <c r="AD68" s="60">
        <f t="shared" si="6"/>
        <v>3.54</v>
      </c>
      <c r="AE68" s="60">
        <f t="shared" si="6"/>
        <v>3.54</v>
      </c>
      <c r="AF68" s="60">
        <f t="shared" si="6"/>
        <v>3.54</v>
      </c>
      <c r="AG68" s="61">
        <f t="shared" si="6"/>
        <v>489.91</v>
      </c>
      <c r="AH68" s="47">
        <f t="shared" si="2"/>
        <v>3.54</v>
      </c>
      <c r="AI68" s="48">
        <f t="shared" si="3"/>
        <v>3.54</v>
      </c>
      <c r="AK68" s="50"/>
    </row>
    <row r="69" spans="1:40" x14ac:dyDescent="0.25">
      <c r="A69" s="44" t="s">
        <v>77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50"/>
    </row>
    <row r="70" spans="1:40" x14ac:dyDescent="0.25">
      <c r="A70" s="53" t="s">
        <v>78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54">
        <v>32</v>
      </c>
      <c r="AH70" s="47">
        <f t="shared" si="2"/>
        <v>0</v>
      </c>
      <c r="AI70" s="48">
        <f t="shared" si="3"/>
        <v>0</v>
      </c>
      <c r="AK70" s="50"/>
    </row>
    <row r="71" spans="1:40" ht="15.75" thickBot="1" x14ac:dyDescent="0.3">
      <c r="A71" s="70" t="s">
        <v>79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7">
        <v>14</v>
      </c>
      <c r="AH71" s="47">
        <f t="shared" si="2"/>
        <v>0</v>
      </c>
      <c r="AI71" s="48">
        <f t="shared" si="3"/>
        <v>0</v>
      </c>
      <c r="AK71" s="50"/>
    </row>
    <row r="72" spans="1:40" ht="15.75" thickBot="1" x14ac:dyDescent="0.3">
      <c r="A72" s="73" t="s">
        <v>80</v>
      </c>
      <c r="B72" s="60">
        <f>B69+B70+B71</f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f>L69+L70+L71</f>
        <v>0</v>
      </c>
      <c r="M72" s="60">
        <f t="shared" ref="M72:AF72" si="7">M69+M70+M71</f>
        <v>0</v>
      </c>
      <c r="N72" s="60">
        <f t="shared" si="7"/>
        <v>0</v>
      </c>
      <c r="O72" s="60">
        <f t="shared" si="7"/>
        <v>0</v>
      </c>
      <c r="P72" s="60">
        <f t="shared" si="7"/>
        <v>0</v>
      </c>
      <c r="Q72" s="60">
        <f t="shared" si="7"/>
        <v>0</v>
      </c>
      <c r="R72" s="60">
        <f t="shared" si="7"/>
        <v>0</v>
      </c>
      <c r="S72" s="60">
        <f t="shared" si="7"/>
        <v>0</v>
      </c>
      <c r="T72" s="60">
        <f t="shared" si="7"/>
        <v>0</v>
      </c>
      <c r="U72" s="60">
        <f t="shared" si="7"/>
        <v>0</v>
      </c>
      <c r="V72" s="60">
        <f t="shared" si="7"/>
        <v>0</v>
      </c>
      <c r="W72" s="60">
        <f t="shared" si="7"/>
        <v>0</v>
      </c>
      <c r="X72" s="60">
        <f t="shared" si="7"/>
        <v>0</v>
      </c>
      <c r="Y72" s="60">
        <f t="shared" si="7"/>
        <v>0</v>
      </c>
      <c r="Z72" s="60">
        <f t="shared" si="7"/>
        <v>0</v>
      </c>
      <c r="AA72" s="60">
        <f t="shared" si="7"/>
        <v>0</v>
      </c>
      <c r="AB72" s="60">
        <f t="shared" si="7"/>
        <v>0</v>
      </c>
      <c r="AC72" s="60">
        <f t="shared" si="7"/>
        <v>0</v>
      </c>
      <c r="AD72" s="60">
        <f t="shared" si="7"/>
        <v>0</v>
      </c>
      <c r="AE72" s="60">
        <f t="shared" si="7"/>
        <v>0</v>
      </c>
      <c r="AF72" s="60">
        <f t="shared" si="7"/>
        <v>0</v>
      </c>
      <c r="AG72" s="61">
        <f>SUM(AG69:AG71)</f>
        <v>106</v>
      </c>
      <c r="AH72" s="47">
        <f t="shared" si="2"/>
        <v>0</v>
      </c>
      <c r="AI72" s="48">
        <f t="shared" si="3"/>
        <v>0</v>
      </c>
      <c r="AK72" s="50"/>
    </row>
    <row r="73" spans="1:40" x14ac:dyDescent="0.25">
      <c r="A73" s="44" t="s">
        <v>81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51"/>
      <c r="AH73" s="47">
        <f t="shared" si="2"/>
        <v>0</v>
      </c>
      <c r="AI73" s="48">
        <f t="shared" si="3"/>
        <v>0</v>
      </c>
      <c r="AK73" s="50"/>
    </row>
    <row r="74" spans="1:40" x14ac:dyDescent="0.25">
      <c r="A74" s="53" t="s">
        <v>82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50"/>
    </row>
    <row r="75" spans="1:40" x14ac:dyDescent="0.25">
      <c r="A75" s="53" t="s">
        <v>83</v>
      </c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74"/>
      <c r="AH75" s="47">
        <f t="shared" si="2"/>
        <v>0</v>
      </c>
      <c r="AI75" s="48">
        <f t="shared" si="3"/>
        <v>0</v>
      </c>
      <c r="AK75" s="50"/>
    </row>
    <row r="76" spans="1:40" x14ac:dyDescent="0.25">
      <c r="A76" s="53" t="s">
        <v>84</v>
      </c>
      <c r="B76" s="64"/>
      <c r="C76" s="64"/>
      <c r="D76" s="64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64"/>
      <c r="AE76" s="75"/>
      <c r="AF76" s="75"/>
      <c r="AG76" s="74"/>
      <c r="AH76" s="47">
        <f t="shared" si="2"/>
        <v>0</v>
      </c>
      <c r="AI76" s="48">
        <f t="shared" si="3"/>
        <v>0</v>
      </c>
      <c r="AK76" s="50"/>
    </row>
    <row r="77" spans="1:40" x14ac:dyDescent="0.25">
      <c r="A77" s="53" t="s">
        <v>85</v>
      </c>
      <c r="B77" s="45"/>
      <c r="C77" s="45"/>
      <c r="D77" s="64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4"/>
      <c r="AH77" s="47">
        <f t="shared" ref="AH77:AH120" si="8">MAX(B77:AF77)</f>
        <v>0</v>
      </c>
      <c r="AI77" s="48">
        <f t="shared" ref="AI77:AI120" si="9">MIN(B77:AF77)</f>
        <v>0</v>
      </c>
      <c r="AK77" s="50"/>
    </row>
    <row r="78" spans="1:40" x14ac:dyDescent="0.25">
      <c r="A78" s="53" t="s">
        <v>86</v>
      </c>
      <c r="B78" s="45"/>
      <c r="C78" s="76"/>
      <c r="D78" s="64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4"/>
      <c r="AH78" s="47">
        <f t="shared" si="8"/>
        <v>0</v>
      </c>
      <c r="AI78" s="48">
        <f t="shared" si="9"/>
        <v>0</v>
      </c>
      <c r="AK78" s="50"/>
    </row>
    <row r="79" spans="1:40" ht="15.75" thickBot="1" x14ac:dyDescent="0.3">
      <c r="A79" s="53" t="s">
        <v>87</v>
      </c>
      <c r="B79" s="45"/>
      <c r="C79" s="76"/>
      <c r="D79" s="64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4"/>
      <c r="AH79" s="47">
        <f t="shared" si="8"/>
        <v>0</v>
      </c>
      <c r="AI79" s="48">
        <f t="shared" si="9"/>
        <v>0</v>
      </c>
      <c r="AK79" s="50"/>
      <c r="AL79" s="77" t="s">
        <v>88</v>
      </c>
      <c r="AM79" s="77"/>
    </row>
    <row r="80" spans="1:40" x14ac:dyDescent="0.25">
      <c r="A80" s="53" t="s">
        <v>89</v>
      </c>
      <c r="B80" s="45"/>
      <c r="C80" s="76"/>
      <c r="D80" s="64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4"/>
      <c r="AH80" s="47">
        <f t="shared" si="8"/>
        <v>0</v>
      </c>
      <c r="AI80" s="48">
        <f t="shared" si="9"/>
        <v>0</v>
      </c>
      <c r="AK80" s="78"/>
      <c r="AL80" s="79">
        <v>14</v>
      </c>
      <c r="AM80" s="79">
        <v>10</v>
      </c>
      <c r="AN80" s="80"/>
    </row>
    <row r="81" spans="1:40" x14ac:dyDescent="0.25">
      <c r="A81" s="53" t="s">
        <v>90</v>
      </c>
      <c r="B81" s="45"/>
      <c r="C81" s="76"/>
      <c r="D81" s="64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4"/>
      <c r="AH81" s="47">
        <f t="shared" si="8"/>
        <v>0</v>
      </c>
      <c r="AI81" s="48">
        <f t="shared" si="9"/>
        <v>0</v>
      </c>
      <c r="AK81" s="81" t="s">
        <v>91</v>
      </c>
      <c r="AL81" s="64">
        <v>533554.48</v>
      </c>
      <c r="AM81" s="75">
        <v>533330.87</v>
      </c>
      <c r="AN81" s="82">
        <f>AL81-AM81</f>
        <v>223.60999999998603</v>
      </c>
    </row>
    <row r="82" spans="1:40" x14ac:dyDescent="0.25">
      <c r="A82" s="83" t="s">
        <v>92</v>
      </c>
      <c r="B82" s="45"/>
      <c r="C82" s="76"/>
      <c r="D82" s="64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84"/>
      <c r="AH82" s="47">
        <f t="shared" si="8"/>
        <v>0</v>
      </c>
      <c r="AI82" s="48">
        <f t="shared" si="9"/>
        <v>0</v>
      </c>
      <c r="AK82" s="81" t="s">
        <v>93</v>
      </c>
      <c r="AL82" s="75">
        <v>377068.94</v>
      </c>
      <c r="AM82" s="75">
        <v>376844.36</v>
      </c>
      <c r="AN82" s="82">
        <f>AL82-AM82</f>
        <v>224.5800000000163</v>
      </c>
    </row>
    <row r="83" spans="1:40" ht="15.75" thickBot="1" x14ac:dyDescent="0.3">
      <c r="A83" s="83" t="s">
        <v>94</v>
      </c>
      <c r="B83" s="45"/>
      <c r="C83" s="76"/>
      <c r="D83" s="64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84"/>
      <c r="AH83" s="47">
        <f t="shared" si="8"/>
        <v>0</v>
      </c>
      <c r="AI83" s="48">
        <f t="shared" si="9"/>
        <v>0</v>
      </c>
      <c r="AK83" s="85"/>
      <c r="AL83" s="45"/>
      <c r="AM83" s="45"/>
      <c r="AN83" s="86">
        <f>AN81+AN82</f>
        <v>448.19000000000233</v>
      </c>
    </row>
    <row r="84" spans="1:40" ht="15.75" thickBot="1" x14ac:dyDescent="0.3">
      <c r="A84" s="73" t="s">
        <v>95</v>
      </c>
      <c r="B84" s="60">
        <f t="shared" ref="B84:AF84" si="10">SUMIF(B73:B83,"&gt;0")</f>
        <v>0</v>
      </c>
      <c r="C84" s="60">
        <f t="shared" si="10"/>
        <v>0</v>
      </c>
      <c r="D84" s="60">
        <f t="shared" si="10"/>
        <v>0</v>
      </c>
      <c r="E84" s="60">
        <f t="shared" si="10"/>
        <v>0</v>
      </c>
      <c r="F84" s="60">
        <f t="shared" si="10"/>
        <v>0</v>
      </c>
      <c r="G84" s="60">
        <f t="shared" si="10"/>
        <v>0</v>
      </c>
      <c r="H84" s="60">
        <f t="shared" si="10"/>
        <v>0</v>
      </c>
      <c r="I84" s="60">
        <f t="shared" si="10"/>
        <v>0</v>
      </c>
      <c r="J84" s="60">
        <f t="shared" si="10"/>
        <v>0</v>
      </c>
      <c r="K84" s="60">
        <f t="shared" si="10"/>
        <v>0</v>
      </c>
      <c r="L84" s="60">
        <f t="shared" si="10"/>
        <v>0</v>
      </c>
      <c r="M84" s="60">
        <f t="shared" si="10"/>
        <v>0</v>
      </c>
      <c r="N84" s="60">
        <f t="shared" si="10"/>
        <v>0</v>
      </c>
      <c r="O84" s="60">
        <f t="shared" si="10"/>
        <v>0</v>
      </c>
      <c r="P84" s="60">
        <f t="shared" si="10"/>
        <v>0</v>
      </c>
      <c r="Q84" s="60">
        <f t="shared" si="10"/>
        <v>0</v>
      </c>
      <c r="R84" s="60">
        <f t="shared" si="10"/>
        <v>0</v>
      </c>
      <c r="S84" s="60">
        <f t="shared" si="10"/>
        <v>0</v>
      </c>
      <c r="T84" s="60">
        <f t="shared" si="10"/>
        <v>0</v>
      </c>
      <c r="U84" s="60">
        <f t="shared" si="10"/>
        <v>0</v>
      </c>
      <c r="V84" s="60">
        <f t="shared" si="10"/>
        <v>0</v>
      </c>
      <c r="W84" s="60">
        <f t="shared" si="10"/>
        <v>0</v>
      </c>
      <c r="X84" s="60">
        <f t="shared" si="10"/>
        <v>0</v>
      </c>
      <c r="Y84" s="60">
        <f t="shared" si="10"/>
        <v>0</v>
      </c>
      <c r="Z84" s="60">
        <f t="shared" si="10"/>
        <v>0</v>
      </c>
      <c r="AA84" s="60">
        <f t="shared" si="10"/>
        <v>0</v>
      </c>
      <c r="AB84" s="60">
        <f t="shared" si="10"/>
        <v>0</v>
      </c>
      <c r="AC84" s="60">
        <f t="shared" si="10"/>
        <v>0</v>
      </c>
      <c r="AD84" s="60">
        <f t="shared" si="10"/>
        <v>0</v>
      </c>
      <c r="AE84" s="60">
        <f t="shared" si="10"/>
        <v>0</v>
      </c>
      <c r="AF84" s="60">
        <f t="shared" si="10"/>
        <v>0</v>
      </c>
      <c r="AG84" s="87">
        <f>SUM(AG73:AG83)</f>
        <v>0</v>
      </c>
      <c r="AH84" s="47">
        <f t="shared" si="8"/>
        <v>0</v>
      </c>
      <c r="AI84" s="48">
        <f t="shared" si="9"/>
        <v>0</v>
      </c>
      <c r="AK84" s="85"/>
      <c r="AL84" s="76"/>
      <c r="AM84" s="88"/>
      <c r="AN84" s="218">
        <f>448.2/4</f>
        <v>112.05</v>
      </c>
    </row>
    <row r="85" spans="1:40" x14ac:dyDescent="0.25">
      <c r="A85" s="44" t="s">
        <v>96</v>
      </c>
      <c r="B85" s="75">
        <v>0</v>
      </c>
      <c r="C85" s="75">
        <v>0</v>
      </c>
      <c r="D85" s="75">
        <v>0</v>
      </c>
      <c r="E85" s="75">
        <v>0</v>
      </c>
      <c r="F85" s="75">
        <v>0</v>
      </c>
      <c r="G85" s="75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89">
        <v>39</v>
      </c>
      <c r="AH85" s="47">
        <f t="shared" si="8"/>
        <v>0</v>
      </c>
      <c r="AI85" s="48">
        <f t="shared" si="9"/>
        <v>0</v>
      </c>
      <c r="AK85" s="85"/>
      <c r="AL85" s="76"/>
      <c r="AM85" s="76"/>
      <c r="AN85" s="219"/>
    </row>
    <row r="86" spans="1:40" ht="15.75" thickBot="1" x14ac:dyDescent="0.3">
      <c r="A86" s="53" t="s">
        <v>97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0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0</v>
      </c>
      <c r="AB86" s="76">
        <v>0</v>
      </c>
      <c r="AC86" s="76">
        <v>0</v>
      </c>
      <c r="AD86" s="76">
        <v>0</v>
      </c>
      <c r="AE86" s="76">
        <v>0</v>
      </c>
      <c r="AF86" s="76">
        <v>0</v>
      </c>
      <c r="AG86" s="74">
        <v>14.4</v>
      </c>
      <c r="AH86" s="47">
        <f t="shared" si="8"/>
        <v>0</v>
      </c>
      <c r="AI86" s="48">
        <f t="shared" si="9"/>
        <v>0</v>
      </c>
      <c r="AK86" s="90"/>
      <c r="AL86" s="91"/>
      <c r="AM86" s="91"/>
      <c r="AN86" s="92"/>
    </row>
    <row r="87" spans="1:40" ht="15.75" thickBot="1" x14ac:dyDescent="0.3">
      <c r="A87" s="83" t="s">
        <v>98</v>
      </c>
      <c r="B87" s="93">
        <v>0</v>
      </c>
      <c r="C87" s="93">
        <v>0</v>
      </c>
      <c r="D87" s="93">
        <v>0</v>
      </c>
      <c r="E87" s="93">
        <v>0</v>
      </c>
      <c r="F87" s="93">
        <v>0</v>
      </c>
      <c r="G87" s="93">
        <v>0</v>
      </c>
      <c r="H87" s="93">
        <v>0</v>
      </c>
      <c r="I87" s="93">
        <v>0</v>
      </c>
      <c r="J87" s="93">
        <v>0</v>
      </c>
      <c r="K87" s="93">
        <v>0</v>
      </c>
      <c r="L87" s="93">
        <v>0</v>
      </c>
      <c r="M87" s="93">
        <v>0</v>
      </c>
      <c r="N87" s="93">
        <v>0</v>
      </c>
      <c r="O87" s="93">
        <v>0</v>
      </c>
      <c r="P87" s="93">
        <v>0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0</v>
      </c>
      <c r="X87" s="93">
        <v>0</v>
      </c>
      <c r="Y87" s="93">
        <v>0</v>
      </c>
      <c r="Z87" s="93">
        <v>0</v>
      </c>
      <c r="AA87" s="93">
        <v>0</v>
      </c>
      <c r="AB87" s="93">
        <v>0</v>
      </c>
      <c r="AC87" s="93">
        <v>0</v>
      </c>
      <c r="AD87" s="93">
        <v>0</v>
      </c>
      <c r="AE87" s="93">
        <v>0</v>
      </c>
      <c r="AF87" s="93">
        <v>0</v>
      </c>
      <c r="AG87" s="84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3" t="s">
        <v>99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>
        <v>0</v>
      </c>
      <c r="Y88" s="60"/>
      <c r="Z88" s="60"/>
      <c r="AA88" s="60"/>
      <c r="AB88" s="60"/>
      <c r="AC88" s="60"/>
      <c r="AD88" s="60"/>
      <c r="AE88" s="60"/>
      <c r="AF88" s="60"/>
      <c r="AG88" s="87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3" t="s">
        <v>100</v>
      </c>
      <c r="B89" s="94">
        <f t="shared" ref="B89:AG89" si="11">B50+B54+B72+B68+B84+B88</f>
        <v>303.54000000000002</v>
      </c>
      <c r="C89" s="94">
        <f t="shared" si="11"/>
        <v>3.54</v>
      </c>
      <c r="D89" s="94">
        <f t="shared" si="11"/>
        <v>3.54</v>
      </c>
      <c r="E89" s="94">
        <f t="shared" si="11"/>
        <v>3.54</v>
      </c>
      <c r="F89" s="94">
        <f t="shared" si="11"/>
        <v>3.54</v>
      </c>
      <c r="G89" s="94">
        <f t="shared" si="11"/>
        <v>3.54</v>
      </c>
      <c r="H89" s="94">
        <f t="shared" si="11"/>
        <v>3.54</v>
      </c>
      <c r="I89" s="94">
        <f t="shared" si="11"/>
        <v>3.54</v>
      </c>
      <c r="J89" s="94">
        <f t="shared" si="11"/>
        <v>3.54</v>
      </c>
      <c r="K89" s="94">
        <f t="shared" si="11"/>
        <v>3.54</v>
      </c>
      <c r="L89" s="94">
        <f t="shared" si="11"/>
        <v>3.54</v>
      </c>
      <c r="M89" s="94">
        <f t="shared" si="11"/>
        <v>3.54</v>
      </c>
      <c r="N89" s="94">
        <f t="shared" si="11"/>
        <v>3.54</v>
      </c>
      <c r="O89" s="94">
        <f t="shared" si="11"/>
        <v>3.54</v>
      </c>
      <c r="P89" s="94">
        <f t="shared" si="11"/>
        <v>3.54</v>
      </c>
      <c r="Q89" s="94">
        <f t="shared" si="11"/>
        <v>3.54</v>
      </c>
      <c r="R89" s="94">
        <f t="shared" si="11"/>
        <v>3.54</v>
      </c>
      <c r="S89" s="94">
        <f t="shared" si="11"/>
        <v>3.54</v>
      </c>
      <c r="T89" s="94">
        <f t="shared" si="11"/>
        <v>3.54</v>
      </c>
      <c r="U89" s="94">
        <f t="shared" si="11"/>
        <v>3.54</v>
      </c>
      <c r="V89" s="94">
        <f t="shared" si="11"/>
        <v>3.54</v>
      </c>
      <c r="W89" s="94">
        <f t="shared" si="11"/>
        <v>3.54</v>
      </c>
      <c r="X89" s="94">
        <f t="shared" si="11"/>
        <v>3.54</v>
      </c>
      <c r="Y89" s="94">
        <f t="shared" si="11"/>
        <v>3.54</v>
      </c>
      <c r="Z89" s="94">
        <f t="shared" si="11"/>
        <v>3.54</v>
      </c>
      <c r="AA89" s="94">
        <f t="shared" si="11"/>
        <v>3.54</v>
      </c>
      <c r="AB89" s="94">
        <f t="shared" si="11"/>
        <v>3.54</v>
      </c>
      <c r="AC89" s="94">
        <f t="shared" si="11"/>
        <v>3.54</v>
      </c>
      <c r="AD89" s="94">
        <f t="shared" si="11"/>
        <v>3.54</v>
      </c>
      <c r="AE89" s="94">
        <f t="shared" si="11"/>
        <v>3.54</v>
      </c>
      <c r="AF89" s="94">
        <f t="shared" si="11"/>
        <v>3.54</v>
      </c>
      <c r="AG89" s="61">
        <f t="shared" si="11"/>
        <v>2111.5500000000002</v>
      </c>
      <c r="AH89" s="47">
        <f t="shared" si="8"/>
        <v>303.54000000000002</v>
      </c>
      <c r="AI89" s="48">
        <f t="shared" si="9"/>
        <v>3.54</v>
      </c>
    </row>
    <row r="90" spans="1:40" ht="15.75" thickBot="1" x14ac:dyDescent="0.3">
      <c r="A90" s="95" t="s">
        <v>101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87"/>
      <c r="AH90" s="47">
        <f t="shared" si="8"/>
        <v>0</v>
      </c>
      <c r="AI90" s="48">
        <f t="shared" si="9"/>
        <v>0</v>
      </c>
    </row>
    <row r="91" spans="1:40" ht="15.75" thickBot="1" x14ac:dyDescent="0.3">
      <c r="A91" s="73" t="s">
        <v>102</v>
      </c>
      <c r="B91" s="94">
        <f t="shared" ref="B91:AF91" si="12">B89+B90</f>
        <v>303.54000000000002</v>
      </c>
      <c r="C91" s="94">
        <f t="shared" si="12"/>
        <v>3.54</v>
      </c>
      <c r="D91" s="94">
        <f t="shared" si="12"/>
        <v>3.54</v>
      </c>
      <c r="E91" s="94">
        <f t="shared" si="12"/>
        <v>3.54</v>
      </c>
      <c r="F91" s="94">
        <f t="shared" si="12"/>
        <v>3.54</v>
      </c>
      <c r="G91" s="94">
        <f t="shared" si="12"/>
        <v>3.54</v>
      </c>
      <c r="H91" s="94">
        <f t="shared" si="12"/>
        <v>3.54</v>
      </c>
      <c r="I91" s="94">
        <f t="shared" si="12"/>
        <v>3.54</v>
      </c>
      <c r="J91" s="94">
        <f t="shared" si="12"/>
        <v>3.54</v>
      </c>
      <c r="K91" s="94">
        <f t="shared" si="12"/>
        <v>3.54</v>
      </c>
      <c r="L91" s="94">
        <f t="shared" si="12"/>
        <v>3.54</v>
      </c>
      <c r="M91" s="94">
        <f t="shared" si="12"/>
        <v>3.54</v>
      </c>
      <c r="N91" s="94">
        <f t="shared" si="12"/>
        <v>3.54</v>
      </c>
      <c r="O91" s="94">
        <f t="shared" si="12"/>
        <v>3.54</v>
      </c>
      <c r="P91" s="94">
        <f t="shared" si="12"/>
        <v>3.54</v>
      </c>
      <c r="Q91" s="94">
        <f t="shared" si="12"/>
        <v>3.54</v>
      </c>
      <c r="R91" s="94">
        <f t="shared" si="12"/>
        <v>3.54</v>
      </c>
      <c r="S91" s="94">
        <f t="shared" si="12"/>
        <v>3.54</v>
      </c>
      <c r="T91" s="94">
        <f t="shared" si="12"/>
        <v>3.54</v>
      </c>
      <c r="U91" s="94">
        <f t="shared" si="12"/>
        <v>3.54</v>
      </c>
      <c r="V91" s="94">
        <f t="shared" si="12"/>
        <v>3.54</v>
      </c>
      <c r="W91" s="94">
        <f t="shared" si="12"/>
        <v>3.54</v>
      </c>
      <c r="X91" s="94">
        <f t="shared" si="12"/>
        <v>3.54</v>
      </c>
      <c r="Y91" s="94">
        <f t="shared" si="12"/>
        <v>3.54</v>
      </c>
      <c r="Z91" s="94">
        <f t="shared" si="12"/>
        <v>3.54</v>
      </c>
      <c r="AA91" s="94">
        <f t="shared" si="12"/>
        <v>3.54</v>
      </c>
      <c r="AB91" s="94">
        <f t="shared" si="12"/>
        <v>3.54</v>
      </c>
      <c r="AC91" s="94">
        <f t="shared" si="12"/>
        <v>3.54</v>
      </c>
      <c r="AD91" s="94">
        <f t="shared" si="12"/>
        <v>3.54</v>
      </c>
      <c r="AE91" s="94">
        <f t="shared" si="12"/>
        <v>3.54</v>
      </c>
      <c r="AF91" s="94">
        <f t="shared" si="12"/>
        <v>3.54</v>
      </c>
      <c r="AG91" s="87">
        <f>AG88+AG84+AG72+AG68+AG50+AG90</f>
        <v>1573.45</v>
      </c>
      <c r="AH91" s="47">
        <f t="shared" si="8"/>
        <v>303.54000000000002</v>
      </c>
      <c r="AI91" s="48">
        <f t="shared" si="9"/>
        <v>3.54</v>
      </c>
    </row>
    <row r="92" spans="1:40" ht="15.75" thickBot="1" x14ac:dyDescent="0.3">
      <c r="A92" s="73" t="s">
        <v>103</v>
      </c>
      <c r="B92" s="94">
        <f t="shared" ref="B92:AF92" si="13">B91-B99</f>
        <v>303.54000000000002</v>
      </c>
      <c r="C92" s="94">
        <f t="shared" si="13"/>
        <v>3.54</v>
      </c>
      <c r="D92" s="94">
        <f t="shared" si="13"/>
        <v>3.54</v>
      </c>
      <c r="E92" s="94">
        <f t="shared" si="13"/>
        <v>3.54</v>
      </c>
      <c r="F92" s="94">
        <f t="shared" si="13"/>
        <v>3.54</v>
      </c>
      <c r="G92" s="94">
        <f t="shared" si="13"/>
        <v>3.54</v>
      </c>
      <c r="H92" s="94">
        <f t="shared" si="13"/>
        <v>3.54</v>
      </c>
      <c r="I92" s="94">
        <f t="shared" si="13"/>
        <v>3.54</v>
      </c>
      <c r="J92" s="94">
        <f t="shared" si="13"/>
        <v>3.54</v>
      </c>
      <c r="K92" s="94">
        <f t="shared" si="13"/>
        <v>3.54</v>
      </c>
      <c r="L92" s="94">
        <f t="shared" si="13"/>
        <v>3.54</v>
      </c>
      <c r="M92" s="94">
        <f t="shared" si="13"/>
        <v>3.54</v>
      </c>
      <c r="N92" s="94">
        <f t="shared" si="13"/>
        <v>3.54</v>
      </c>
      <c r="O92" s="94">
        <f t="shared" si="13"/>
        <v>3.54</v>
      </c>
      <c r="P92" s="94">
        <f t="shared" si="13"/>
        <v>3.54</v>
      </c>
      <c r="Q92" s="94">
        <f t="shared" si="13"/>
        <v>3.54</v>
      </c>
      <c r="R92" s="94">
        <f t="shared" si="13"/>
        <v>3.54</v>
      </c>
      <c r="S92" s="94">
        <f t="shared" si="13"/>
        <v>3.54</v>
      </c>
      <c r="T92" s="94">
        <f t="shared" si="13"/>
        <v>3.54</v>
      </c>
      <c r="U92" s="94">
        <f t="shared" si="13"/>
        <v>3.54</v>
      </c>
      <c r="V92" s="94">
        <f t="shared" si="13"/>
        <v>3.54</v>
      </c>
      <c r="W92" s="94">
        <f t="shared" si="13"/>
        <v>3.54</v>
      </c>
      <c r="X92" s="94">
        <f t="shared" si="13"/>
        <v>3.54</v>
      </c>
      <c r="Y92" s="94">
        <f t="shared" si="13"/>
        <v>3.54</v>
      </c>
      <c r="Z92" s="94">
        <f t="shared" si="13"/>
        <v>3.54</v>
      </c>
      <c r="AA92" s="94">
        <f t="shared" si="13"/>
        <v>3.54</v>
      </c>
      <c r="AB92" s="94">
        <f t="shared" si="13"/>
        <v>3.54</v>
      </c>
      <c r="AC92" s="94">
        <f t="shared" si="13"/>
        <v>3.54</v>
      </c>
      <c r="AD92" s="94">
        <f t="shared" si="13"/>
        <v>3.54</v>
      </c>
      <c r="AE92" s="94">
        <f t="shared" si="13"/>
        <v>3.54</v>
      </c>
      <c r="AF92" s="94">
        <f t="shared" si="13"/>
        <v>3.54</v>
      </c>
      <c r="AG92" s="87"/>
      <c r="AH92" s="47">
        <f t="shared" si="8"/>
        <v>303.54000000000002</v>
      </c>
      <c r="AI92" s="48">
        <f t="shared" si="9"/>
        <v>3.54</v>
      </c>
    </row>
    <row r="93" spans="1:40" x14ac:dyDescent="0.25">
      <c r="A93" s="44" t="s">
        <v>84</v>
      </c>
      <c r="B93" s="75">
        <v>0</v>
      </c>
      <c r="C93" s="75">
        <v>0</v>
      </c>
      <c r="D93" s="75">
        <v>0</v>
      </c>
      <c r="E93" s="75">
        <v>0</v>
      </c>
      <c r="F93" s="75">
        <v>0</v>
      </c>
      <c r="G93" s="75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82</v>
      </c>
      <c r="B94" s="75">
        <v>0</v>
      </c>
      <c r="C94" s="75">
        <v>0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3" t="s">
        <v>104</v>
      </c>
      <c r="B95" s="75">
        <v>0</v>
      </c>
      <c r="C95" s="75">
        <v>0</v>
      </c>
      <c r="D95" s="75">
        <v>0</v>
      </c>
      <c r="E95" s="75">
        <v>0</v>
      </c>
      <c r="F95" s="75">
        <v>0</v>
      </c>
      <c r="G95" s="75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75">
        <v>0</v>
      </c>
      <c r="O95" s="75">
        <v>0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97"/>
      <c r="AH95" s="47">
        <f t="shared" si="8"/>
        <v>0</v>
      </c>
      <c r="AI95" s="48">
        <f t="shared" si="9"/>
        <v>0</v>
      </c>
    </row>
    <row r="96" spans="1:40" x14ac:dyDescent="0.25">
      <c r="A96" s="83" t="s">
        <v>105</v>
      </c>
      <c r="B96" s="75">
        <v>0</v>
      </c>
      <c r="C96" s="75">
        <v>0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97"/>
      <c r="AH96" s="47">
        <f t="shared" si="8"/>
        <v>0</v>
      </c>
      <c r="AI96" s="48">
        <f t="shared" si="9"/>
        <v>0</v>
      </c>
    </row>
    <row r="97" spans="1:37" x14ac:dyDescent="0.25">
      <c r="A97" s="83" t="s">
        <v>81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97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3" t="s">
        <v>106</v>
      </c>
      <c r="B98" s="93">
        <v>0</v>
      </c>
      <c r="C98" s="93">
        <v>0</v>
      </c>
      <c r="D98" s="93">
        <v>0</v>
      </c>
      <c r="E98" s="93">
        <v>0</v>
      </c>
      <c r="F98" s="93">
        <v>0</v>
      </c>
      <c r="G98" s="93">
        <v>0</v>
      </c>
      <c r="H98" s="93">
        <v>0</v>
      </c>
      <c r="I98" s="93">
        <v>0</v>
      </c>
      <c r="J98" s="93">
        <v>0</v>
      </c>
      <c r="K98" s="93">
        <v>0</v>
      </c>
      <c r="L98" s="93">
        <v>0</v>
      </c>
      <c r="M98" s="93">
        <v>0</v>
      </c>
      <c r="N98" s="93">
        <v>0</v>
      </c>
      <c r="O98" s="93">
        <v>0</v>
      </c>
      <c r="P98" s="93">
        <v>0</v>
      </c>
      <c r="Q98" s="93">
        <v>0</v>
      </c>
      <c r="R98" s="93">
        <v>0</v>
      </c>
      <c r="S98" s="93">
        <v>0</v>
      </c>
      <c r="T98" s="93">
        <v>0</v>
      </c>
      <c r="U98" s="93">
        <v>0</v>
      </c>
      <c r="V98" s="93">
        <v>0</v>
      </c>
      <c r="W98" s="93">
        <v>0</v>
      </c>
      <c r="X98" s="93">
        <v>0</v>
      </c>
      <c r="Y98" s="93">
        <v>0</v>
      </c>
      <c r="Z98" s="93">
        <v>0</v>
      </c>
      <c r="AA98" s="93">
        <v>0</v>
      </c>
      <c r="AB98" s="93">
        <v>0</v>
      </c>
      <c r="AC98" s="93">
        <v>0</v>
      </c>
      <c r="AD98" s="93">
        <v>0</v>
      </c>
      <c r="AE98" s="93">
        <v>0</v>
      </c>
      <c r="AF98" s="93">
        <v>0</v>
      </c>
      <c r="AG98" s="84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8" t="s">
        <v>107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87"/>
      <c r="AH99" s="47">
        <f t="shared" si="8"/>
        <v>0</v>
      </c>
      <c r="AI99" s="48">
        <f t="shared" si="9"/>
        <v>0</v>
      </c>
      <c r="AK99" s="50"/>
    </row>
    <row r="100" spans="1:37" ht="15.75" thickBot="1" x14ac:dyDescent="0.3">
      <c r="A100" s="73" t="s">
        <v>108</v>
      </c>
      <c r="B100" s="60">
        <f t="shared" ref="B100:AF100" si="14">B84-B99</f>
        <v>0</v>
      </c>
      <c r="C100" s="60">
        <f t="shared" si="14"/>
        <v>0</v>
      </c>
      <c r="D100" s="60">
        <f t="shared" si="14"/>
        <v>0</v>
      </c>
      <c r="E100" s="60">
        <f t="shared" si="14"/>
        <v>0</v>
      </c>
      <c r="F100" s="60">
        <f t="shared" si="14"/>
        <v>0</v>
      </c>
      <c r="G100" s="60">
        <f t="shared" si="14"/>
        <v>0</v>
      </c>
      <c r="H100" s="60">
        <f t="shared" si="14"/>
        <v>0</v>
      </c>
      <c r="I100" s="60">
        <f t="shared" si="14"/>
        <v>0</v>
      </c>
      <c r="J100" s="60">
        <f t="shared" si="14"/>
        <v>0</v>
      </c>
      <c r="K100" s="60">
        <f t="shared" si="14"/>
        <v>0</v>
      </c>
      <c r="L100" s="60">
        <f t="shared" si="14"/>
        <v>0</v>
      </c>
      <c r="M100" s="60">
        <f t="shared" si="14"/>
        <v>0</v>
      </c>
      <c r="N100" s="60">
        <f t="shared" si="14"/>
        <v>0</v>
      </c>
      <c r="O100" s="60">
        <f t="shared" si="14"/>
        <v>0</v>
      </c>
      <c r="P100" s="60">
        <f t="shared" si="14"/>
        <v>0</v>
      </c>
      <c r="Q100" s="60">
        <f t="shared" si="14"/>
        <v>0</v>
      </c>
      <c r="R100" s="60">
        <f t="shared" si="14"/>
        <v>0</v>
      </c>
      <c r="S100" s="60">
        <f t="shared" si="14"/>
        <v>0</v>
      </c>
      <c r="T100" s="60">
        <f t="shared" si="14"/>
        <v>0</v>
      </c>
      <c r="U100" s="60">
        <f t="shared" si="14"/>
        <v>0</v>
      </c>
      <c r="V100" s="60">
        <f t="shared" si="14"/>
        <v>0</v>
      </c>
      <c r="W100" s="60">
        <f t="shared" si="14"/>
        <v>0</v>
      </c>
      <c r="X100" s="60">
        <f t="shared" si="14"/>
        <v>0</v>
      </c>
      <c r="Y100" s="60">
        <f t="shared" si="14"/>
        <v>0</v>
      </c>
      <c r="Z100" s="60">
        <f t="shared" si="14"/>
        <v>0</v>
      </c>
      <c r="AA100" s="60">
        <f t="shared" si="14"/>
        <v>0</v>
      </c>
      <c r="AB100" s="60">
        <f t="shared" si="14"/>
        <v>0</v>
      </c>
      <c r="AC100" s="60">
        <f t="shared" si="14"/>
        <v>0</v>
      </c>
      <c r="AD100" s="60">
        <f t="shared" si="14"/>
        <v>0</v>
      </c>
      <c r="AE100" s="60">
        <f t="shared" si="14"/>
        <v>0</v>
      </c>
      <c r="AF100" s="60">
        <f t="shared" si="14"/>
        <v>0</v>
      </c>
      <c r="AG100" s="87"/>
      <c r="AH100" s="47">
        <f t="shared" si="8"/>
        <v>0</v>
      </c>
      <c r="AI100" s="48">
        <f t="shared" si="9"/>
        <v>0</v>
      </c>
    </row>
    <row r="101" spans="1:37" x14ac:dyDescent="0.25">
      <c r="A101" s="99" t="s">
        <v>109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1"/>
      <c r="AH101" s="47">
        <f t="shared" si="8"/>
        <v>0</v>
      </c>
      <c r="AI101" s="48">
        <f t="shared" si="9"/>
        <v>0</v>
      </c>
    </row>
    <row r="102" spans="1:37" x14ac:dyDescent="0.25">
      <c r="A102" s="102" t="s">
        <v>110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3"/>
      <c r="AH102" s="47">
        <f t="shared" si="8"/>
        <v>0</v>
      </c>
      <c r="AI102" s="48">
        <f t="shared" si="9"/>
        <v>0</v>
      </c>
    </row>
    <row r="103" spans="1:37" x14ac:dyDescent="0.25">
      <c r="A103" s="102" t="s">
        <v>111</v>
      </c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103"/>
      <c r="AH103" s="47">
        <f t="shared" si="8"/>
        <v>0</v>
      </c>
      <c r="AI103" s="48">
        <f t="shared" si="9"/>
        <v>0</v>
      </c>
    </row>
    <row r="104" spans="1:37" x14ac:dyDescent="0.25">
      <c r="A104" s="102" t="s">
        <v>112</v>
      </c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103"/>
      <c r="AH104" s="47">
        <f t="shared" si="8"/>
        <v>0</v>
      </c>
      <c r="AI104" s="48">
        <f t="shared" si="9"/>
        <v>0</v>
      </c>
    </row>
    <row r="105" spans="1:37" x14ac:dyDescent="0.25">
      <c r="A105" s="104" t="s">
        <v>113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3"/>
      <c r="AH105" s="47">
        <f t="shared" si="8"/>
        <v>0</v>
      </c>
      <c r="AI105" s="48">
        <f t="shared" si="9"/>
        <v>0</v>
      </c>
    </row>
    <row r="106" spans="1:37" x14ac:dyDescent="0.25">
      <c r="A106" s="104" t="s">
        <v>114</v>
      </c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6"/>
      <c r="AH106" s="47">
        <f t="shared" si="8"/>
        <v>0</v>
      </c>
      <c r="AI106" s="48">
        <f t="shared" si="9"/>
        <v>0</v>
      </c>
    </row>
    <row r="107" spans="1:37" x14ac:dyDescent="0.25">
      <c r="A107" s="102" t="s">
        <v>115</v>
      </c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103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02" t="s">
        <v>116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107"/>
      <c r="AH108" s="47">
        <f t="shared" si="8"/>
        <v>0</v>
      </c>
      <c r="AI108" s="48">
        <f t="shared" si="9"/>
        <v>0</v>
      </c>
    </row>
    <row r="109" spans="1:37" ht="15.75" thickBot="1" x14ac:dyDescent="0.3">
      <c r="A109" s="108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 t="s">
        <v>117</v>
      </c>
      <c r="Y109" s="91"/>
      <c r="Z109" s="91"/>
      <c r="AA109" s="91"/>
      <c r="AB109" s="91"/>
      <c r="AC109" s="91"/>
      <c r="AD109" s="91"/>
      <c r="AE109" s="91"/>
      <c r="AF109" s="91"/>
      <c r="AG109" s="107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09" t="s">
        <v>118</v>
      </c>
      <c r="B110" s="110">
        <f t="shared" ref="B110:O110" si="15">SUM(B20,B26,B29:B30,B58,B60:B61,B63,B65,B111:B115,B138,B144,B150,B159,B161,B173,B180,B183:B184,B191,B193,B195,B199:B201,B203:B205,B210,B216:B217,B219:B221,B229,B234)</f>
        <v>0</v>
      </c>
      <c r="C110" s="110">
        <f t="shared" si="15"/>
        <v>0.94</v>
      </c>
      <c r="D110" s="110">
        <f t="shared" si="15"/>
        <v>0.94</v>
      </c>
      <c r="E110" s="110">
        <f t="shared" si="15"/>
        <v>0.94</v>
      </c>
      <c r="F110" s="110">
        <f t="shared" si="15"/>
        <v>0.94</v>
      </c>
      <c r="G110" s="110">
        <f t="shared" si="15"/>
        <v>0.94</v>
      </c>
      <c r="H110" s="110">
        <f t="shared" si="15"/>
        <v>0.94</v>
      </c>
      <c r="I110" s="110">
        <f t="shared" si="15"/>
        <v>0.94</v>
      </c>
      <c r="J110" s="110">
        <f t="shared" si="15"/>
        <v>0.94</v>
      </c>
      <c r="K110" s="110">
        <f t="shared" si="15"/>
        <v>0.94</v>
      </c>
      <c r="L110" s="110">
        <f t="shared" si="15"/>
        <v>0.94</v>
      </c>
      <c r="M110" s="110">
        <f t="shared" si="15"/>
        <v>0.94</v>
      </c>
      <c r="N110" s="110">
        <f t="shared" si="15"/>
        <v>0.94</v>
      </c>
      <c r="O110" s="110">
        <f t="shared" si="15"/>
        <v>0.94</v>
      </c>
      <c r="P110" s="110">
        <v>42</v>
      </c>
      <c r="Q110" s="110">
        <f t="shared" ref="Q110:AF110" si="16">SUM(Q20,Q26,Q29:Q30,Q58,Q60:Q61,Q63,Q65,Q111:Q115,Q138,Q144,Q150,Q159,Q161,Q173,Q180,Q183:Q184,Q191,Q193,Q195,Q199:Q201,Q203:Q205,Q210,Q216:Q217,Q219:Q221,Q229,Q234)</f>
        <v>0</v>
      </c>
      <c r="R110" s="110">
        <f t="shared" si="16"/>
        <v>0</v>
      </c>
      <c r="S110" s="110">
        <f t="shared" si="16"/>
        <v>0</v>
      </c>
      <c r="T110" s="110">
        <f t="shared" si="16"/>
        <v>0</v>
      </c>
      <c r="U110" s="110">
        <f t="shared" si="16"/>
        <v>0</v>
      </c>
      <c r="V110" s="110">
        <f t="shared" si="16"/>
        <v>0</v>
      </c>
      <c r="W110" s="110">
        <f t="shared" si="16"/>
        <v>0</v>
      </c>
      <c r="X110" s="110">
        <f t="shared" si="16"/>
        <v>0</v>
      </c>
      <c r="Y110" s="110">
        <f t="shared" si="16"/>
        <v>0</v>
      </c>
      <c r="Z110" s="110">
        <f t="shared" si="16"/>
        <v>0</v>
      </c>
      <c r="AA110" s="110">
        <f t="shared" si="16"/>
        <v>0</v>
      </c>
      <c r="AB110" s="110">
        <f t="shared" si="16"/>
        <v>0</v>
      </c>
      <c r="AC110" s="110">
        <f t="shared" si="16"/>
        <v>0</v>
      </c>
      <c r="AD110" s="110"/>
      <c r="AE110" s="110">
        <f t="shared" si="16"/>
        <v>0</v>
      </c>
      <c r="AF110" s="110">
        <f t="shared" si="16"/>
        <v>0</v>
      </c>
      <c r="AG110" s="111"/>
      <c r="AH110" s="47">
        <f t="shared" si="8"/>
        <v>42</v>
      </c>
      <c r="AI110" s="48">
        <f t="shared" si="9"/>
        <v>0</v>
      </c>
    </row>
    <row r="111" spans="1:37" x14ac:dyDescent="0.25">
      <c r="A111" s="99" t="s">
        <v>119</v>
      </c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3">
        <v>75</v>
      </c>
      <c r="AH111" s="47">
        <f t="shared" si="8"/>
        <v>0</v>
      </c>
      <c r="AI111" s="48">
        <f t="shared" si="9"/>
        <v>0</v>
      </c>
    </row>
    <row r="112" spans="1:37" x14ac:dyDescent="0.25">
      <c r="A112" s="102" t="s">
        <v>120</v>
      </c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3">
        <v>240</v>
      </c>
      <c r="AH112" s="47">
        <f t="shared" si="8"/>
        <v>0</v>
      </c>
      <c r="AI112" s="48">
        <f t="shared" si="9"/>
        <v>0</v>
      </c>
    </row>
    <row r="113" spans="1:37" x14ac:dyDescent="0.25">
      <c r="A113" s="102" t="s">
        <v>121</v>
      </c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3">
        <v>240</v>
      </c>
      <c r="AH113" s="47">
        <f t="shared" si="8"/>
        <v>0</v>
      </c>
      <c r="AI113" s="48">
        <f t="shared" si="9"/>
        <v>0</v>
      </c>
    </row>
    <row r="114" spans="1:37" x14ac:dyDescent="0.25">
      <c r="A114" s="102" t="s">
        <v>122</v>
      </c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3">
        <v>60</v>
      </c>
      <c r="AH114" s="47">
        <f t="shared" si="8"/>
        <v>0</v>
      </c>
      <c r="AI114" s="48">
        <f t="shared" si="9"/>
        <v>0</v>
      </c>
    </row>
    <row r="115" spans="1:37" x14ac:dyDescent="0.25">
      <c r="A115" s="115" t="s">
        <v>123</v>
      </c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7">
        <v>120</v>
      </c>
      <c r="AH115" s="47">
        <f t="shared" si="8"/>
        <v>0</v>
      </c>
      <c r="AI115" s="48">
        <f t="shared" si="9"/>
        <v>0</v>
      </c>
    </row>
    <row r="116" spans="1:37" x14ac:dyDescent="0.25">
      <c r="A116" s="115" t="s">
        <v>124</v>
      </c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7"/>
      <c r="AH116" s="47">
        <f t="shared" si="8"/>
        <v>0</v>
      </c>
      <c r="AI116" s="48">
        <f t="shared" si="9"/>
        <v>0</v>
      </c>
    </row>
    <row r="117" spans="1:37" x14ac:dyDescent="0.25">
      <c r="A117" s="115" t="s">
        <v>125</v>
      </c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8"/>
      <c r="AH117" s="47">
        <f t="shared" si="8"/>
        <v>0</v>
      </c>
      <c r="AI117" s="48">
        <f t="shared" si="9"/>
        <v>0</v>
      </c>
    </row>
    <row r="118" spans="1:37" x14ac:dyDescent="0.25">
      <c r="A118" s="119" t="s">
        <v>126</v>
      </c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18"/>
      <c r="AH118" s="47">
        <f t="shared" si="8"/>
        <v>0</v>
      </c>
      <c r="AI118" s="48">
        <f t="shared" si="9"/>
        <v>0</v>
      </c>
    </row>
    <row r="119" spans="1:37" x14ac:dyDescent="0.25">
      <c r="A119" s="120" t="s">
        <v>127</v>
      </c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18"/>
      <c r="AH119" s="47">
        <f t="shared" si="8"/>
        <v>0</v>
      </c>
      <c r="AI119" s="48">
        <f t="shared" si="9"/>
        <v>0</v>
      </c>
    </row>
    <row r="120" spans="1:37" ht="15.75" thickBot="1" x14ac:dyDescent="0.3">
      <c r="A120" s="119" t="s">
        <v>128</v>
      </c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18"/>
      <c r="AH120" s="47">
        <f t="shared" si="8"/>
        <v>0</v>
      </c>
      <c r="AI120" s="48">
        <f t="shared" si="9"/>
        <v>0</v>
      </c>
    </row>
    <row r="121" spans="1:37" ht="15.75" thickBot="1" x14ac:dyDescent="0.3">
      <c r="A121" s="121" t="s">
        <v>129</v>
      </c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47"/>
      <c r="AI121" s="48"/>
      <c r="AK121" s="50"/>
    </row>
    <row r="122" spans="1:37" x14ac:dyDescent="0.25">
      <c r="A122" s="124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>
        <v>9.94</v>
      </c>
      <c r="AH122" s="47"/>
      <c r="AI122" s="48"/>
      <c r="AK122" s="50"/>
    </row>
    <row r="123" spans="1:37" x14ac:dyDescent="0.25">
      <c r="A123" s="102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50"/>
    </row>
    <row r="124" spans="1:37" x14ac:dyDescent="0.25">
      <c r="A124" s="102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50"/>
    </row>
    <row r="125" spans="1:37" x14ac:dyDescent="0.25">
      <c r="A125" s="102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50"/>
    </row>
    <row r="126" spans="1:37" x14ac:dyDescent="0.25">
      <c r="A126" s="102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50"/>
    </row>
    <row r="127" spans="1:37" x14ac:dyDescent="0.25">
      <c r="A127" s="102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50"/>
    </row>
    <row r="128" spans="1:37" x14ac:dyDescent="0.25">
      <c r="A128" s="102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50"/>
    </row>
    <row r="129" spans="1:37" x14ac:dyDescent="0.25">
      <c r="A129" s="102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50"/>
    </row>
    <row r="130" spans="1:37" x14ac:dyDescent="0.25">
      <c r="A130" s="102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50"/>
    </row>
    <row r="131" spans="1:37" x14ac:dyDescent="0.25">
      <c r="A131" s="102" t="s">
        <v>139</v>
      </c>
      <c r="B131" s="125"/>
      <c r="C131" s="126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7"/>
      <c r="AH131" s="47"/>
      <c r="AI131" s="48"/>
      <c r="AK131" s="50"/>
    </row>
    <row r="132" spans="1:37" x14ac:dyDescent="0.25">
      <c r="A132" s="102" t="s">
        <v>140</v>
      </c>
      <c r="B132" s="125"/>
      <c r="C132" s="126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7"/>
      <c r="AH132" s="47"/>
      <c r="AI132" s="48"/>
      <c r="AK132" s="50"/>
    </row>
    <row r="133" spans="1:37" x14ac:dyDescent="0.25">
      <c r="A133" s="102" t="s">
        <v>141</v>
      </c>
      <c r="B133" s="125"/>
      <c r="C133" s="126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7"/>
      <c r="AH133" s="47"/>
      <c r="AI133" s="48"/>
      <c r="AK133" s="50"/>
    </row>
    <row r="134" spans="1:37" x14ac:dyDescent="0.25">
      <c r="A134" s="102" t="s">
        <v>142</v>
      </c>
      <c r="B134" s="125"/>
      <c r="C134" s="126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7"/>
      <c r="AH134" s="47"/>
      <c r="AI134" s="48"/>
      <c r="AK134" s="50"/>
    </row>
    <row r="135" spans="1:37" x14ac:dyDescent="0.25">
      <c r="A135" s="102" t="s">
        <v>143</v>
      </c>
      <c r="B135" s="125"/>
      <c r="C135" s="126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7"/>
      <c r="AH135" s="47"/>
      <c r="AI135" s="48"/>
      <c r="AK135" s="50"/>
    </row>
    <row r="136" spans="1:37" x14ac:dyDescent="0.25">
      <c r="A136" s="102" t="s">
        <v>144</v>
      </c>
      <c r="B136" s="125"/>
      <c r="C136" s="126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7"/>
      <c r="AH136" s="47"/>
      <c r="AI136" s="48"/>
      <c r="AK136" s="50"/>
    </row>
    <row r="137" spans="1:37" x14ac:dyDescent="0.25">
      <c r="A137" s="102" t="s">
        <v>145</v>
      </c>
      <c r="B137" s="125"/>
      <c r="C137" s="126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7"/>
      <c r="AH137" s="47"/>
      <c r="AI137" s="48"/>
      <c r="AK137" s="50"/>
    </row>
    <row r="138" spans="1:37" x14ac:dyDescent="0.25">
      <c r="A138" s="102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0">
        <v>9.9</v>
      </c>
      <c r="AH138" s="47"/>
      <c r="AI138" s="48"/>
      <c r="AK138" s="50"/>
    </row>
    <row r="139" spans="1:37" x14ac:dyDescent="0.25">
      <c r="A139" s="115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9.6579999999999995</v>
      </c>
      <c r="AH139" s="47"/>
      <c r="AI139" s="48"/>
      <c r="AK139" s="50"/>
    </row>
    <row r="140" spans="1:37" x14ac:dyDescent="0.25">
      <c r="A140" s="115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9.6</v>
      </c>
      <c r="AH140" s="47"/>
      <c r="AI140" s="48"/>
      <c r="AK140" s="50"/>
    </row>
    <row r="141" spans="1:37" x14ac:dyDescent="0.25">
      <c r="A141" s="115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9.51</v>
      </c>
      <c r="AH141" s="47"/>
      <c r="AI141" s="48"/>
      <c r="AK141" s="50"/>
    </row>
    <row r="142" spans="1:37" x14ac:dyDescent="0.25">
      <c r="A142" s="115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9.4</v>
      </c>
      <c r="AH142" s="47"/>
      <c r="AI142" s="48"/>
      <c r="AK142" s="50"/>
    </row>
    <row r="143" spans="1:37" x14ac:dyDescent="0.25">
      <c r="A143" s="115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8.8000000000000007</v>
      </c>
      <c r="AH143" s="47"/>
      <c r="AI143" s="48"/>
      <c r="AK143" s="50"/>
    </row>
    <row r="144" spans="1:37" x14ac:dyDescent="0.25">
      <c r="A144" s="115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8.5</v>
      </c>
      <c r="AH144" s="47"/>
      <c r="AI144" s="48"/>
      <c r="AK144" s="50"/>
    </row>
    <row r="145" spans="1:37" x14ac:dyDescent="0.25">
      <c r="A145" s="115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8.5</v>
      </c>
      <c r="AH145" s="47"/>
      <c r="AI145" s="48"/>
      <c r="AK145" s="50"/>
    </row>
    <row r="146" spans="1:37" x14ac:dyDescent="0.25">
      <c r="A146" s="115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8.4</v>
      </c>
      <c r="AH146" s="47"/>
      <c r="AI146" s="48"/>
      <c r="AK146" s="50"/>
    </row>
    <row r="147" spans="1:37" ht="13.5" customHeight="1" x14ac:dyDescent="0.25">
      <c r="A147" s="115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8</v>
      </c>
      <c r="AH147" s="47"/>
      <c r="AI147" s="48"/>
      <c r="AK147" s="50"/>
    </row>
    <row r="148" spans="1:37" x14ac:dyDescent="0.25">
      <c r="A148" s="115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8</v>
      </c>
      <c r="AH148" s="47"/>
      <c r="AI148" s="48"/>
      <c r="AK148" s="50"/>
    </row>
    <row r="149" spans="1:37" x14ac:dyDescent="0.25">
      <c r="A149" s="115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8</v>
      </c>
      <c r="AH149" s="47"/>
      <c r="AI149" s="48"/>
      <c r="AK149" s="50"/>
    </row>
    <row r="150" spans="1:37" x14ac:dyDescent="0.25">
      <c r="A150" s="115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7.8</v>
      </c>
      <c r="AH150" s="47"/>
      <c r="AI150" s="48"/>
      <c r="AK150" s="50"/>
    </row>
    <row r="151" spans="1:37" x14ac:dyDescent="0.25">
      <c r="A151" s="115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7.6</v>
      </c>
      <c r="AH151" s="47"/>
      <c r="AI151" s="48"/>
      <c r="AK151" s="50"/>
    </row>
    <row r="152" spans="1:37" x14ac:dyDescent="0.25">
      <c r="A152" s="115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7.5</v>
      </c>
      <c r="AH152" s="47"/>
      <c r="AI152" s="48"/>
      <c r="AK152" s="50"/>
    </row>
    <row r="153" spans="1:37" x14ac:dyDescent="0.25">
      <c r="A153" s="115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7.5</v>
      </c>
      <c r="AH153" s="47"/>
      <c r="AI153" s="48"/>
      <c r="AK153" s="50"/>
    </row>
    <row r="154" spans="1:37" x14ac:dyDescent="0.25">
      <c r="A154" s="115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7</v>
      </c>
      <c r="AH154" s="47"/>
      <c r="AI154" s="48"/>
      <c r="AK154" s="50"/>
    </row>
    <row r="155" spans="1:37" x14ac:dyDescent="0.25">
      <c r="A155" s="115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7</v>
      </c>
      <c r="AH155" s="47"/>
      <c r="AI155" s="48"/>
      <c r="AK155" s="50"/>
    </row>
    <row r="156" spans="1:37" x14ac:dyDescent="0.25">
      <c r="A156" s="115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7</v>
      </c>
      <c r="AH156" s="47"/>
      <c r="AI156" s="48"/>
      <c r="AK156" s="50"/>
    </row>
    <row r="157" spans="1:37" x14ac:dyDescent="0.25">
      <c r="A157" s="115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>
        <v>7</v>
      </c>
      <c r="AH157" s="47"/>
      <c r="AI157" s="48"/>
      <c r="AK157" s="50"/>
    </row>
    <row r="158" spans="1:37" x14ac:dyDescent="0.25">
      <c r="A158" s="115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6.6</v>
      </c>
      <c r="AH158" s="47"/>
      <c r="AI158" s="48"/>
      <c r="AK158" s="50"/>
    </row>
    <row r="159" spans="1:37" x14ac:dyDescent="0.25">
      <c r="A159" s="115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6.6</v>
      </c>
      <c r="AH159" s="47"/>
      <c r="AI159" s="48"/>
      <c r="AK159" s="50"/>
    </row>
    <row r="160" spans="1:37" x14ac:dyDescent="0.25">
      <c r="A160" s="115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6.4</v>
      </c>
      <c r="AH160" s="47"/>
      <c r="AI160" s="48"/>
      <c r="AK160" s="50"/>
    </row>
    <row r="161" spans="1:37" x14ac:dyDescent="0.25">
      <c r="A161" s="115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6</v>
      </c>
      <c r="AH161" s="47"/>
      <c r="AI161" s="48"/>
      <c r="AK161" s="50"/>
    </row>
    <row r="162" spans="1:37" x14ac:dyDescent="0.25">
      <c r="A162" s="115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5.0999999999999996</v>
      </c>
      <c r="AH162" s="47"/>
      <c r="AI162" s="48"/>
      <c r="AK162" s="50"/>
    </row>
    <row r="163" spans="1:37" x14ac:dyDescent="0.25">
      <c r="A163" s="115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5</v>
      </c>
      <c r="AH163" s="47"/>
      <c r="AI163" s="48"/>
      <c r="AK163" s="50"/>
    </row>
    <row r="164" spans="1:37" x14ac:dyDescent="0.25">
      <c r="A164" s="102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0">
        <v>5</v>
      </c>
      <c r="AH164" s="47"/>
      <c r="AI164" s="48"/>
      <c r="AK164" s="50"/>
    </row>
    <row r="165" spans="1:37" x14ac:dyDescent="0.25">
      <c r="A165" s="115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5</v>
      </c>
      <c r="AH165" s="47"/>
      <c r="AI165" s="48"/>
      <c r="AK165" s="50"/>
    </row>
    <row r="166" spans="1:37" x14ac:dyDescent="0.25">
      <c r="A166" s="115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5</v>
      </c>
      <c r="AH166" s="47"/>
      <c r="AI166" s="48"/>
      <c r="AK166" s="50"/>
    </row>
    <row r="167" spans="1:37" x14ac:dyDescent="0.25">
      <c r="A167" s="115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5</v>
      </c>
      <c r="AH167" s="47"/>
      <c r="AI167" s="48"/>
      <c r="AK167" s="50"/>
    </row>
    <row r="168" spans="1:37" x14ac:dyDescent="0.25">
      <c r="A168" s="115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5</v>
      </c>
      <c r="AH168" s="47"/>
      <c r="AI168" s="48"/>
      <c r="AK168" s="50"/>
    </row>
    <row r="169" spans="1:37" x14ac:dyDescent="0.25">
      <c r="A169" s="115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5</v>
      </c>
      <c r="AH169" s="47"/>
      <c r="AI169" s="48"/>
      <c r="AK169" s="50"/>
    </row>
    <row r="170" spans="1:37" x14ac:dyDescent="0.25">
      <c r="A170" s="115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4.9930000000000003</v>
      </c>
      <c r="AH170" s="47"/>
      <c r="AI170" s="48"/>
      <c r="AK170" s="50"/>
    </row>
    <row r="171" spans="1:37" x14ac:dyDescent="0.25">
      <c r="A171" s="115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4.9800000000000004</v>
      </c>
      <c r="AH171" s="47"/>
      <c r="AI171" s="48"/>
      <c r="AK171" s="50"/>
    </row>
    <row r="172" spans="1:37" x14ac:dyDescent="0.25">
      <c r="A172" s="115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4.95</v>
      </c>
      <c r="AH172" s="47"/>
      <c r="AI172" s="48"/>
      <c r="AK172" s="50"/>
    </row>
    <row r="173" spans="1:37" x14ac:dyDescent="0.25">
      <c r="A173" s="115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4.95</v>
      </c>
      <c r="AH173" s="47"/>
      <c r="AI173" s="48"/>
      <c r="AK173" s="50"/>
    </row>
    <row r="174" spans="1:37" x14ac:dyDescent="0.25">
      <c r="A174" s="115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4.8</v>
      </c>
      <c r="AH174" s="47"/>
      <c r="AI174" s="48"/>
      <c r="AK174" s="50"/>
    </row>
    <row r="175" spans="1:37" x14ac:dyDescent="0.25">
      <c r="A175" s="115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4.8</v>
      </c>
      <c r="AH175" s="47"/>
      <c r="AI175" s="48"/>
      <c r="AK175" s="50"/>
    </row>
    <row r="176" spans="1:37" x14ac:dyDescent="0.25">
      <c r="A176" s="115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4.8</v>
      </c>
      <c r="AH176" s="47"/>
      <c r="AI176" s="48"/>
      <c r="AK176" s="50"/>
    </row>
    <row r="177" spans="1:37" x14ac:dyDescent="0.25">
      <c r="A177" s="115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4.5</v>
      </c>
      <c r="AH177" s="47"/>
      <c r="AI177" s="48"/>
      <c r="AK177" s="50"/>
    </row>
    <row r="178" spans="1:37" x14ac:dyDescent="0.25">
      <c r="A178" s="115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4.5</v>
      </c>
      <c r="AH178" s="47"/>
      <c r="AI178" s="48"/>
      <c r="AK178" s="50"/>
    </row>
    <row r="179" spans="1:37" x14ac:dyDescent="0.25">
      <c r="A179" s="115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4.4550000000000001</v>
      </c>
      <c r="AH179" s="47"/>
      <c r="AI179" s="48"/>
      <c r="AK179" s="50"/>
    </row>
    <row r="180" spans="1:37" x14ac:dyDescent="0.25">
      <c r="A180" s="115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4.41</v>
      </c>
      <c r="AH180" s="47"/>
      <c r="AI180" s="48"/>
      <c r="AK180" s="50"/>
    </row>
    <row r="181" spans="1:37" x14ac:dyDescent="0.25">
      <c r="A181" s="115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4.4000000000000004</v>
      </c>
      <c r="AH181" s="47"/>
      <c r="AI181" s="48"/>
      <c r="AK181" s="50"/>
    </row>
    <row r="182" spans="1:37" x14ac:dyDescent="0.25">
      <c r="A182" s="115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4.3600000000000003</v>
      </c>
      <c r="AH182" s="47"/>
      <c r="AI182" s="48"/>
      <c r="AK182" s="50"/>
    </row>
    <row r="183" spans="1:37" x14ac:dyDescent="0.25">
      <c r="A183" s="115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4.2</v>
      </c>
      <c r="AH183" s="47"/>
      <c r="AI183" s="48"/>
      <c r="AK183" s="50"/>
    </row>
    <row r="184" spans="1:37" x14ac:dyDescent="0.25">
      <c r="A184" s="115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50"/>
    </row>
    <row r="185" spans="1:37" x14ac:dyDescent="0.25">
      <c r="A185" s="115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4</v>
      </c>
      <c r="AH185" s="47"/>
      <c r="AI185" s="48"/>
      <c r="AK185" s="50"/>
    </row>
    <row r="186" spans="1:37" x14ac:dyDescent="0.25">
      <c r="A186" s="115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4</v>
      </c>
      <c r="AH186" s="47"/>
      <c r="AI186" s="48"/>
      <c r="AK186" s="50"/>
    </row>
    <row r="187" spans="1:37" x14ac:dyDescent="0.25">
      <c r="A187" s="115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4</v>
      </c>
      <c r="AH187" s="47"/>
      <c r="AI187" s="48"/>
      <c r="AK187" s="50"/>
    </row>
    <row r="188" spans="1:37" x14ac:dyDescent="0.25">
      <c r="A188" s="115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4</v>
      </c>
      <c r="AH188" s="47"/>
      <c r="AI188" s="48"/>
      <c r="AK188" s="50"/>
    </row>
    <row r="189" spans="1:37" x14ac:dyDescent="0.25">
      <c r="A189" s="115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4</v>
      </c>
      <c r="AH189" s="47"/>
      <c r="AI189" s="48"/>
      <c r="AK189" s="50"/>
    </row>
    <row r="190" spans="1:37" x14ac:dyDescent="0.25">
      <c r="A190" s="115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4</v>
      </c>
      <c r="AH190" s="47"/>
      <c r="AI190" s="48"/>
      <c r="AK190" s="50"/>
    </row>
    <row r="191" spans="1:37" x14ac:dyDescent="0.25">
      <c r="A191" s="115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4</v>
      </c>
      <c r="AH191" s="47"/>
      <c r="AI191" s="48"/>
      <c r="AK191" s="50"/>
    </row>
    <row r="192" spans="1:37" x14ac:dyDescent="0.25">
      <c r="A192" s="115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3.75</v>
      </c>
      <c r="AH192" s="47"/>
      <c r="AI192" s="48"/>
      <c r="AK192" s="50"/>
    </row>
    <row r="193" spans="1:37" x14ac:dyDescent="0.25">
      <c r="A193" s="115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3.52</v>
      </c>
      <c r="AH193" s="47"/>
      <c r="AI193" s="48"/>
      <c r="AK193" s="50"/>
    </row>
    <row r="194" spans="1:37" x14ac:dyDescent="0.25">
      <c r="A194" s="115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3.33</v>
      </c>
      <c r="AH194" s="47"/>
      <c r="AI194" s="48"/>
      <c r="AK194" s="50"/>
    </row>
    <row r="195" spans="1:37" x14ac:dyDescent="0.25">
      <c r="A195" s="115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3.2</v>
      </c>
      <c r="AH195" s="47"/>
      <c r="AI195" s="48"/>
      <c r="AK195" s="50"/>
    </row>
    <row r="196" spans="1:37" x14ac:dyDescent="0.25">
      <c r="A196" s="115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50"/>
    </row>
    <row r="197" spans="1:37" x14ac:dyDescent="0.25">
      <c r="A197" s="115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3</v>
      </c>
      <c r="AH197" s="47"/>
      <c r="AI197" s="48"/>
      <c r="AK197" s="50"/>
    </row>
    <row r="198" spans="1:37" x14ac:dyDescent="0.25">
      <c r="A198" s="115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3</v>
      </c>
      <c r="AH198" s="47"/>
      <c r="AI198" s="48"/>
      <c r="AK198" s="50"/>
    </row>
    <row r="199" spans="1:37" x14ac:dyDescent="0.25">
      <c r="A199" s="115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3</v>
      </c>
      <c r="AH199" s="47"/>
      <c r="AI199" s="48"/>
      <c r="AK199" s="50"/>
    </row>
    <row r="200" spans="1:37" x14ac:dyDescent="0.25">
      <c r="A200" s="115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3</v>
      </c>
      <c r="AH200" s="47"/>
      <c r="AI200" s="48"/>
      <c r="AK200" s="50"/>
    </row>
    <row r="201" spans="1:37" x14ac:dyDescent="0.25">
      <c r="A201" s="115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3</v>
      </c>
      <c r="AH201" s="47"/>
      <c r="AI201" s="48"/>
      <c r="AK201" s="50"/>
    </row>
    <row r="202" spans="1:37" x14ac:dyDescent="0.25">
      <c r="A202" s="115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3</v>
      </c>
      <c r="AH202" s="47"/>
      <c r="AI202" s="48"/>
      <c r="AK202" s="50"/>
    </row>
    <row r="203" spans="1:37" x14ac:dyDescent="0.25">
      <c r="A203" s="115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3</v>
      </c>
      <c r="AH203" s="47"/>
      <c r="AI203" s="48"/>
      <c r="AK203" s="50"/>
    </row>
    <row r="204" spans="1:37" x14ac:dyDescent="0.25">
      <c r="A204" s="115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2.83</v>
      </c>
      <c r="AH204" s="47"/>
      <c r="AI204" s="48"/>
      <c r="AK204" s="50"/>
    </row>
    <row r="205" spans="1:37" x14ac:dyDescent="0.25">
      <c r="A205" s="115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2.5</v>
      </c>
      <c r="AH205" s="47"/>
      <c r="AI205" s="48"/>
      <c r="AK205" s="50"/>
    </row>
    <row r="206" spans="1:37" x14ac:dyDescent="0.25">
      <c r="A206" s="115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2.5</v>
      </c>
      <c r="AH206" s="47"/>
      <c r="AI206" s="48"/>
      <c r="AK206" s="50"/>
    </row>
    <row r="207" spans="1:37" x14ac:dyDescent="0.25">
      <c r="A207" s="115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2.4</v>
      </c>
      <c r="AH207" s="47"/>
      <c r="AI207" s="48"/>
      <c r="AK207" s="50"/>
    </row>
    <row r="208" spans="1:37" x14ac:dyDescent="0.25">
      <c r="A208" s="115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2.4</v>
      </c>
      <c r="AH208" s="47"/>
      <c r="AI208" s="48"/>
      <c r="AK208" s="50"/>
    </row>
    <row r="209" spans="1:37" x14ac:dyDescent="0.25">
      <c r="A209" s="115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2.2000000000000002</v>
      </c>
      <c r="AH209" s="47"/>
      <c r="AI209" s="48"/>
      <c r="AK209" s="50"/>
    </row>
    <row r="210" spans="1:37" x14ac:dyDescent="0.25">
      <c r="A210" s="115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2</v>
      </c>
      <c r="AH210" s="47"/>
      <c r="AI210" s="48"/>
      <c r="AK210" s="50"/>
    </row>
    <row r="211" spans="1:37" x14ac:dyDescent="0.25">
      <c r="A211" s="115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2</v>
      </c>
      <c r="AH211" s="47"/>
      <c r="AI211" s="48"/>
      <c r="AK211" s="50"/>
    </row>
    <row r="212" spans="1:37" x14ac:dyDescent="0.25">
      <c r="A212" s="115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2</v>
      </c>
      <c r="AH212" s="47"/>
      <c r="AI212" s="48"/>
      <c r="AK212" s="50"/>
    </row>
    <row r="213" spans="1:37" x14ac:dyDescent="0.25">
      <c r="A213" s="115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1.8</v>
      </c>
      <c r="AH213" s="47"/>
      <c r="AI213" s="48"/>
      <c r="AK213" s="50"/>
    </row>
    <row r="214" spans="1:37" x14ac:dyDescent="0.25">
      <c r="A214" s="115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1.8</v>
      </c>
      <c r="AH214" s="47"/>
      <c r="AI214" s="48"/>
      <c r="AK214" s="50"/>
    </row>
    <row r="215" spans="1:37" x14ac:dyDescent="0.25">
      <c r="A215" s="115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1.65</v>
      </c>
      <c r="AH215" s="47"/>
      <c r="AI215" s="48"/>
      <c r="AK215" s="50"/>
    </row>
    <row r="216" spans="1:37" x14ac:dyDescent="0.25">
      <c r="A216" s="115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1.5</v>
      </c>
      <c r="AH216" s="47"/>
      <c r="AI216" s="48"/>
      <c r="AK216" s="50"/>
    </row>
    <row r="217" spans="1:37" x14ac:dyDescent="0.25">
      <c r="A217" s="115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0.998</v>
      </c>
      <c r="AH217" s="47"/>
      <c r="AI217" s="48"/>
      <c r="AK217" s="50"/>
    </row>
    <row r="218" spans="1:37" x14ac:dyDescent="0.25">
      <c r="A218" s="115" t="s">
        <v>226</v>
      </c>
      <c r="B218" s="128"/>
      <c r="C218" s="129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0.997</v>
      </c>
      <c r="AH218" s="47"/>
      <c r="AI218" s="48"/>
      <c r="AK218" s="50"/>
    </row>
    <row r="219" spans="1:37" x14ac:dyDescent="0.25">
      <c r="A219" s="115" t="s">
        <v>227</v>
      </c>
      <c r="B219" s="128"/>
      <c r="C219" s="129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31">
        <v>0.997</v>
      </c>
      <c r="AH219" s="47"/>
      <c r="AI219" s="48"/>
      <c r="AK219" s="50"/>
    </row>
    <row r="220" spans="1:37" x14ac:dyDescent="0.25">
      <c r="A220" s="115" t="s">
        <v>228</v>
      </c>
      <c r="B220" s="128"/>
      <c r="C220" s="129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31">
        <v>0.996</v>
      </c>
      <c r="AH220" s="47"/>
      <c r="AI220" s="48"/>
      <c r="AK220" s="50"/>
    </row>
    <row r="221" spans="1:37" x14ac:dyDescent="0.25">
      <c r="A221" s="115" t="s">
        <v>229</v>
      </c>
      <c r="B221" s="128"/>
      <c r="C221" s="129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31">
        <v>0.996</v>
      </c>
      <c r="AH221" s="47"/>
      <c r="AI221" s="48"/>
      <c r="AK221" s="50"/>
    </row>
    <row r="222" spans="1:37" x14ac:dyDescent="0.25">
      <c r="A222" s="115" t="s">
        <v>230</v>
      </c>
      <c r="B222" s="128"/>
      <c r="C222" s="129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31">
        <v>0.996</v>
      </c>
      <c r="AH222" s="47"/>
      <c r="AI222" s="48"/>
      <c r="AK222" s="50"/>
    </row>
    <row r="223" spans="1:37" x14ac:dyDescent="0.25">
      <c r="A223" s="115" t="s">
        <v>231</v>
      </c>
      <c r="B223" s="128"/>
      <c r="C223" s="129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31">
        <v>0.995</v>
      </c>
      <c r="AH223" s="47"/>
      <c r="AI223" s="48"/>
      <c r="AK223" s="50"/>
    </row>
    <row r="224" spans="1:37" x14ac:dyDescent="0.25">
      <c r="A224" s="115" t="s">
        <v>232</v>
      </c>
      <c r="B224" s="128"/>
      <c r="C224" s="129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31">
        <v>0.99299999999999999</v>
      </c>
      <c r="AH224" s="47"/>
      <c r="AI224" s="48"/>
      <c r="AK224" s="50"/>
    </row>
    <row r="225" spans="1:37" x14ac:dyDescent="0.25">
      <c r="A225" s="115" t="s">
        <v>233</v>
      </c>
      <c r="B225" s="128"/>
      <c r="C225" s="126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31">
        <v>0.99</v>
      </c>
      <c r="AH225" s="47"/>
      <c r="AI225" s="48"/>
      <c r="AK225" s="50"/>
    </row>
    <row r="226" spans="1:37" ht="15.75" thickBot="1" x14ac:dyDescent="0.3">
      <c r="A226" s="115" t="s">
        <v>234</v>
      </c>
      <c r="B226" s="132"/>
      <c r="C226" s="133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1">
        <v>0.97899999999999998</v>
      </c>
      <c r="AH226" s="47"/>
      <c r="AI226" s="48"/>
      <c r="AK226" s="50"/>
    </row>
    <row r="227" spans="1:37" ht="15.75" thickBot="1" x14ac:dyDescent="0.3">
      <c r="A227" s="134" t="s">
        <v>235</v>
      </c>
      <c r="B227" s="135">
        <f t="shared" ref="B227:AG227" si="17">SUM(B122:B226)</f>
        <v>0</v>
      </c>
      <c r="C227" s="136">
        <f t="shared" si="17"/>
        <v>0</v>
      </c>
      <c r="D227" s="136">
        <f t="shared" si="17"/>
        <v>0</v>
      </c>
      <c r="E227" s="136">
        <f t="shared" si="17"/>
        <v>0</v>
      </c>
      <c r="F227" s="136">
        <f t="shared" si="17"/>
        <v>0</v>
      </c>
      <c r="G227" s="136">
        <f t="shared" si="17"/>
        <v>0</v>
      </c>
      <c r="H227" s="136">
        <f t="shared" si="17"/>
        <v>0</v>
      </c>
      <c r="I227" s="136">
        <f t="shared" si="17"/>
        <v>0</v>
      </c>
      <c r="J227" s="136">
        <f t="shared" si="17"/>
        <v>0</v>
      </c>
      <c r="K227" s="136">
        <f t="shared" si="17"/>
        <v>0</v>
      </c>
      <c r="L227" s="136">
        <f t="shared" si="17"/>
        <v>0</v>
      </c>
      <c r="M227" s="136">
        <f t="shared" si="17"/>
        <v>0</v>
      </c>
      <c r="N227" s="136">
        <f t="shared" si="17"/>
        <v>0</v>
      </c>
      <c r="O227" s="136">
        <f t="shared" si="17"/>
        <v>0</v>
      </c>
      <c r="P227" s="136">
        <f t="shared" si="17"/>
        <v>0</v>
      </c>
      <c r="Q227" s="136">
        <f t="shared" si="17"/>
        <v>0</v>
      </c>
      <c r="R227" s="136">
        <f t="shared" si="17"/>
        <v>0</v>
      </c>
      <c r="S227" s="136">
        <f t="shared" si="17"/>
        <v>0</v>
      </c>
      <c r="T227" s="136">
        <f t="shared" si="17"/>
        <v>0</v>
      </c>
      <c r="U227" s="136">
        <f t="shared" si="17"/>
        <v>0</v>
      </c>
      <c r="V227" s="136">
        <f t="shared" si="17"/>
        <v>0</v>
      </c>
      <c r="W227" s="136">
        <f t="shared" si="17"/>
        <v>0</v>
      </c>
      <c r="X227" s="136">
        <f t="shared" si="17"/>
        <v>0</v>
      </c>
      <c r="Y227" s="136">
        <f t="shared" si="17"/>
        <v>0</v>
      </c>
      <c r="Z227" s="136">
        <f t="shared" si="17"/>
        <v>0</v>
      </c>
      <c r="AA227" s="136">
        <f t="shared" si="17"/>
        <v>0</v>
      </c>
      <c r="AB227" s="136">
        <f t="shared" si="17"/>
        <v>0</v>
      </c>
      <c r="AC227" s="136">
        <f t="shared" si="17"/>
        <v>0</v>
      </c>
      <c r="AD227" s="136">
        <f t="shared" si="17"/>
        <v>0</v>
      </c>
      <c r="AE227" s="136">
        <f t="shared" si="17"/>
        <v>0</v>
      </c>
      <c r="AF227" s="137">
        <f t="shared" si="17"/>
        <v>0</v>
      </c>
      <c r="AG227" s="138">
        <f t="shared" si="17"/>
        <v>412.72299999999984</v>
      </c>
      <c r="AH227" s="47"/>
      <c r="AI227" s="48"/>
      <c r="AK227" s="50"/>
    </row>
    <row r="228" spans="1:37" ht="15.75" thickBot="1" x14ac:dyDescent="0.3">
      <c r="A228" s="26" t="s">
        <v>75</v>
      </c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  <c r="AB228" s="139"/>
      <c r="AC228" s="139"/>
      <c r="AD228" s="139"/>
      <c r="AE228" s="139"/>
      <c r="AF228" s="139"/>
      <c r="AG228" s="118"/>
      <c r="AH228" s="47"/>
      <c r="AI228" s="48"/>
      <c r="AK228" s="50"/>
    </row>
    <row r="229" spans="1:37" x14ac:dyDescent="0.25">
      <c r="A229" s="99" t="s">
        <v>236</v>
      </c>
      <c r="B229" s="140">
        <f t="shared" ref="B229:B234" si="18">AF229</f>
        <v>0</v>
      </c>
      <c r="C229" s="140">
        <v>0.3</v>
      </c>
      <c r="D229" s="140">
        <f t="shared" ref="D229:P234" si="19">C229</f>
        <v>0.3</v>
      </c>
      <c r="E229" s="140">
        <f t="shared" si="19"/>
        <v>0.3</v>
      </c>
      <c r="F229" s="140">
        <f t="shared" si="19"/>
        <v>0.3</v>
      </c>
      <c r="G229" s="140">
        <f t="shared" si="19"/>
        <v>0.3</v>
      </c>
      <c r="H229" s="140">
        <f t="shared" si="19"/>
        <v>0.3</v>
      </c>
      <c r="I229" s="140">
        <f t="shared" si="19"/>
        <v>0.3</v>
      </c>
      <c r="J229" s="140">
        <f t="shared" si="19"/>
        <v>0.3</v>
      </c>
      <c r="K229" s="140">
        <f t="shared" si="19"/>
        <v>0.3</v>
      </c>
      <c r="L229" s="140">
        <f t="shared" si="19"/>
        <v>0.3</v>
      </c>
      <c r="M229" s="140">
        <f t="shared" si="19"/>
        <v>0.3</v>
      </c>
      <c r="N229" s="140">
        <f t="shared" si="19"/>
        <v>0.3</v>
      </c>
      <c r="O229" s="140">
        <f t="shared" si="19"/>
        <v>0.3</v>
      </c>
      <c r="P229" s="140">
        <f t="shared" si="19"/>
        <v>0.3</v>
      </c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1">
        <v>2.4</v>
      </c>
      <c r="AH229" s="47"/>
      <c r="AI229" s="48"/>
      <c r="AK229" s="50"/>
    </row>
    <row r="230" spans="1:37" ht="15.75" thickBot="1" x14ac:dyDescent="0.3">
      <c r="A230" s="102" t="s">
        <v>237</v>
      </c>
      <c r="B230" s="128">
        <f t="shared" si="18"/>
        <v>0</v>
      </c>
      <c r="C230" s="128">
        <v>0.4</v>
      </c>
      <c r="D230" s="128">
        <f t="shared" si="19"/>
        <v>0.4</v>
      </c>
      <c r="E230" s="128">
        <f t="shared" si="19"/>
        <v>0.4</v>
      </c>
      <c r="F230" s="128">
        <f t="shared" si="19"/>
        <v>0.4</v>
      </c>
      <c r="G230" s="128">
        <f t="shared" si="19"/>
        <v>0.4</v>
      </c>
      <c r="H230" s="128">
        <f t="shared" si="19"/>
        <v>0.4</v>
      </c>
      <c r="I230" s="128">
        <f t="shared" si="19"/>
        <v>0.4</v>
      </c>
      <c r="J230" s="128">
        <f t="shared" si="19"/>
        <v>0.4</v>
      </c>
      <c r="K230" s="128">
        <f t="shared" si="19"/>
        <v>0.4</v>
      </c>
      <c r="L230" s="128">
        <f t="shared" si="19"/>
        <v>0.4</v>
      </c>
      <c r="M230" s="128">
        <f t="shared" si="19"/>
        <v>0.4</v>
      </c>
      <c r="N230" s="128">
        <f t="shared" si="19"/>
        <v>0.4</v>
      </c>
      <c r="O230" s="128">
        <f t="shared" si="19"/>
        <v>0.4</v>
      </c>
      <c r="P230" s="128">
        <f t="shared" si="19"/>
        <v>0.4</v>
      </c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42">
        <v>2</v>
      </c>
      <c r="AH230" s="47"/>
      <c r="AI230" s="48"/>
      <c r="AK230" s="50"/>
    </row>
    <row r="231" spans="1:37" x14ac:dyDescent="0.25">
      <c r="A231" s="102" t="s">
        <v>238</v>
      </c>
      <c r="B231" s="128">
        <f t="shared" si="18"/>
        <v>0</v>
      </c>
      <c r="C231" s="128">
        <v>1.5</v>
      </c>
      <c r="D231" s="128">
        <f t="shared" si="19"/>
        <v>1.5</v>
      </c>
      <c r="E231" s="128">
        <f t="shared" si="19"/>
        <v>1.5</v>
      </c>
      <c r="F231" s="128">
        <f t="shared" si="19"/>
        <v>1.5</v>
      </c>
      <c r="G231" s="128">
        <f t="shared" si="19"/>
        <v>1.5</v>
      </c>
      <c r="H231" s="128">
        <f t="shared" si="19"/>
        <v>1.5</v>
      </c>
      <c r="I231" s="110">
        <f ca="1">SUM(I143,I149,I152:I153,I179,I181:I182,I184,I186,I232:I236,I258,I264,I270,I279,I281,I293,I300,I303:I304,I311,I313,I315,I319:I321,I323:I325,I330,I336:I337,I339:I341,I349,I354)</f>
        <v>123.21900000000009</v>
      </c>
      <c r="J231" s="128">
        <f t="shared" ca="1" si="19"/>
        <v>123.21900000000009</v>
      </c>
      <c r="K231" s="128">
        <f t="shared" ca="1" si="19"/>
        <v>123.21900000000009</v>
      </c>
      <c r="L231" s="128">
        <f t="shared" ca="1" si="19"/>
        <v>123.21900000000009</v>
      </c>
      <c r="M231" s="128">
        <f t="shared" ca="1" si="19"/>
        <v>119.19900000000008</v>
      </c>
      <c r="N231" s="128">
        <f t="shared" ca="1" si="19"/>
        <v>119.19900000000008</v>
      </c>
      <c r="O231" s="128">
        <f t="shared" ca="1" si="19"/>
        <v>119.19900000000008</v>
      </c>
      <c r="P231" s="128">
        <f t="shared" ca="1" si="19"/>
        <v>119.19900000000008</v>
      </c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42">
        <v>1.5</v>
      </c>
      <c r="AH231" s="47"/>
      <c r="AI231" s="48"/>
      <c r="AK231" s="50"/>
    </row>
    <row r="232" spans="1:37" x14ac:dyDescent="0.25">
      <c r="A232" s="102" t="s">
        <v>239</v>
      </c>
      <c r="B232" s="128">
        <f t="shared" si="18"/>
        <v>0</v>
      </c>
      <c r="C232" s="128">
        <v>0.3</v>
      </c>
      <c r="D232" s="128">
        <f t="shared" si="19"/>
        <v>0.3</v>
      </c>
      <c r="E232" s="128">
        <f t="shared" si="19"/>
        <v>0.3</v>
      </c>
      <c r="F232" s="128">
        <f t="shared" si="19"/>
        <v>0.3</v>
      </c>
      <c r="G232" s="128">
        <f t="shared" si="19"/>
        <v>0.3</v>
      </c>
      <c r="H232" s="128">
        <f t="shared" si="19"/>
        <v>0.3</v>
      </c>
      <c r="I232" s="128">
        <f t="shared" si="19"/>
        <v>0.3</v>
      </c>
      <c r="J232" s="128">
        <f t="shared" si="19"/>
        <v>0.3</v>
      </c>
      <c r="K232" s="128">
        <f t="shared" si="19"/>
        <v>0.3</v>
      </c>
      <c r="L232" s="128">
        <f t="shared" si="19"/>
        <v>0.3</v>
      </c>
      <c r="M232" s="128">
        <f t="shared" si="19"/>
        <v>0.3</v>
      </c>
      <c r="N232" s="128">
        <f t="shared" si="19"/>
        <v>0.3</v>
      </c>
      <c r="O232" s="128">
        <f t="shared" si="19"/>
        <v>0.3</v>
      </c>
      <c r="P232" s="128">
        <f t="shared" si="19"/>
        <v>0.3</v>
      </c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42">
        <v>1</v>
      </c>
      <c r="AH232" s="47"/>
      <c r="AI232" s="48"/>
      <c r="AK232" s="50"/>
    </row>
    <row r="233" spans="1:37" x14ac:dyDescent="0.25">
      <c r="A233" s="102" t="s">
        <v>240</v>
      </c>
      <c r="B233" s="128">
        <f t="shared" si="18"/>
        <v>0</v>
      </c>
      <c r="C233" s="128">
        <v>0.4</v>
      </c>
      <c r="D233" s="128">
        <f t="shared" si="19"/>
        <v>0.4</v>
      </c>
      <c r="E233" s="128">
        <f t="shared" si="19"/>
        <v>0.4</v>
      </c>
      <c r="F233" s="128">
        <f t="shared" si="19"/>
        <v>0.4</v>
      </c>
      <c r="G233" s="128">
        <f t="shared" si="19"/>
        <v>0.4</v>
      </c>
      <c r="H233" s="128">
        <f t="shared" si="19"/>
        <v>0.4</v>
      </c>
      <c r="I233" s="128">
        <f t="shared" si="19"/>
        <v>0.4</v>
      </c>
      <c r="J233" s="128">
        <f t="shared" si="19"/>
        <v>0.4</v>
      </c>
      <c r="K233" s="128">
        <f t="shared" si="19"/>
        <v>0.4</v>
      </c>
      <c r="L233" s="128">
        <f t="shared" si="19"/>
        <v>0.4</v>
      </c>
      <c r="M233" s="128">
        <f t="shared" si="19"/>
        <v>0.4</v>
      </c>
      <c r="N233" s="128">
        <f t="shared" si="19"/>
        <v>0.4</v>
      </c>
      <c r="O233" s="128">
        <f t="shared" si="19"/>
        <v>0.4</v>
      </c>
      <c r="P233" s="128">
        <f t="shared" si="19"/>
        <v>0.4</v>
      </c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42">
        <v>1</v>
      </c>
      <c r="AH233" s="47"/>
      <c r="AI233" s="48"/>
      <c r="AK233" s="50"/>
    </row>
    <row r="234" spans="1:37" ht="15.75" thickBot="1" x14ac:dyDescent="0.3">
      <c r="A234" s="115" t="s">
        <v>241</v>
      </c>
      <c r="B234" s="132">
        <f t="shared" si="18"/>
        <v>0</v>
      </c>
      <c r="C234" s="132">
        <v>0.64</v>
      </c>
      <c r="D234" s="132">
        <f t="shared" si="19"/>
        <v>0.64</v>
      </c>
      <c r="E234" s="132">
        <f t="shared" si="19"/>
        <v>0.64</v>
      </c>
      <c r="F234" s="132">
        <f t="shared" si="19"/>
        <v>0.64</v>
      </c>
      <c r="G234" s="132">
        <f t="shared" si="19"/>
        <v>0.64</v>
      </c>
      <c r="H234" s="132">
        <f t="shared" si="19"/>
        <v>0.64</v>
      </c>
      <c r="I234" s="132">
        <f t="shared" si="19"/>
        <v>0.64</v>
      </c>
      <c r="J234" s="132">
        <f t="shared" si="19"/>
        <v>0.64</v>
      </c>
      <c r="K234" s="132">
        <f t="shared" si="19"/>
        <v>0.64</v>
      </c>
      <c r="L234" s="132">
        <f t="shared" si="19"/>
        <v>0.64</v>
      </c>
      <c r="M234" s="132">
        <f t="shared" si="19"/>
        <v>0.64</v>
      </c>
      <c r="N234" s="132">
        <f t="shared" si="19"/>
        <v>0.64</v>
      </c>
      <c r="O234" s="132">
        <f t="shared" si="19"/>
        <v>0.64</v>
      </c>
      <c r="P234" s="132">
        <f t="shared" si="19"/>
        <v>0.64</v>
      </c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43">
        <v>0.66</v>
      </c>
      <c r="AH234" s="47"/>
      <c r="AI234" s="48"/>
    </row>
    <row r="235" spans="1:37" ht="15.75" thickBot="1" x14ac:dyDescent="0.3">
      <c r="A235" s="144" t="s">
        <v>75</v>
      </c>
      <c r="B235" s="136">
        <f t="shared" ref="B235:AG235" si="20">SUM(B229:B234)</f>
        <v>0</v>
      </c>
      <c r="C235" s="136">
        <f t="shared" si="20"/>
        <v>3.54</v>
      </c>
      <c r="D235" s="136">
        <f t="shared" si="20"/>
        <v>3.54</v>
      </c>
      <c r="E235" s="136">
        <f t="shared" si="20"/>
        <v>3.54</v>
      </c>
      <c r="F235" s="136">
        <f t="shared" si="20"/>
        <v>3.54</v>
      </c>
      <c r="G235" s="136">
        <f t="shared" si="20"/>
        <v>3.54</v>
      </c>
      <c r="H235" s="136">
        <f t="shared" si="20"/>
        <v>3.54</v>
      </c>
      <c r="I235" s="136">
        <f t="shared" ca="1" si="20"/>
        <v>121.23900000000009</v>
      </c>
      <c r="J235" s="136">
        <f t="shared" ca="1" si="20"/>
        <v>121.23900000000009</v>
      </c>
      <c r="K235" s="136">
        <f t="shared" ca="1" si="20"/>
        <v>121.23900000000009</v>
      </c>
      <c r="L235" s="136">
        <f t="shared" ca="1" si="20"/>
        <v>125.2590000000001</v>
      </c>
      <c r="M235" s="136">
        <f t="shared" ca="1" si="20"/>
        <v>121.23900000000009</v>
      </c>
      <c r="N235" s="136">
        <f t="shared" ca="1" si="20"/>
        <v>121.23900000000009</v>
      </c>
      <c r="O235" s="136">
        <f t="shared" ca="1" si="20"/>
        <v>121.23900000000009</v>
      </c>
      <c r="P235" s="136">
        <f t="shared" ca="1" si="20"/>
        <v>121.23900000000009</v>
      </c>
      <c r="Q235" s="136">
        <f t="shared" si="20"/>
        <v>0</v>
      </c>
      <c r="R235" s="136">
        <f t="shared" si="20"/>
        <v>0</v>
      </c>
      <c r="S235" s="136">
        <f t="shared" si="20"/>
        <v>0</v>
      </c>
      <c r="T235" s="136">
        <f t="shared" si="20"/>
        <v>0</v>
      </c>
      <c r="U235" s="136">
        <f t="shared" si="20"/>
        <v>0</v>
      </c>
      <c r="V235" s="136">
        <f t="shared" si="20"/>
        <v>0</v>
      </c>
      <c r="W235" s="136">
        <f t="shared" si="20"/>
        <v>0</v>
      </c>
      <c r="X235" s="136">
        <f t="shared" si="20"/>
        <v>0</v>
      </c>
      <c r="Y235" s="136">
        <f t="shared" si="20"/>
        <v>0</v>
      </c>
      <c r="Z235" s="136">
        <f t="shared" si="20"/>
        <v>0</v>
      </c>
      <c r="AA235" s="136">
        <f t="shared" si="20"/>
        <v>0</v>
      </c>
      <c r="AB235" s="136">
        <f t="shared" si="20"/>
        <v>0</v>
      </c>
      <c r="AC235" s="136">
        <f t="shared" si="20"/>
        <v>0</v>
      </c>
      <c r="AD235" s="136">
        <f t="shared" si="20"/>
        <v>0</v>
      </c>
      <c r="AE235" s="136">
        <f t="shared" si="20"/>
        <v>0</v>
      </c>
      <c r="AF235" s="136">
        <f t="shared" si="20"/>
        <v>0</v>
      </c>
      <c r="AG235" s="145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39"/>
      <c r="AH236" s="43"/>
    </row>
    <row r="237" spans="1:37" x14ac:dyDescent="0.25">
      <c r="A237" s="146" t="s">
        <v>242</v>
      </c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43"/>
      <c r="AH237" s="47"/>
      <c r="AI237" s="48"/>
    </row>
    <row r="238" spans="1:37" x14ac:dyDescent="0.25">
      <c r="A238" s="149" t="s">
        <v>243</v>
      </c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1"/>
      <c r="AG238" s="152"/>
      <c r="AH238" s="47"/>
      <c r="AI238" s="48"/>
    </row>
    <row r="239" spans="1:37" x14ac:dyDescent="0.25">
      <c r="A239" s="153" t="s">
        <v>244</v>
      </c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5"/>
      <c r="AG239" s="152"/>
      <c r="AH239" s="47"/>
      <c r="AI239" s="48"/>
    </row>
    <row r="240" spans="1:37" x14ac:dyDescent="0.25">
      <c r="A240" s="153" t="s">
        <v>245</v>
      </c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5"/>
      <c r="AG240" s="152"/>
      <c r="AH240" s="47"/>
      <c r="AI240" s="48"/>
    </row>
    <row r="241" spans="1:50" ht="15.75" thickBot="1" x14ac:dyDescent="0.3">
      <c r="A241" s="156" t="s">
        <v>246</v>
      </c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8"/>
      <c r="AG241" s="152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9" t="s">
        <v>247</v>
      </c>
      <c r="B244" s="160">
        <f>MAX(G91:N91)</f>
        <v>3.54</v>
      </c>
      <c r="C244" s="161">
        <f>INDEX(G9:N9,1,MATCH(MAX(G91:N91),G91:N91,0))</f>
        <v>0.20833333333333301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2" t="str">
        <f ca="1">MID(CELL("filename",C7),FIND("]",CELL("filename",C7))+1,600)</f>
        <v>sample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20" t="s">
        <v>248</v>
      </c>
      <c r="B246" s="220"/>
      <c r="C246" s="43"/>
      <c r="D246" s="162" t="e">
        <f ca="1">"Pie Chart of Daily Peak Demand(Inclusive of Export) of Nepal ("&amp;A4&amp;" "&amp;B4&amp;")"</f>
        <v>#VALUE!</v>
      </c>
      <c r="E246" s="43"/>
      <c r="F246" s="43"/>
      <c r="G246" s="162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2" t="e">
        <f ca="1">"Daily Load Curve(Excluding of Export) of Nepal ("&amp;A4&amp;" "&amp;B4&amp;")"</f>
        <v>#VALUE!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3" t="s">
        <v>7</v>
      </c>
      <c r="B247" s="164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3" t="s">
        <v>249</v>
      </c>
      <c r="B248" s="16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5" t="s">
        <v>250</v>
      </c>
      <c r="T248" s="166">
        <v>0</v>
      </c>
      <c r="U248" s="167">
        <v>4.1666666666666664E-2</v>
      </c>
      <c r="V248" s="168">
        <v>8.3333333333333301E-2</v>
      </c>
      <c r="W248" s="168">
        <v>0.125</v>
      </c>
      <c r="X248" s="168">
        <v>0.16666666666666699</v>
      </c>
      <c r="Y248" s="168">
        <v>0.20833333333333301</v>
      </c>
      <c r="Z248" s="168">
        <v>0.22916666666666666</v>
      </c>
      <c r="AA248" s="168">
        <v>0.25</v>
      </c>
      <c r="AB248" s="168">
        <v>0.27083333333333331</v>
      </c>
      <c r="AC248" s="168">
        <v>0.29166666666666669</v>
      </c>
      <c r="AD248" s="168">
        <v>0.3125</v>
      </c>
      <c r="AE248" s="169">
        <v>0.33333333333333331</v>
      </c>
      <c r="AF248" s="169">
        <v>0.375</v>
      </c>
      <c r="AG248" s="169">
        <v>0.41666666666666702</v>
      </c>
      <c r="AH248" s="169">
        <v>0.45833333333333298</v>
      </c>
      <c r="AI248" s="169">
        <v>0.5</v>
      </c>
      <c r="AJ248" s="169">
        <v>0.54166666666666696</v>
      </c>
      <c r="AK248" s="169">
        <v>0.58333333333333304</v>
      </c>
      <c r="AL248" s="169">
        <v>0.625</v>
      </c>
      <c r="AM248" s="169">
        <v>0.66666666666666696</v>
      </c>
      <c r="AN248" s="169">
        <v>0.70833333333333304</v>
      </c>
      <c r="AO248" s="169">
        <v>0.72916666666666663</v>
      </c>
      <c r="AP248" s="169">
        <v>0.75</v>
      </c>
      <c r="AQ248" s="169">
        <v>0.77083333333333337</v>
      </c>
      <c r="AR248" s="169">
        <v>0.79166666666666663</v>
      </c>
      <c r="AS248" s="169">
        <v>0.8125</v>
      </c>
      <c r="AT248" s="168">
        <v>0.83333333333333337</v>
      </c>
      <c r="AU248" s="168">
        <v>0.85416666666666663</v>
      </c>
      <c r="AV248" s="168">
        <v>0.875</v>
      </c>
      <c r="AW248" s="168">
        <v>0.91666666666666696</v>
      </c>
      <c r="AX248" s="168">
        <v>0.95833333333333304</v>
      </c>
    </row>
    <row r="249" spans="1:50" x14ac:dyDescent="0.25">
      <c r="A249" s="163" t="s">
        <v>251</v>
      </c>
      <c r="B249" s="16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252</v>
      </c>
      <c r="T249" s="170">
        <f t="shared" ref="T249:AX249" si="21">B91</f>
        <v>303.54000000000002</v>
      </c>
      <c r="U249" s="170">
        <f t="shared" si="21"/>
        <v>3.54</v>
      </c>
      <c r="V249" s="170">
        <f t="shared" si="21"/>
        <v>3.54</v>
      </c>
      <c r="W249" s="170">
        <f t="shared" si="21"/>
        <v>3.54</v>
      </c>
      <c r="X249" s="170">
        <f t="shared" si="21"/>
        <v>3.54</v>
      </c>
      <c r="Y249" s="170">
        <f t="shared" si="21"/>
        <v>3.54</v>
      </c>
      <c r="Z249" s="170">
        <f t="shared" si="21"/>
        <v>3.54</v>
      </c>
      <c r="AA249" s="170">
        <f t="shared" si="21"/>
        <v>3.54</v>
      </c>
      <c r="AB249" s="170">
        <f t="shared" si="21"/>
        <v>3.54</v>
      </c>
      <c r="AC249" s="170">
        <f t="shared" si="21"/>
        <v>3.54</v>
      </c>
      <c r="AD249" s="170">
        <f t="shared" si="21"/>
        <v>3.54</v>
      </c>
      <c r="AE249" s="170">
        <f t="shared" si="21"/>
        <v>3.54</v>
      </c>
      <c r="AF249" s="170">
        <f t="shared" si="21"/>
        <v>3.54</v>
      </c>
      <c r="AG249" s="170">
        <f t="shared" si="21"/>
        <v>3.54</v>
      </c>
      <c r="AH249" s="170">
        <f t="shared" si="21"/>
        <v>3.54</v>
      </c>
      <c r="AI249" s="170">
        <f t="shared" si="21"/>
        <v>3.54</v>
      </c>
      <c r="AJ249" s="170">
        <f t="shared" si="21"/>
        <v>3.54</v>
      </c>
      <c r="AK249" s="170">
        <f t="shared" si="21"/>
        <v>3.54</v>
      </c>
      <c r="AL249" s="170">
        <f t="shared" si="21"/>
        <v>3.54</v>
      </c>
      <c r="AM249" s="170">
        <f t="shared" si="21"/>
        <v>3.54</v>
      </c>
      <c r="AN249" s="170">
        <f t="shared" si="21"/>
        <v>3.54</v>
      </c>
      <c r="AO249" s="170">
        <f t="shared" si="21"/>
        <v>3.54</v>
      </c>
      <c r="AP249" s="170">
        <f t="shared" si="21"/>
        <v>3.54</v>
      </c>
      <c r="AQ249" s="170">
        <f t="shared" si="21"/>
        <v>3.54</v>
      </c>
      <c r="AR249" s="170">
        <f t="shared" si="21"/>
        <v>3.54</v>
      </c>
      <c r="AS249" s="170">
        <f t="shared" si="21"/>
        <v>3.54</v>
      </c>
      <c r="AT249" s="170">
        <f t="shared" si="21"/>
        <v>3.54</v>
      </c>
      <c r="AU249" s="170">
        <f t="shared" si="21"/>
        <v>3.54</v>
      </c>
      <c r="AV249" s="170">
        <f t="shared" si="21"/>
        <v>3.54</v>
      </c>
      <c r="AW249" s="170">
        <f t="shared" si="21"/>
        <v>3.54</v>
      </c>
      <c r="AX249" s="170">
        <f t="shared" si="21"/>
        <v>3.54</v>
      </c>
    </row>
    <row r="250" spans="1:50" x14ac:dyDescent="0.25">
      <c r="A250" s="163" t="s">
        <v>253</v>
      </c>
      <c r="B250" s="16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3" t="s">
        <v>254</v>
      </c>
      <c r="B251" s="16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3" t="s">
        <v>255</v>
      </c>
      <c r="B252" s="16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3" t="s">
        <v>256</v>
      </c>
      <c r="B253" s="17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3" t="s">
        <v>257</v>
      </c>
      <c r="B254" s="16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2" t="s">
        <v>242</v>
      </c>
      <c r="B270" s="173">
        <f t="shared" ref="B270:AE270" si="22">C234</f>
        <v>0.64</v>
      </c>
      <c r="C270" s="173">
        <f t="shared" si="22"/>
        <v>0.64</v>
      </c>
      <c r="D270" s="173">
        <f t="shared" si="22"/>
        <v>0.64</v>
      </c>
      <c r="E270" s="173">
        <f t="shared" si="22"/>
        <v>0.64</v>
      </c>
      <c r="F270" s="173">
        <f t="shared" si="22"/>
        <v>0.64</v>
      </c>
      <c r="G270" s="173">
        <f t="shared" si="22"/>
        <v>0.64</v>
      </c>
      <c r="H270" s="173">
        <f t="shared" si="22"/>
        <v>0.64</v>
      </c>
      <c r="I270" s="173">
        <f t="shared" si="22"/>
        <v>0.64</v>
      </c>
      <c r="J270" s="173">
        <f t="shared" si="22"/>
        <v>0.64</v>
      </c>
      <c r="K270" s="173">
        <f t="shared" si="22"/>
        <v>0.64</v>
      </c>
      <c r="L270" s="173">
        <f t="shared" si="22"/>
        <v>0.64</v>
      </c>
      <c r="M270" s="173">
        <f t="shared" si="22"/>
        <v>0.64</v>
      </c>
      <c r="N270" s="173">
        <f t="shared" si="22"/>
        <v>0.64</v>
      </c>
      <c r="O270" s="173">
        <f t="shared" si="22"/>
        <v>0.64</v>
      </c>
      <c r="P270" s="173">
        <f t="shared" si="22"/>
        <v>0</v>
      </c>
      <c r="Q270" s="173">
        <f t="shared" si="22"/>
        <v>0</v>
      </c>
      <c r="R270" s="173">
        <f t="shared" si="22"/>
        <v>0</v>
      </c>
      <c r="S270" s="173">
        <f t="shared" si="22"/>
        <v>0</v>
      </c>
      <c r="T270" s="173">
        <f t="shared" si="22"/>
        <v>0</v>
      </c>
      <c r="U270" s="173">
        <f t="shared" si="22"/>
        <v>0</v>
      </c>
      <c r="V270" s="173">
        <f t="shared" si="22"/>
        <v>0</v>
      </c>
      <c r="W270" s="173">
        <f t="shared" si="22"/>
        <v>0</v>
      </c>
      <c r="X270" s="173">
        <f t="shared" si="22"/>
        <v>0</v>
      </c>
      <c r="Y270" s="173">
        <f t="shared" si="22"/>
        <v>0</v>
      </c>
      <c r="Z270" s="173">
        <f t="shared" si="22"/>
        <v>0</v>
      </c>
      <c r="AA270" s="173">
        <f t="shared" si="22"/>
        <v>0</v>
      </c>
      <c r="AB270" s="173">
        <f t="shared" si="22"/>
        <v>0</v>
      </c>
      <c r="AC270" s="173">
        <f t="shared" si="22"/>
        <v>0</v>
      </c>
      <c r="AD270" s="173">
        <f t="shared" si="22"/>
        <v>0</v>
      </c>
      <c r="AE270" s="173">
        <f t="shared" si="22"/>
        <v>0</v>
      </c>
      <c r="AF270" s="173">
        <f>B234</f>
        <v>0</v>
      </c>
      <c r="AG270" s="43"/>
      <c r="AH270" s="43"/>
    </row>
    <row r="271" spans="1:34" x14ac:dyDescent="0.25">
      <c r="A271" s="174" t="str">
        <f>A238</f>
        <v>KGA</v>
      </c>
      <c r="B271" s="174" t="str">
        <f t="shared" ref="B271:AF271" si="23">IF(B238&lt;100,"",B238-520)</f>
        <v/>
      </c>
      <c r="C271" s="174" t="str">
        <f t="shared" si="23"/>
        <v/>
      </c>
      <c r="D271" s="174" t="str">
        <f t="shared" si="23"/>
        <v/>
      </c>
      <c r="E271" s="174" t="str">
        <f t="shared" si="23"/>
        <v/>
      </c>
      <c r="F271" s="174" t="str">
        <f t="shared" si="23"/>
        <v/>
      </c>
      <c r="G271" s="174" t="str">
        <f t="shared" si="23"/>
        <v/>
      </c>
      <c r="H271" s="174" t="str">
        <f t="shared" si="23"/>
        <v/>
      </c>
      <c r="I271" s="174" t="str">
        <f t="shared" si="23"/>
        <v/>
      </c>
      <c r="J271" s="174" t="str">
        <f t="shared" si="23"/>
        <v/>
      </c>
      <c r="K271" s="174" t="str">
        <f t="shared" si="23"/>
        <v/>
      </c>
      <c r="L271" s="174" t="str">
        <f t="shared" si="23"/>
        <v/>
      </c>
      <c r="M271" s="174" t="str">
        <f t="shared" si="23"/>
        <v/>
      </c>
      <c r="N271" s="174" t="str">
        <f t="shared" si="23"/>
        <v/>
      </c>
      <c r="O271" s="174" t="str">
        <f t="shared" si="23"/>
        <v/>
      </c>
      <c r="P271" s="174" t="str">
        <f t="shared" si="23"/>
        <v/>
      </c>
      <c r="Q271" s="174" t="str">
        <f t="shared" si="23"/>
        <v/>
      </c>
      <c r="R271" s="174" t="str">
        <f t="shared" si="23"/>
        <v/>
      </c>
      <c r="S271" s="174" t="str">
        <f t="shared" si="23"/>
        <v/>
      </c>
      <c r="T271" s="174" t="str">
        <f t="shared" si="23"/>
        <v/>
      </c>
      <c r="U271" s="174" t="str">
        <f t="shared" si="23"/>
        <v/>
      </c>
      <c r="V271" s="174" t="str">
        <f t="shared" si="23"/>
        <v/>
      </c>
      <c r="W271" s="174" t="str">
        <f t="shared" si="23"/>
        <v/>
      </c>
      <c r="X271" s="174" t="str">
        <f t="shared" si="23"/>
        <v/>
      </c>
      <c r="Y271" s="174" t="str">
        <f t="shared" si="23"/>
        <v/>
      </c>
      <c r="Z271" s="174" t="str">
        <f t="shared" si="23"/>
        <v/>
      </c>
      <c r="AA271" s="174" t="str">
        <f t="shared" si="23"/>
        <v/>
      </c>
      <c r="AB271" s="174" t="str">
        <f t="shared" si="23"/>
        <v/>
      </c>
      <c r="AC271" s="174" t="str">
        <f t="shared" si="23"/>
        <v/>
      </c>
      <c r="AD271" s="174" t="str">
        <f t="shared" si="23"/>
        <v/>
      </c>
      <c r="AE271" s="174" t="str">
        <f t="shared" si="23"/>
        <v/>
      </c>
      <c r="AF271" s="174" t="str">
        <f t="shared" si="23"/>
        <v/>
      </c>
      <c r="AG271" s="43"/>
      <c r="AH271" s="43"/>
    </row>
    <row r="272" spans="1:34" x14ac:dyDescent="0.25">
      <c r="A272" s="174" t="str">
        <f>A239</f>
        <v>MMRS</v>
      </c>
      <c r="B272" s="174" t="str">
        <f t="shared" ref="B272:AF272" si="24">IF(B239&lt;100,"",B239-620)</f>
        <v/>
      </c>
      <c r="C272" s="174" t="str">
        <f t="shared" si="24"/>
        <v/>
      </c>
      <c r="D272" s="174" t="str">
        <f t="shared" si="24"/>
        <v/>
      </c>
      <c r="E272" s="174" t="str">
        <f t="shared" si="24"/>
        <v/>
      </c>
      <c r="F272" s="174" t="str">
        <f t="shared" si="24"/>
        <v/>
      </c>
      <c r="G272" s="174" t="str">
        <f t="shared" si="24"/>
        <v/>
      </c>
      <c r="H272" s="174" t="str">
        <f t="shared" si="24"/>
        <v/>
      </c>
      <c r="I272" s="174" t="str">
        <f t="shared" si="24"/>
        <v/>
      </c>
      <c r="J272" s="174" t="str">
        <f t="shared" si="24"/>
        <v/>
      </c>
      <c r="K272" s="174" t="str">
        <f t="shared" si="24"/>
        <v/>
      </c>
      <c r="L272" s="174" t="str">
        <f t="shared" si="24"/>
        <v/>
      </c>
      <c r="M272" s="174" t="str">
        <f t="shared" si="24"/>
        <v/>
      </c>
      <c r="N272" s="174" t="str">
        <f t="shared" si="24"/>
        <v/>
      </c>
      <c r="O272" s="174" t="str">
        <f t="shared" si="24"/>
        <v/>
      </c>
      <c r="P272" s="174" t="str">
        <f t="shared" si="24"/>
        <v/>
      </c>
      <c r="Q272" s="174" t="str">
        <f t="shared" si="24"/>
        <v/>
      </c>
      <c r="R272" s="174" t="str">
        <f t="shared" si="24"/>
        <v/>
      </c>
      <c r="S272" s="174" t="str">
        <f t="shared" si="24"/>
        <v/>
      </c>
      <c r="T272" s="174" t="str">
        <f t="shared" si="24"/>
        <v/>
      </c>
      <c r="U272" s="174" t="str">
        <f t="shared" si="24"/>
        <v/>
      </c>
      <c r="V272" s="174" t="str">
        <f t="shared" si="24"/>
        <v/>
      </c>
      <c r="W272" s="174" t="str">
        <f t="shared" si="24"/>
        <v/>
      </c>
      <c r="X272" s="174" t="str">
        <f t="shared" si="24"/>
        <v/>
      </c>
      <c r="Y272" s="174" t="str">
        <f t="shared" si="24"/>
        <v/>
      </c>
      <c r="Z272" s="174" t="str">
        <f t="shared" si="24"/>
        <v/>
      </c>
      <c r="AA272" s="174" t="str">
        <f t="shared" si="24"/>
        <v/>
      </c>
      <c r="AB272" s="174" t="str">
        <f t="shared" si="24"/>
        <v/>
      </c>
      <c r="AC272" s="174" t="str">
        <f t="shared" si="24"/>
        <v/>
      </c>
      <c r="AD272" s="174" t="str">
        <f t="shared" si="24"/>
        <v/>
      </c>
      <c r="AE272" s="174" t="str">
        <f t="shared" si="24"/>
        <v/>
      </c>
      <c r="AF272" s="174" t="str">
        <f t="shared" si="24"/>
        <v/>
      </c>
      <c r="AG272" s="43"/>
      <c r="AH272" s="43"/>
    </row>
    <row r="273" spans="1:34" x14ac:dyDescent="0.25">
      <c r="A273" s="174" t="str">
        <f>A240</f>
        <v>MRS</v>
      </c>
      <c r="B273" s="174" t="str">
        <f t="shared" ref="B273:AF273" si="25">IF(B240&lt;100,"",B240-330)</f>
        <v/>
      </c>
      <c r="C273" s="174" t="str">
        <f t="shared" si="25"/>
        <v/>
      </c>
      <c r="D273" s="174" t="str">
        <f t="shared" si="25"/>
        <v/>
      </c>
      <c r="E273" s="174" t="str">
        <f t="shared" si="25"/>
        <v/>
      </c>
      <c r="F273" s="174" t="str">
        <f t="shared" si="25"/>
        <v/>
      </c>
      <c r="G273" s="174" t="str">
        <f t="shared" si="25"/>
        <v/>
      </c>
      <c r="H273" s="174" t="str">
        <f t="shared" si="25"/>
        <v/>
      </c>
      <c r="I273" s="174" t="str">
        <f t="shared" si="25"/>
        <v/>
      </c>
      <c r="J273" s="174" t="str">
        <f t="shared" si="25"/>
        <v/>
      </c>
      <c r="K273" s="174" t="str">
        <f t="shared" si="25"/>
        <v/>
      </c>
      <c r="L273" s="174" t="str">
        <f t="shared" si="25"/>
        <v/>
      </c>
      <c r="M273" s="174" t="str">
        <f t="shared" si="25"/>
        <v/>
      </c>
      <c r="N273" s="174" t="str">
        <f t="shared" si="25"/>
        <v/>
      </c>
      <c r="O273" s="174" t="str">
        <f t="shared" si="25"/>
        <v/>
      </c>
      <c r="P273" s="174" t="str">
        <f t="shared" si="25"/>
        <v/>
      </c>
      <c r="Q273" s="174" t="str">
        <f t="shared" si="25"/>
        <v/>
      </c>
      <c r="R273" s="174" t="str">
        <f t="shared" si="25"/>
        <v/>
      </c>
      <c r="S273" s="174" t="str">
        <f t="shared" si="25"/>
        <v/>
      </c>
      <c r="T273" s="174" t="str">
        <f t="shared" si="25"/>
        <v/>
      </c>
      <c r="U273" s="174" t="str">
        <f t="shared" si="25"/>
        <v/>
      </c>
      <c r="V273" s="174" t="str">
        <f t="shared" si="25"/>
        <v/>
      </c>
      <c r="W273" s="174" t="str">
        <f t="shared" si="25"/>
        <v/>
      </c>
      <c r="X273" s="174" t="str">
        <f t="shared" si="25"/>
        <v/>
      </c>
      <c r="Y273" s="174" t="str">
        <f t="shared" si="25"/>
        <v/>
      </c>
      <c r="Z273" s="174" t="str">
        <f t="shared" si="25"/>
        <v/>
      </c>
      <c r="AA273" s="174" t="str">
        <f t="shared" si="25"/>
        <v/>
      </c>
      <c r="AB273" s="174" t="str">
        <f t="shared" si="25"/>
        <v/>
      </c>
      <c r="AC273" s="174" t="str">
        <f t="shared" si="25"/>
        <v/>
      </c>
      <c r="AD273" s="174" t="str">
        <f t="shared" si="25"/>
        <v/>
      </c>
      <c r="AE273" s="174" t="str">
        <f t="shared" si="25"/>
        <v/>
      </c>
      <c r="AF273" s="174" t="str">
        <f t="shared" si="25"/>
        <v/>
      </c>
      <c r="AG273" s="43"/>
      <c r="AH273" s="43"/>
    </row>
    <row r="274" spans="1:34" x14ac:dyDescent="0.25">
      <c r="A274" s="174" t="str">
        <f>A241</f>
        <v>KL 1</v>
      </c>
      <c r="B274" s="174" t="str">
        <f t="shared" ref="B274:AF274" si="26">IF(B241&lt;100,"",B241-1500)</f>
        <v/>
      </c>
      <c r="C274" s="174" t="str">
        <f t="shared" si="26"/>
        <v/>
      </c>
      <c r="D274" s="174" t="str">
        <f t="shared" si="26"/>
        <v/>
      </c>
      <c r="E274" s="174" t="str">
        <f t="shared" si="26"/>
        <v/>
      </c>
      <c r="F274" s="174" t="str">
        <f t="shared" si="26"/>
        <v/>
      </c>
      <c r="G274" s="174" t="str">
        <f t="shared" si="26"/>
        <v/>
      </c>
      <c r="H274" s="174" t="str">
        <f t="shared" si="26"/>
        <v/>
      </c>
      <c r="I274" s="174" t="str">
        <f t="shared" si="26"/>
        <v/>
      </c>
      <c r="J274" s="174" t="str">
        <f t="shared" si="26"/>
        <v/>
      </c>
      <c r="K274" s="174" t="str">
        <f t="shared" si="26"/>
        <v/>
      </c>
      <c r="L274" s="174" t="str">
        <f t="shared" si="26"/>
        <v/>
      </c>
      <c r="M274" s="174" t="str">
        <f t="shared" si="26"/>
        <v/>
      </c>
      <c r="N274" s="174" t="str">
        <f t="shared" si="26"/>
        <v/>
      </c>
      <c r="O274" s="174" t="str">
        <f t="shared" si="26"/>
        <v/>
      </c>
      <c r="P274" s="174" t="str">
        <f t="shared" si="26"/>
        <v/>
      </c>
      <c r="Q274" s="174" t="str">
        <f t="shared" si="26"/>
        <v/>
      </c>
      <c r="R274" s="174" t="str">
        <f t="shared" si="26"/>
        <v/>
      </c>
      <c r="S274" s="174" t="str">
        <f t="shared" si="26"/>
        <v/>
      </c>
      <c r="T274" s="174" t="str">
        <f t="shared" si="26"/>
        <v/>
      </c>
      <c r="U274" s="174" t="str">
        <f t="shared" si="26"/>
        <v/>
      </c>
      <c r="V274" s="174" t="str">
        <f t="shared" si="26"/>
        <v/>
      </c>
      <c r="W274" s="174" t="str">
        <f t="shared" si="26"/>
        <v/>
      </c>
      <c r="X274" s="174" t="str">
        <f t="shared" si="26"/>
        <v/>
      </c>
      <c r="Y274" s="174" t="str">
        <f t="shared" si="26"/>
        <v/>
      </c>
      <c r="Z274" s="174" t="str">
        <f t="shared" si="26"/>
        <v/>
      </c>
      <c r="AA274" s="174" t="str">
        <f t="shared" si="26"/>
        <v/>
      </c>
      <c r="AB274" s="174" t="str">
        <f t="shared" si="26"/>
        <v/>
      </c>
      <c r="AC274" s="174" t="str">
        <f t="shared" si="26"/>
        <v/>
      </c>
      <c r="AD274" s="174" t="str">
        <f t="shared" si="26"/>
        <v/>
      </c>
      <c r="AE274" s="174" t="str">
        <f t="shared" si="26"/>
        <v/>
      </c>
      <c r="AF274" s="174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3250" priority="156">
      <formula>$AH11=0</formula>
    </cfRule>
  </conditionalFormatting>
  <conditionalFormatting sqref="B8 M8 S8 AB8">
    <cfRule type="expression" dxfId="3249" priority="408">
      <formula>AND(C$9&gt;=14/24,C$9&lt;20/24)</formula>
    </cfRule>
    <cfRule type="expression" dxfId="3248" priority="409">
      <formula>AND(C$9&gt;=8/24,C$9&lt;14/24)</formula>
    </cfRule>
    <cfRule type="expression" dxfId="3247" priority="410">
      <formula>C$9&lt;8/24</formula>
    </cfRule>
  </conditionalFormatting>
  <conditionalFormatting sqref="B54:C54">
    <cfRule type="expression" dxfId="3246" priority="73">
      <formula>B$9&gt;=20/24</formula>
    </cfRule>
    <cfRule type="expression" dxfId="3245" priority="74">
      <formula>AND(B$9&gt;=14/24,B$9&lt;20/24)</formula>
    </cfRule>
    <cfRule type="expression" dxfId="3244" priority="75">
      <formula>AND(B$9&gt;=8/24,B$9&lt;14/24)</formula>
    </cfRule>
    <cfRule type="expression" dxfId="3243" priority="76">
      <formula>B$9&lt;8/24</formula>
    </cfRule>
  </conditionalFormatting>
  <conditionalFormatting sqref="B54:C66">
    <cfRule type="expression" dxfId="3242" priority="67">
      <formula>B54&gt;$AG54</formula>
    </cfRule>
  </conditionalFormatting>
  <conditionalFormatting sqref="B55:D59">
    <cfRule type="expression" dxfId="3241" priority="127">
      <formula>B$9&gt;=20/24</formula>
    </cfRule>
    <cfRule type="expression" dxfId="3240" priority="128">
      <formula>AND(B$9&gt;=14/24,B$9&lt;20/24)</formula>
    </cfRule>
    <cfRule type="expression" dxfId="3239" priority="129">
      <formula>AND(B$9&gt;=8/24,B$9&lt;14/24)</formula>
    </cfRule>
    <cfRule type="expression" dxfId="3238" priority="130">
      <formula>B$9&lt;8/24</formula>
    </cfRule>
  </conditionalFormatting>
  <conditionalFormatting sqref="B60:R60">
    <cfRule type="expression" dxfId="3237" priority="113">
      <formula>B$9&gt;=20/24</formula>
    </cfRule>
    <cfRule type="expression" dxfId="3236" priority="114">
      <formula>AND(B$9&gt;=14/24,B$9&lt;20/24)</formula>
    </cfRule>
    <cfRule type="expression" dxfId="3235" priority="115">
      <formula>AND(B$9&gt;=8/24,B$9&lt;14/24)</formula>
    </cfRule>
    <cfRule type="expression" dxfId="3234" priority="116">
      <formula>B$9&lt;8/24</formula>
    </cfRule>
  </conditionalFormatting>
  <conditionalFormatting sqref="B61:AD66">
    <cfRule type="expression" dxfId="3233" priority="68">
      <formula>B$9&gt;=20/24</formula>
    </cfRule>
    <cfRule type="expression" dxfId="3232" priority="69">
      <formula>AND(B$9&gt;=14/24,B$9&lt;20/24)</formula>
    </cfRule>
    <cfRule type="expression" dxfId="3231" priority="70">
      <formula>AND(B$9&gt;=8/24,B$9&lt;14/24)</formula>
    </cfRule>
    <cfRule type="expression" dxfId="3230" priority="71">
      <formula>B$9&lt;8/24</formula>
    </cfRule>
  </conditionalFormatting>
  <conditionalFormatting sqref="B9:AF45">
    <cfRule type="expression" dxfId="3229" priority="37">
      <formula>B$9&gt;=20/24</formula>
    </cfRule>
    <cfRule type="expression" dxfId="3228" priority="38">
      <formula>AND(B$9&gt;=14/24,B$9&lt;20/24)</formula>
    </cfRule>
    <cfRule type="expression" dxfId="3227" priority="39">
      <formula>AND(B$9&gt;=8/24,B$9&lt;14/24)</formula>
    </cfRule>
    <cfRule type="expression" dxfId="3226" priority="40">
      <formula>B$9&lt;8/24</formula>
    </cfRule>
  </conditionalFormatting>
  <conditionalFormatting sqref="B11:AF46">
    <cfRule type="expression" dxfId="3225" priority="35">
      <formula>B11&gt;$AG11</formula>
    </cfRule>
  </conditionalFormatting>
  <conditionalFormatting sqref="B46:AF46">
    <cfRule type="expression" dxfId="3224" priority="31">
      <formula>B$9&gt;=20/24</formula>
    </cfRule>
    <cfRule type="expression" dxfId="3223" priority="32">
      <formula>AND(B$9&gt;=14/24,B$9&lt;20/24)</formula>
    </cfRule>
    <cfRule type="expression" dxfId="3222" priority="33">
      <formula>AND(B$9&gt;=8/24,B$9&lt;14/24)</formula>
    </cfRule>
    <cfRule type="expression" dxfId="3221" priority="34">
      <formula>B$9&lt;8/24</formula>
    </cfRule>
  </conditionalFormatting>
  <conditionalFormatting sqref="B47:AF47">
    <cfRule type="expression" dxfId="3220" priority="66">
      <formula>B47&gt;$AG47</formula>
    </cfRule>
  </conditionalFormatting>
  <conditionalFormatting sqref="B47:AF49">
    <cfRule type="expression" dxfId="3219" priority="53">
      <formula>B$9&gt;=20/24</formula>
    </cfRule>
    <cfRule type="expression" dxfId="3218" priority="54">
      <formula>AND(B$9&gt;=14/24,B$9&lt;20/24)</formula>
    </cfRule>
    <cfRule type="expression" dxfId="3217" priority="55">
      <formula>AND(B$9&gt;=8/24,B$9&lt;14/24)</formula>
    </cfRule>
    <cfRule type="expression" dxfId="3216" priority="56">
      <formula>B$9&lt;8/24</formula>
    </cfRule>
  </conditionalFormatting>
  <conditionalFormatting sqref="B48:AF53">
    <cfRule type="expression" dxfId="3215" priority="51">
      <formula>B48&gt;$AG48</formula>
    </cfRule>
  </conditionalFormatting>
  <conditionalFormatting sqref="B51:AF53">
    <cfRule type="expression" dxfId="3214" priority="104">
      <formula>B$9&gt;=20/24</formula>
    </cfRule>
    <cfRule type="expression" dxfId="3213" priority="105">
      <formula>AND(B$9&gt;=14/24,B$9&lt;20/24)</formula>
    </cfRule>
    <cfRule type="expression" dxfId="3212" priority="106">
      <formula>AND(B$9&gt;=8/24,B$9&lt;14/24)</formula>
    </cfRule>
    <cfRule type="expression" dxfId="3211" priority="107">
      <formula>B$9&lt;8/24</formula>
    </cfRule>
  </conditionalFormatting>
  <conditionalFormatting sqref="B69:AF71">
    <cfRule type="expression" dxfId="3210" priority="121">
      <formula>B69&gt;$AG69</formula>
    </cfRule>
    <cfRule type="expression" dxfId="3209" priority="122">
      <formula>B$9&gt;=20/24</formula>
    </cfRule>
    <cfRule type="expression" dxfId="3208" priority="123">
      <formula>AND(B$9&gt;=14/24,B$9&lt;20/24)</formula>
    </cfRule>
    <cfRule type="expression" dxfId="3207" priority="124">
      <formula>AND(B$9&gt;=8/24,B$9&lt;14/24)</formula>
    </cfRule>
    <cfRule type="expression" dxfId="3206" priority="125">
      <formula>B$9&lt;8/24</formula>
    </cfRule>
  </conditionalFormatting>
  <conditionalFormatting sqref="B73:AF91">
    <cfRule type="expression" dxfId="3205" priority="1">
      <formula>B$9&gt;=20/24</formula>
    </cfRule>
    <cfRule type="expression" dxfId="3204" priority="2">
      <formula>AND(B$9&gt;=14/24,B$9&lt;20/24)</formula>
    </cfRule>
    <cfRule type="expression" dxfId="3203" priority="3">
      <formula>AND(B$9&gt;=8/24,B$9&lt;14/24)</formula>
    </cfRule>
    <cfRule type="expression" dxfId="3202" priority="4">
      <formula>B$9&lt;8/24</formula>
    </cfRule>
  </conditionalFormatting>
  <conditionalFormatting sqref="B111:AF120">
    <cfRule type="expression" dxfId="3201" priority="27">
      <formula>B$9&gt;=20/24</formula>
    </cfRule>
    <cfRule type="expression" dxfId="3200" priority="28">
      <formula>AND(B$9&gt;=14/24,B$9&lt;20/24)</formula>
    </cfRule>
    <cfRule type="expression" dxfId="3199" priority="29">
      <formula>AND(B$9&gt;=8/24,B$9&lt;14/24)</formula>
    </cfRule>
    <cfRule type="expression" dxfId="3198" priority="30">
      <formula>B$9&lt;8/24</formula>
    </cfRule>
  </conditionalFormatting>
  <conditionalFormatting sqref="B227:AF227 D229:AF230 B229:B235 D231:H231 J231:AF231 D232:AF235 U248:AF248">
    <cfRule type="expression" dxfId="3197" priority="401">
      <formula>B$9&gt;=20/24</formula>
    </cfRule>
    <cfRule type="expression" dxfId="3196" priority="402">
      <formula>AND(B$9&gt;=14/24,B$9&lt;20/24)</formula>
    </cfRule>
    <cfRule type="expression" dxfId="3195" priority="403">
      <formula>AND(B$9&gt;=8/24,B$9&lt;14/24)</formula>
    </cfRule>
    <cfRule type="expression" dxfId="3194" priority="404">
      <formula>B$9&lt;8/24</formula>
    </cfRule>
  </conditionalFormatting>
  <conditionalFormatting sqref="B67:AG68 B72:AG72">
    <cfRule type="expression" dxfId="3193" priority="81">
      <formula>B67&gt;$AG67</formula>
    </cfRule>
  </conditionalFormatting>
  <conditionalFormatting sqref="B72:AG72 B93:AF109">
    <cfRule type="expression" dxfId="3192" priority="82">
      <formula>B$9&gt;=20/24</formula>
    </cfRule>
    <cfRule type="expression" dxfId="3191" priority="83">
      <formula>AND(B$9&gt;=14/24,B$9&lt;20/24)</formula>
    </cfRule>
    <cfRule type="expression" dxfId="3190" priority="84">
      <formula>AND(B$9&gt;=8/24,B$9&lt;14/24)</formula>
    </cfRule>
    <cfRule type="expression" dxfId="3189" priority="85">
      <formula>B$9&lt;8/24</formula>
    </cfRule>
  </conditionalFormatting>
  <conditionalFormatting sqref="D55:AF66">
    <cfRule type="expression" dxfId="3188" priority="17">
      <formula>D55&gt;$AG55</formula>
    </cfRule>
  </conditionalFormatting>
  <conditionalFormatting sqref="D54:AG54">
    <cfRule type="expression" dxfId="3187" priority="252">
      <formula>D54&gt;$AG54</formula>
    </cfRule>
    <cfRule type="expression" dxfId="3186" priority="253">
      <formula>D$9&gt;=20/24</formula>
    </cfRule>
    <cfRule type="expression" dxfId="3185" priority="254">
      <formula>AND(D$9&gt;=14/24,D$9&lt;20/24)</formula>
    </cfRule>
    <cfRule type="expression" dxfId="3184" priority="255">
      <formula>AND(D$9&gt;=8/24,D$9&lt;14/24)</formula>
    </cfRule>
    <cfRule type="expression" dxfId="3183" priority="256">
      <formula>D$9&lt;8/24</formula>
    </cfRule>
  </conditionalFormatting>
  <conditionalFormatting sqref="E55:L57">
    <cfRule type="expression" dxfId="3182" priority="339">
      <formula>E$9&gt;=20/24</formula>
    </cfRule>
    <cfRule type="expression" dxfId="3181" priority="340">
      <formula>AND(E$9&gt;=14/24,E$9&lt;20/24)</formula>
    </cfRule>
    <cfRule type="expression" dxfId="3180" priority="341">
      <formula>AND(E$9&gt;=8/24,E$9&lt;14/24)</formula>
    </cfRule>
    <cfRule type="expression" dxfId="3179" priority="342">
      <formula>E$9&lt;8/24</formula>
    </cfRule>
  </conditionalFormatting>
  <conditionalFormatting sqref="M55:R59">
    <cfRule type="expression" dxfId="3178" priority="367">
      <formula>M$9&gt;=20/24</formula>
    </cfRule>
    <cfRule type="expression" dxfId="3177" priority="368">
      <formula>AND(M$9&gt;=14/24,M$9&lt;20/24)</formula>
    </cfRule>
    <cfRule type="expression" dxfId="3176" priority="369">
      <formula>AND(M$9&gt;=8/24,M$9&lt;14/24)</formula>
    </cfRule>
    <cfRule type="expression" dxfId="3175" priority="370">
      <formula>M$9&lt;8/24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174" priority="407">
      <formula>C$9&gt;=20/24</formula>
    </cfRule>
  </conditionalFormatting>
  <conditionalFormatting sqref="S8">
    <cfRule type="expression" dxfId="3173" priority="380">
      <formula>U$9&gt;=20/24</formula>
    </cfRule>
    <cfRule type="expression" dxfId="3172" priority="381">
      <formula>AND(U$9&gt;=14/24,U$9&lt;20/24)</formula>
    </cfRule>
    <cfRule type="expression" dxfId="3171" priority="382">
      <formula>AND(U$9&gt;=8/24,U$9&lt;14/24)</formula>
    </cfRule>
    <cfRule type="expression" dxfId="3170" priority="383">
      <formula>U$9&lt;8/24</formula>
    </cfRule>
  </conditionalFormatting>
  <conditionalFormatting sqref="S55:AF60">
    <cfRule type="expression" dxfId="3169" priority="23">
      <formula>S$9&gt;=20/24</formula>
    </cfRule>
    <cfRule type="expression" dxfId="3168" priority="24">
      <formula>AND(S$9&gt;=14/24,S$9&lt;20/24)</formula>
    </cfRule>
    <cfRule type="expression" dxfId="3167" priority="25">
      <formula>AND(S$9&gt;=8/24,S$9&lt;14/24)</formula>
    </cfRule>
    <cfRule type="expression" dxfId="3166" priority="26">
      <formula>S$9&lt;8/24</formula>
    </cfRule>
  </conditionalFormatting>
  <conditionalFormatting sqref="T248">
    <cfRule type="expression" dxfId="3165" priority="420">
      <formula>AX$9&gt;=20/24</formula>
    </cfRule>
    <cfRule type="expression" dxfId="3164" priority="421">
      <formula>AND(AX$9&gt;=14/24,AX$9&lt;20/24)</formula>
    </cfRule>
    <cfRule type="expression" dxfId="3163" priority="422">
      <formula>AND(AX$9&gt;=8/24,AX$9&lt;14/24)</formula>
    </cfRule>
    <cfRule type="expression" dxfId="3162" priority="423">
      <formula>AX$9&lt;8/24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161" priority="376">
      <formula>AD$9&gt;=20/24</formula>
    </cfRule>
    <cfRule type="expression" dxfId="3160" priority="377">
      <formula>AND(AD$9&gt;=14/24,AD$9&lt;20/24)</formula>
    </cfRule>
    <cfRule type="expression" dxfId="3159" priority="378">
      <formula>AND(AD$9&gt;=8/24,AD$9&lt;14/24)</formula>
    </cfRule>
    <cfRule type="expression" dxfId="3158" priority="379">
      <formula>AD$9&lt;8/24</formula>
    </cfRule>
  </conditionalFormatting>
  <conditionalFormatting sqref="AE61:AF66">
    <cfRule type="expression" dxfId="3157" priority="18">
      <formula>AE$9&gt;=20/24</formula>
    </cfRule>
    <cfRule type="expression" dxfId="3156" priority="19">
      <formula>AND(AE$9&gt;=14/24,AE$9&lt;20/24)</formula>
    </cfRule>
    <cfRule type="expression" dxfId="3155" priority="20">
      <formula>AND(AE$9&gt;=8/24,AE$9&lt;14/24)</formula>
    </cfRule>
    <cfRule type="expression" dxfId="3154" priority="21">
      <formula>AE$9&lt;8/24</formula>
    </cfRule>
  </conditionalFormatting>
  <conditionalFormatting sqref="AG50">
    <cfRule type="expression" dxfId="3153" priority="333">
      <formula>AG50&gt;$AG50</formula>
    </cfRule>
  </conditionalFormatting>
  <conditionalFormatting sqref="AG89">
    <cfRule type="expression" dxfId="3152" priority="334">
      <formula>AG$9&gt;=20/24</formula>
    </cfRule>
    <cfRule type="expression" dxfId="3151" priority="335">
      <formula>AND(AG$9&gt;=14/24,AG$9&lt;20/24)</formula>
    </cfRule>
    <cfRule type="expression" dxfId="3150" priority="336">
      <formula>AND(AG$9&gt;=8/24,AG$9&lt;14/24)</formula>
    </cfRule>
    <cfRule type="expression" dxfId="3149" priority="337">
      <formula>AG$9&lt;8/24</formula>
    </cfRule>
  </conditionalFormatting>
  <conditionalFormatting sqref="AG248">
    <cfRule type="expression" dxfId="3148" priority="412">
      <formula>B$9&gt;=20/24</formula>
    </cfRule>
    <cfRule type="expression" dxfId="3147" priority="413">
      <formula>AND(B$9&gt;=14/24,B$9&lt;20/24)</formula>
    </cfRule>
    <cfRule type="expression" dxfId="3146" priority="414">
      <formula>AND(B$9&gt;=8/24,B$9&lt;14/24)</formula>
    </cfRule>
    <cfRule type="expression" dxfId="3145" priority="415">
      <formula>B$9&lt;8/24</formula>
    </cfRule>
  </conditionalFormatting>
  <conditionalFormatting sqref="AH248:AX248">
    <cfRule type="expression" dxfId="3144" priority="416">
      <formula>AG$9&gt;=20/24</formula>
    </cfRule>
    <cfRule type="expression" dxfId="3143" priority="417">
      <formula>AND(AG$9&gt;=14/24,AG$9&lt;20/24)</formula>
    </cfRule>
    <cfRule type="expression" dxfId="3142" priority="418">
      <formula>AND(AG$9&gt;=8/24,AG$9&lt;14/24)</formula>
    </cfRule>
    <cfRule type="expression" dxfId="3141" priority="419">
      <formula>AG$9&lt;8/24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140" priority="425">
      <formula>AJ$9&gt;=20/24</formula>
    </cfRule>
    <cfRule type="expression" dxfId="3139" priority="426">
      <formula>AND(AJ$9&gt;=14/24,AJ$9&lt;20/24)</formula>
    </cfRule>
    <cfRule type="expression" dxfId="3138" priority="427">
      <formula>AND(AJ$9&gt;=8/24,AJ$9&lt;14/24)</formula>
    </cfRule>
    <cfRule type="expression" dxfId="3137" priority="428">
      <formula>AJ$9&lt;8/24</formula>
    </cfRule>
  </conditionalFormatting>
  <conditionalFormatting sqref="AL80:AN80 AL86:AN86">
    <cfRule type="expression" dxfId="3136" priority="225">
      <formula>AL$9&gt;=20/24</formula>
    </cfRule>
    <cfRule type="expression" dxfId="3135" priority="226">
      <formula>AND(AL$9&gt;=14/24,AL$9&lt;20/24)</formula>
    </cfRule>
    <cfRule type="expression" dxfId="3134" priority="227">
      <formula>AND(AL$9&gt;=8/24,AL$9&lt;14/24)</formula>
    </cfRule>
    <cfRule type="expression" dxfId="3133" priority="228">
      <formula>AL$9&lt;8/24</formula>
    </cfRule>
  </conditionalFormatting>
  <conditionalFormatting sqref="AN81:AN84">
    <cfRule type="expression" dxfId="3132" priority="221">
      <formula>AN$9&gt;=20/24</formula>
    </cfRule>
    <cfRule type="expression" dxfId="3131" priority="222">
      <formula>AND(AN$9&gt;=14/24,AN$9&lt;20/24)</formula>
    </cfRule>
    <cfRule type="expression" dxfId="3130" priority="223">
      <formula>AND(AN$9&gt;=8/24,AN$9&lt;14/24)</formula>
    </cfRule>
    <cfRule type="expression" dxfId="3129" priority="224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DBFF-ABB4-4C44-A71A-390FBD176816}">
  <dimension ref="A1"/>
  <sheetViews>
    <sheetView workbookViewId="0">
      <selection activeCell="L8" sqref="L8:L20"/>
    </sheetView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3A10-10BF-4F1D-A574-E1339BBA4EC3}">
  <dimension ref="A3:A6"/>
  <sheetViews>
    <sheetView workbookViewId="0">
      <selection activeCell="A6" sqref="A6"/>
    </sheetView>
  </sheetViews>
  <sheetFormatPr defaultRowHeight="15" x14ac:dyDescent="0.25"/>
  <sheetData>
    <row r="3" spans="1:1" x14ac:dyDescent="0.25">
      <c r="A3" t="s">
        <v>287</v>
      </c>
    </row>
    <row r="4" spans="1:1" x14ac:dyDescent="0.25">
      <c r="A4" t="s">
        <v>288</v>
      </c>
    </row>
    <row r="5" spans="1:1" x14ac:dyDescent="0.25">
      <c r="A5" t="s">
        <v>289</v>
      </c>
    </row>
    <row r="6" spans="1:1" x14ac:dyDescent="0.25">
      <c r="A6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bhadra1</vt:lpstr>
      <vt:lpstr>sample</vt:lpstr>
      <vt:lpstr>Sheet1</vt:lpstr>
      <vt:lpstr>phcal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CRLDC</dc:creator>
  <cp:lastModifiedBy>Control Room LDC  System Operation Department</cp:lastModifiedBy>
  <dcterms:created xsi:type="dcterms:W3CDTF">2023-07-16T17:47:03Z</dcterms:created>
  <dcterms:modified xsi:type="dcterms:W3CDTF">2023-09-09T08:31:41Z</dcterms:modified>
</cp:coreProperties>
</file>